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25200" windowHeight="11385" tabRatio="714" firstSheet="4" activeTab="4"/>
  </bookViews>
  <sheets>
    <sheet name="Dean_Tech" sheetId="2" state="hidden" r:id="rId1"/>
    <sheet name="Aviation" sheetId="4" state="hidden" r:id="rId2"/>
    <sheet name="Arts_Sci_Bus" sheetId="1" state="hidden" r:id="rId3"/>
    <sheet name="Eng Technology" sheetId="3" state="hidden" r:id="rId4"/>
    <sheet name="Summary" sheetId="7" r:id="rId5"/>
    <sheet name="Salina Other" sheetId="6" state="hidden" r:id="rId6"/>
  </sheets>
  <definedNames>
    <definedName name="_xlnm.Print_Area" localSheetId="2">Arts_Sci_Bus!$A$9:$AH$32</definedName>
    <definedName name="_xlnm.Print_Area" localSheetId="1">Aviation!$A$1:$AG$31</definedName>
    <definedName name="_xlnm.Print_Area" localSheetId="0">Dean_Tech!$A$1:$AC$31</definedName>
    <definedName name="_xlnm.Print_Area" localSheetId="3">'Eng Technology'!$A$9:$AG$31</definedName>
    <definedName name="_xlnm.Print_Area" localSheetId="5">'Salina Other'!$A$1:$AK$26</definedName>
    <definedName name="_xlnm.Print_Area" localSheetId="4">Summary!$A$1:$AG$30</definedName>
    <definedName name="_xlnm.Print_Titles" localSheetId="2">Arts_Sci_Bus!$A:$A,Arts_Sci_Bus!$1:$7</definedName>
    <definedName name="_xlnm.Print_Titles" localSheetId="1">Aviation!$A:$A,Aviation!$1:$5</definedName>
    <definedName name="_xlnm.Print_Titles" localSheetId="0">Dean_Tech!$A:$A,Dean_Tech!$1:$2</definedName>
    <definedName name="_xlnm.Print_Titles" localSheetId="3">'Eng Technology'!$A:$A,'Eng Technology'!$1:$7</definedName>
    <definedName name="_xlnm.Print_Titles" localSheetId="4">Summary!$A:$A,Summary!$1:$7</definedName>
  </definedNames>
  <calcPr calcId="152511"/>
</workbook>
</file>

<file path=xl/calcChain.xml><?xml version="1.0" encoding="utf-8"?>
<calcChain xmlns="http://schemas.openxmlformats.org/spreadsheetml/2006/main">
  <c r="W29" i="2" l="1"/>
  <c r="Q24" i="7" l="1"/>
  <c r="S24" i="7"/>
  <c r="U24" i="7"/>
  <c r="W24" i="7"/>
  <c r="Y24" i="7"/>
  <c r="AA24" i="7"/>
  <c r="O24" i="7"/>
  <c r="AF30" i="3"/>
  <c r="AG29" i="3"/>
  <c r="AF29" i="3"/>
  <c r="AF27" i="3"/>
  <c r="AE27" i="3"/>
  <c r="AG26" i="3"/>
  <c r="AF26" i="3"/>
  <c r="AE26" i="3"/>
  <c r="AF24" i="3"/>
  <c r="AG23" i="3"/>
  <c r="AF23" i="3"/>
  <c r="AG22" i="3"/>
  <c r="AF22" i="3"/>
  <c r="AF30" i="1"/>
  <c r="AG29" i="1"/>
  <c r="AF29" i="1"/>
  <c r="AG27" i="1"/>
  <c r="AF27" i="1"/>
  <c r="AE27" i="1"/>
  <c r="AG26" i="1"/>
  <c r="AF26" i="1"/>
  <c r="AE26" i="1"/>
  <c r="AG24" i="1"/>
  <c r="AF24" i="1"/>
  <c r="AF23" i="1"/>
  <c r="AG22" i="1"/>
  <c r="AF22" i="1"/>
  <c r="AG30" i="4"/>
  <c r="AF30" i="4"/>
  <c r="AG29" i="4"/>
  <c r="AF29" i="4"/>
  <c r="AG27" i="4"/>
  <c r="AF27" i="4"/>
  <c r="AE27" i="4"/>
  <c r="AG26" i="4"/>
  <c r="AF26" i="4"/>
  <c r="AE26" i="4"/>
  <c r="AG24" i="4"/>
  <c r="AF24" i="4"/>
  <c r="AG22" i="4"/>
  <c r="AF22" i="4"/>
  <c r="AC22" i="2"/>
  <c r="AB22" i="2"/>
  <c r="AF24" i="7" l="1"/>
  <c r="AB30" i="2"/>
  <c r="AC29" i="2"/>
  <c r="AC27" i="2"/>
  <c r="AC26" i="2"/>
  <c r="AB24" i="2"/>
  <c r="AC23" i="2"/>
  <c r="AB23" i="2"/>
  <c r="AC14" i="2"/>
  <c r="AB14" i="2"/>
  <c r="AC13" i="2"/>
  <c r="AB13" i="2"/>
  <c r="AC12" i="2"/>
  <c r="AB12" i="2"/>
  <c r="AF14" i="3" l="1"/>
  <c r="AF12" i="3"/>
  <c r="AF14" i="1"/>
  <c r="AF12" i="1"/>
  <c r="AF14" i="4"/>
  <c r="AF12" i="4"/>
  <c r="AC18" i="7" l="1"/>
  <c r="AC17" i="7"/>
  <c r="AC14" i="7"/>
  <c r="AC13" i="7"/>
  <c r="AC12" i="7"/>
  <c r="AC19" i="3"/>
  <c r="AC15" i="3"/>
  <c r="AC20" i="3" s="1"/>
  <c r="AC19" i="1"/>
  <c r="AC15" i="1"/>
  <c r="AC19" i="4"/>
  <c r="AC15" i="4"/>
  <c r="AC20" i="4" s="1"/>
  <c r="Y19" i="2"/>
  <c r="Y15" i="2"/>
  <c r="AC19" i="7" l="1"/>
  <c r="AC20" i="1"/>
  <c r="Y20" i="2"/>
  <c r="AC15" i="7"/>
  <c r="AA30" i="7"/>
  <c r="AA29" i="7"/>
  <c r="Y30" i="7"/>
  <c r="W30" i="7"/>
  <c r="U30" i="7"/>
  <c r="S30" i="7"/>
  <c r="S29" i="7"/>
  <c r="Q30" i="7"/>
  <c r="O30" i="7"/>
  <c r="M30" i="7"/>
  <c r="AA27" i="7"/>
  <c r="Z27" i="7"/>
  <c r="AA26" i="7"/>
  <c r="Z26" i="7"/>
  <c r="Y27" i="7"/>
  <c r="X27" i="7"/>
  <c r="Y26" i="7"/>
  <c r="X26" i="7"/>
  <c r="W27" i="7"/>
  <c r="V27" i="7"/>
  <c r="W26" i="7"/>
  <c r="V26" i="7"/>
  <c r="S27" i="7"/>
  <c r="R27" i="7"/>
  <c r="S26" i="7"/>
  <c r="R26" i="7"/>
  <c r="Q27" i="7"/>
  <c r="P27" i="7"/>
  <c r="Q26" i="7"/>
  <c r="P26" i="7"/>
  <c r="N27" i="7"/>
  <c r="N26" i="7"/>
  <c r="M26" i="7"/>
  <c r="M27" i="7"/>
  <c r="L27" i="7"/>
  <c r="L26" i="7"/>
  <c r="AA23" i="7"/>
  <c r="AA22" i="7"/>
  <c r="Y22" i="7"/>
  <c r="W22" i="7"/>
  <c r="U22" i="7"/>
  <c r="S22" i="7"/>
  <c r="Q22" i="7"/>
  <c r="O22" i="7"/>
  <c r="M23" i="7"/>
  <c r="M22" i="7"/>
  <c r="AA18" i="7"/>
  <c r="AA17" i="7"/>
  <c r="Y18" i="7"/>
  <c r="Y17" i="7"/>
  <c r="W18" i="7"/>
  <c r="W17" i="7"/>
  <c r="U18" i="7"/>
  <c r="U17" i="7"/>
  <c r="S18" i="7"/>
  <c r="S17" i="7"/>
  <c r="Q18" i="7"/>
  <c r="Q17" i="7"/>
  <c r="Q19" i="7" s="1"/>
  <c r="O18" i="7"/>
  <c r="O17" i="7"/>
  <c r="M18" i="7"/>
  <c r="M17" i="7"/>
  <c r="AA14" i="7"/>
  <c r="AA13" i="7"/>
  <c r="AA12" i="7"/>
  <c r="Y14" i="7"/>
  <c r="Y13" i="7"/>
  <c r="Y12" i="7"/>
  <c r="W14" i="7"/>
  <c r="W13" i="7"/>
  <c r="W12" i="7"/>
  <c r="U14" i="7"/>
  <c r="U13" i="7"/>
  <c r="U12" i="7"/>
  <c r="S14" i="7"/>
  <c r="S13" i="7"/>
  <c r="S12" i="7"/>
  <c r="Q14" i="7"/>
  <c r="Q13" i="7"/>
  <c r="Q12" i="7"/>
  <c r="O14" i="7"/>
  <c r="O13" i="7"/>
  <c r="M13" i="7"/>
  <c r="M14" i="7"/>
  <c r="S15" i="7" l="1"/>
  <c r="AF30" i="7"/>
  <c r="AG29" i="7"/>
  <c r="M19" i="7"/>
  <c r="AG22" i="7"/>
  <c r="AF22" i="7"/>
  <c r="AG27" i="7"/>
  <c r="AG26" i="7"/>
  <c r="W15" i="7"/>
  <c r="AA15" i="7"/>
  <c r="AA19" i="7"/>
  <c r="AG14" i="7"/>
  <c r="AF14" i="7"/>
  <c r="AF13" i="7"/>
  <c r="AF12" i="7"/>
  <c r="Y15" i="7"/>
  <c r="Y20" i="7" s="1"/>
  <c r="W19" i="7"/>
  <c r="W20" i="7" s="1"/>
  <c r="AG12" i="7"/>
  <c r="AC20" i="7"/>
  <c r="U19" i="7"/>
  <c r="Y19" i="7"/>
  <c r="Q15" i="7"/>
  <c r="Q20" i="7" s="1"/>
  <c r="U15" i="7"/>
  <c r="O19" i="7"/>
  <c r="S19" i="7"/>
  <c r="AG14" i="4"/>
  <c r="AG14" i="1"/>
  <c r="AG14" i="3"/>
  <c r="AG12" i="3"/>
  <c r="AG12" i="1"/>
  <c r="S20" i="7" l="1"/>
  <c r="AG15" i="7"/>
  <c r="AF15" i="7"/>
  <c r="AA20" i="7"/>
  <c r="U20" i="7"/>
  <c r="AG12" i="4"/>
  <c r="AG20" i="7" l="1"/>
  <c r="AF20" i="7"/>
  <c r="U29" i="2"/>
  <c r="Y29" i="7" s="1"/>
  <c r="Y23" i="4" l="1"/>
  <c r="Y23" i="7" s="1"/>
  <c r="W23" i="4" l="1"/>
  <c r="U23" i="4"/>
  <c r="U23" i="7" s="1"/>
  <c r="S23" i="4"/>
  <c r="Q23" i="4"/>
  <c r="Q23" i="7" s="1"/>
  <c r="O23" i="4"/>
  <c r="O23" i="7" s="1"/>
  <c r="K23" i="4"/>
  <c r="AF23" i="4" l="1"/>
  <c r="W23" i="7"/>
  <c r="AG23" i="4"/>
  <c r="S23" i="7"/>
  <c r="AG23" i="7" s="1"/>
  <c r="AK26" i="6"/>
  <c r="AK25" i="6"/>
  <c r="AK9" i="6"/>
  <c r="AK7" i="6"/>
  <c r="AH10" i="6"/>
  <c r="AK10" i="6" s="1"/>
  <c r="AH14" i="6"/>
  <c r="AA15" i="3"/>
  <c r="AA19" i="3"/>
  <c r="AA15" i="1"/>
  <c r="AA19" i="1"/>
  <c r="AA15" i="4"/>
  <c r="AA19" i="4"/>
  <c r="W15" i="2"/>
  <c r="W19" i="2"/>
  <c r="W20" i="2" s="1"/>
  <c r="AF23" i="7" l="1"/>
  <c r="AH15" i="6"/>
  <c r="AA20" i="3"/>
  <c r="AA20" i="4"/>
  <c r="AA20" i="1"/>
  <c r="S29" i="2" l="1"/>
  <c r="W29" i="7" l="1"/>
  <c r="AF10" i="6"/>
  <c r="AF14" i="6"/>
  <c r="U15" i="2"/>
  <c r="U19" i="2"/>
  <c r="Y15" i="4"/>
  <c r="Y19" i="4"/>
  <c r="Y15" i="1"/>
  <c r="Y19" i="1"/>
  <c r="Y15" i="3"/>
  <c r="Y19" i="3"/>
  <c r="U20" i="2" l="1"/>
  <c r="Y20" i="1"/>
  <c r="AF15" i="6"/>
  <c r="Y20" i="3"/>
  <c r="Y20" i="4"/>
  <c r="Q29" i="2" l="1"/>
  <c r="U29" i="7" l="1"/>
  <c r="AF29" i="7" s="1"/>
  <c r="AB29" i="2"/>
  <c r="Q27" i="2"/>
  <c r="P27" i="2"/>
  <c r="Q26" i="2"/>
  <c r="P26" i="2"/>
  <c r="AA26" i="2" l="1"/>
  <c r="T26" i="7"/>
  <c r="AE26" i="7" s="1"/>
  <c r="AB26" i="2"/>
  <c r="U26" i="7"/>
  <c r="AF26" i="7" s="1"/>
  <c r="AA27" i="2"/>
  <c r="T27" i="7"/>
  <c r="AE27" i="7" s="1"/>
  <c r="AB27" i="2"/>
  <c r="U27" i="7"/>
  <c r="AF27" i="7" s="1"/>
  <c r="AD10" i="6"/>
  <c r="AD14" i="6"/>
  <c r="AD15" i="6"/>
  <c r="W15" i="3" l="1"/>
  <c r="W19" i="3"/>
  <c r="W15" i="1"/>
  <c r="W19" i="1"/>
  <c r="W15" i="4"/>
  <c r="AF15" i="4" s="1"/>
  <c r="W19" i="4"/>
  <c r="S15" i="2"/>
  <c r="AB15" i="2" s="1"/>
  <c r="S19" i="2"/>
  <c r="U15" i="4"/>
  <c r="U19" i="4"/>
  <c r="U15" i="1"/>
  <c r="U19" i="1"/>
  <c r="Q15" i="2"/>
  <c r="AC15" i="2" s="1"/>
  <c r="Q19" i="2"/>
  <c r="U15" i="3"/>
  <c r="U19" i="3"/>
  <c r="AB10" i="6"/>
  <c r="AB14" i="6"/>
  <c r="S15" i="1"/>
  <c r="AG15" i="1" s="1"/>
  <c r="O15" i="2"/>
  <c r="Z10" i="6"/>
  <c r="Z14" i="6"/>
  <c r="S15" i="3"/>
  <c r="AG15" i="3" s="1"/>
  <c r="S19" i="3"/>
  <c r="S19" i="1"/>
  <c r="S15" i="4"/>
  <c r="AG15" i="4" s="1"/>
  <c r="S19" i="4"/>
  <c r="M29" i="2"/>
  <c r="Q29" i="7" s="1"/>
  <c r="O19" i="2"/>
  <c r="K29" i="2"/>
  <c r="O29" i="7" s="1"/>
  <c r="O27" i="4"/>
  <c r="O27" i="7" s="1"/>
  <c r="K26" i="2"/>
  <c r="O26" i="7" s="1"/>
  <c r="A1" i="6"/>
  <c r="M15" i="2"/>
  <c r="M19" i="2"/>
  <c r="Q15" i="4"/>
  <c r="Q19" i="4"/>
  <c r="Q15" i="1"/>
  <c r="Q19" i="1"/>
  <c r="Q15" i="3"/>
  <c r="Q19" i="3"/>
  <c r="X10" i="6"/>
  <c r="X14" i="6"/>
  <c r="X15" i="6" s="1"/>
  <c r="I29" i="2"/>
  <c r="M29" i="7" s="1"/>
  <c r="K12" i="2"/>
  <c r="V10" i="6"/>
  <c r="O15" i="3"/>
  <c r="M15" i="3"/>
  <c r="K15" i="3"/>
  <c r="I15" i="3"/>
  <c r="G15" i="3"/>
  <c r="O19" i="3"/>
  <c r="M19" i="3"/>
  <c r="K19" i="3"/>
  <c r="I19" i="3"/>
  <c r="G19" i="3"/>
  <c r="G20" i="3" s="1"/>
  <c r="O15" i="1"/>
  <c r="O15" i="4"/>
  <c r="K22" i="3"/>
  <c r="I22" i="3"/>
  <c r="G22" i="3"/>
  <c r="E22" i="3"/>
  <c r="V14" i="6"/>
  <c r="O19" i="1"/>
  <c r="O19" i="4"/>
  <c r="K19" i="2"/>
  <c r="C22" i="3"/>
  <c r="E15" i="3"/>
  <c r="E19" i="3"/>
  <c r="K22" i="4"/>
  <c r="I22" i="4"/>
  <c r="G22" i="4"/>
  <c r="E22" i="4"/>
  <c r="C22" i="4"/>
  <c r="M15" i="4"/>
  <c r="M19" i="4"/>
  <c r="K15" i="4"/>
  <c r="K19" i="4"/>
  <c r="I15" i="4"/>
  <c r="I19" i="4"/>
  <c r="G15" i="4"/>
  <c r="G19" i="4"/>
  <c r="E15" i="4"/>
  <c r="E19" i="4"/>
  <c r="E20" i="4" s="1"/>
  <c r="I12" i="2"/>
  <c r="M12" i="7" s="1"/>
  <c r="M15" i="7" s="1"/>
  <c r="M20" i="7" s="1"/>
  <c r="I19" i="2"/>
  <c r="G15" i="2"/>
  <c r="G19" i="2"/>
  <c r="E15" i="2"/>
  <c r="E19" i="2"/>
  <c r="C12" i="2"/>
  <c r="C14" i="2"/>
  <c r="C19" i="2"/>
  <c r="G29" i="2"/>
  <c r="E29" i="2"/>
  <c r="C29" i="2"/>
  <c r="C22" i="1"/>
  <c r="K22" i="1"/>
  <c r="I22" i="1"/>
  <c r="G22" i="1"/>
  <c r="E22" i="1"/>
  <c r="M15" i="1"/>
  <c r="M19" i="1"/>
  <c r="T10" i="6"/>
  <c r="T14" i="6"/>
  <c r="N10" i="6"/>
  <c r="L10" i="6"/>
  <c r="L15" i="6" s="1"/>
  <c r="R10" i="6"/>
  <c r="R14" i="6"/>
  <c r="R15" i="6" s="1"/>
  <c r="P10" i="6"/>
  <c r="P14" i="6"/>
  <c r="N14" i="6"/>
  <c r="N15" i="6" s="1"/>
  <c r="L14" i="6"/>
  <c r="J10" i="6"/>
  <c r="J14" i="6"/>
  <c r="H10" i="6"/>
  <c r="H14" i="6"/>
  <c r="H15" i="6"/>
  <c r="F10" i="6"/>
  <c r="F14" i="6"/>
  <c r="D10" i="6"/>
  <c r="D14" i="6"/>
  <c r="D15" i="6" s="1"/>
  <c r="K15" i="1"/>
  <c r="K19" i="1"/>
  <c r="I15" i="1"/>
  <c r="I19" i="1"/>
  <c r="G19" i="1"/>
  <c r="G15" i="1"/>
  <c r="C15" i="4"/>
  <c r="C19" i="4"/>
  <c r="E15" i="1"/>
  <c r="E19" i="1"/>
  <c r="C15" i="1"/>
  <c r="C19" i="1"/>
  <c r="C15" i="3"/>
  <c r="C19" i="3"/>
  <c r="AK14" i="6"/>
  <c r="V15" i="6"/>
  <c r="P15" i="6"/>
  <c r="Z15" i="6"/>
  <c r="F15" i="6"/>
  <c r="K15" i="2" l="1"/>
  <c r="O12" i="7"/>
  <c r="O15" i="7" s="1"/>
  <c r="O20" i="7" s="1"/>
  <c r="AF15" i="1"/>
  <c r="AF15" i="3"/>
  <c r="G20" i="1"/>
  <c r="I15" i="2"/>
  <c r="I20" i="2" s="1"/>
  <c r="O20" i="4"/>
  <c r="C20" i="1"/>
  <c r="E20" i="1"/>
  <c r="S20" i="1"/>
  <c r="AG20" i="1" s="1"/>
  <c r="E20" i="3"/>
  <c r="S20" i="3"/>
  <c r="AG20" i="3" s="1"/>
  <c r="O20" i="2"/>
  <c r="C15" i="2"/>
  <c r="C20" i="2" s="1"/>
  <c r="G20" i="2"/>
  <c r="U20" i="3"/>
  <c r="C20" i="3"/>
  <c r="M20" i="3"/>
  <c r="W20" i="3"/>
  <c r="AF20" i="3" s="1"/>
  <c r="K20" i="3"/>
  <c r="O20" i="3"/>
  <c r="Q20" i="1"/>
  <c r="M20" i="1"/>
  <c r="O20" i="1"/>
  <c r="K20" i="4"/>
  <c r="W20" i="4"/>
  <c r="AF20" i="4" s="1"/>
  <c r="Q20" i="4"/>
  <c r="C20" i="4"/>
  <c r="G20" i="4"/>
  <c r="I20" i="4"/>
  <c r="M20" i="4"/>
  <c r="S20" i="4"/>
  <c r="AG20" i="4" s="1"/>
  <c r="U20" i="4"/>
  <c r="K20" i="2"/>
  <c r="I20" i="3"/>
  <c r="Q20" i="3"/>
  <c r="AB15" i="6"/>
  <c r="I20" i="1"/>
  <c r="J15" i="6"/>
  <c r="T15" i="6"/>
  <c r="AK15" i="6" s="1"/>
  <c r="U20" i="1"/>
  <c r="K20" i="1"/>
  <c r="Q20" i="2"/>
  <c r="AC20" i="2" s="1"/>
  <c r="W20" i="1"/>
  <c r="E20" i="2"/>
  <c r="M20" i="2"/>
  <c r="S20" i="2"/>
  <c r="AB20" i="2" s="1"/>
  <c r="AF20" i="1" l="1"/>
</calcChain>
</file>

<file path=xl/sharedStrings.xml><?xml version="1.0" encoding="utf-8"?>
<sst xmlns="http://schemas.openxmlformats.org/spreadsheetml/2006/main" count="447" uniqueCount="62">
  <si>
    <t>Instructional Expenditures</t>
  </si>
  <si>
    <t>Research/Public Serv. Expenditures</t>
  </si>
  <si>
    <t>Grants/Contracts Awarded:</t>
  </si>
  <si>
    <t xml:space="preserve"> </t>
  </si>
  <si>
    <t>Department:  College of Technology &amp; Aviation  (Dean's Office)</t>
  </si>
  <si>
    <t>FY 2001</t>
  </si>
  <si>
    <t>FY 2002</t>
  </si>
  <si>
    <t>FY 2003</t>
  </si>
  <si>
    <t>FY 2004</t>
  </si>
  <si>
    <t>FY 2005</t>
  </si>
  <si>
    <t>Grants/Contracts Proposed:</t>
  </si>
  <si>
    <t>B. Financial Information:</t>
  </si>
  <si>
    <t>Budgeted Dollars:</t>
  </si>
  <si>
    <t>Main Campus</t>
  </si>
  <si>
    <t>General Use</t>
  </si>
  <si>
    <t>Total Main Campus</t>
  </si>
  <si>
    <t>Research &amp; Extension</t>
  </si>
  <si>
    <t>Total Research &amp; Extension</t>
  </si>
  <si>
    <t>Total Department</t>
  </si>
  <si>
    <t>Expenditures (General Use Only)</t>
  </si>
  <si>
    <t>Other (Grants, contracts, SRO, fees, sales &amp; service, copy centers, storerooms, etc)</t>
  </si>
  <si>
    <t>Foundation Accounts:</t>
  </si>
  <si>
    <t xml:space="preserve">  </t>
  </si>
  <si>
    <t>Total Donations</t>
  </si>
  <si>
    <t>Endowed Chairs</t>
  </si>
  <si>
    <t>N</t>
  </si>
  <si>
    <t>%</t>
  </si>
  <si>
    <t>$</t>
  </si>
  <si>
    <t>FY 2006</t>
  </si>
  <si>
    <t>FY 2007</t>
  </si>
  <si>
    <t>FY 2008</t>
  </si>
  <si>
    <t>Salina - Other functions</t>
  </si>
  <si>
    <t>FY 2009</t>
  </si>
  <si>
    <t>Five Year Average</t>
  </si>
  <si>
    <t>FY 2010</t>
  </si>
  <si>
    <t>FY 2011</t>
  </si>
  <si>
    <t>Sponsored Research Overhead</t>
  </si>
  <si>
    <t>Other (Grants, contracts, fees, sales &amp; service, copy centers, storerooms, etc)</t>
  </si>
  <si>
    <t>Salina Campus</t>
  </si>
  <si>
    <t>FY 2012</t>
  </si>
  <si>
    <t>FY 2013</t>
  </si>
  <si>
    <t>FY 2014</t>
  </si>
  <si>
    <t>FY 2015</t>
  </si>
  <si>
    <t>FY 2016</t>
  </si>
  <si>
    <t xml:space="preserve">Expenditures </t>
  </si>
  <si>
    <t>Extramural Research Expenditures</t>
  </si>
  <si>
    <t>Public Service GU+ RU</t>
  </si>
  <si>
    <t>Grants/Contracts</t>
  </si>
  <si>
    <t>Proposed:</t>
  </si>
  <si>
    <t>Awarded:</t>
  </si>
  <si>
    <t>Five Year % chg</t>
  </si>
  <si>
    <t>% chg</t>
  </si>
  <si>
    <t xml:space="preserve">Total Salina Campus </t>
  </si>
  <si>
    <t>STATISTICAL OVERVIEW</t>
  </si>
  <si>
    <t>Kansas State University</t>
  </si>
  <si>
    <t xml:space="preserve">Department: Aviation Technology </t>
  </si>
  <si>
    <t>Financial Information</t>
  </si>
  <si>
    <t xml:space="preserve">Department: Arts, Sciences, and Business </t>
  </si>
  <si>
    <t xml:space="preserve">Department: Engineering Technology  </t>
  </si>
  <si>
    <t>FY 2017</t>
  </si>
  <si>
    <t>K-State  Polytechnic - Technology and Aviation Summary</t>
  </si>
  <si>
    <t>Instructional Expenditures-GU &amp; SRO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</si>
</sst>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_(* #,##0_);_(* \(#,##0\);_(* &quot;-&quot;??_);_(@_)"/>
    <numFmt numFmtId="167" formatCode="&quot;$&quot;#,##0"/>
    <numFmt numFmtId="168" formatCode="0.0%"/>
  </numFmts>
  <fonts count="4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1">
    <xf numFmtId="0" fontId="0" fillId="0" borderId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7" applyNumberFormat="0" applyFont="0" applyFill="0" applyAlignment="0" applyProtection="0"/>
    <xf numFmtId="0" fontId="11" fillId="2" borderId="0" applyNumberFormat="0" applyBorder="0" applyAlignment="0" applyProtection="0"/>
    <xf numFmtId="0" fontId="25" fillId="50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5" fillId="51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5" fillId="5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25" fillId="5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5" fillId="2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5" fillId="2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25" fillId="2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25" fillId="2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5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25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5" fillId="3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5" fillId="32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26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26" fillId="3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5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6" fillId="5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6" fillId="57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6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6" fillId="3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26" fillId="3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40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6" fillId="41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27" fillId="42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28" fillId="43" borderId="65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29" fillId="44" borderId="66" applyNumberFormat="0" applyAlignment="0" applyProtection="0"/>
    <xf numFmtId="0" fontId="15" fillId="21" borderId="2" applyNumberFormat="0" applyAlignment="0" applyProtection="0"/>
    <xf numFmtId="43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45" borderId="0" applyNumberFormat="0" applyBorder="0" applyAlignment="0" applyProtection="0"/>
    <xf numFmtId="0" fontId="17" fillId="4" borderId="0" applyNumberFormat="0" applyBorder="0" applyAlignment="0" applyProtection="0"/>
    <xf numFmtId="0" fontId="39" fillId="0" borderId="71" applyNumberFormat="0" applyFill="0" applyAlignment="0" applyProtection="0"/>
    <xf numFmtId="0" fontId="42" fillId="0" borderId="74" applyNumberFormat="0" applyFill="0" applyAlignment="0" applyProtection="0"/>
    <xf numFmtId="0" fontId="39" fillId="0" borderId="71" applyNumberFormat="0" applyFill="0" applyAlignment="0" applyProtection="0"/>
    <xf numFmtId="0" fontId="40" fillId="0" borderId="72" applyNumberFormat="0" applyFill="0" applyAlignment="0" applyProtection="0"/>
    <xf numFmtId="0" fontId="43" fillId="0" borderId="75" applyNumberFormat="0" applyFill="0" applyAlignment="0" applyProtection="0"/>
    <xf numFmtId="0" fontId="40" fillId="0" borderId="72" applyNumberFormat="0" applyFill="0" applyAlignment="0" applyProtection="0"/>
    <xf numFmtId="0" fontId="18" fillId="0" borderId="3" applyNumberFormat="0" applyFill="0" applyAlignment="0" applyProtection="0"/>
    <xf numFmtId="0" fontId="32" fillId="0" borderId="67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33" fillId="46" borderId="65" applyNumberFormat="0" applyAlignment="0" applyProtection="0"/>
    <xf numFmtId="0" fontId="19" fillId="7" borderId="1" applyNumberFormat="0" applyAlignment="0" applyProtection="0"/>
    <xf numFmtId="0" fontId="20" fillId="0" borderId="4" applyNumberFormat="0" applyFill="0" applyAlignment="0" applyProtection="0"/>
    <xf numFmtId="0" fontId="34" fillId="0" borderId="68" applyNumberFormat="0" applyFill="0" applyAlignment="0" applyProtection="0"/>
    <xf numFmtId="0" fontId="20" fillId="0" borderId="4" applyNumberFormat="0" applyFill="0" applyAlignment="0" applyProtection="0"/>
    <xf numFmtId="0" fontId="21" fillId="22" borderId="0" applyNumberFormat="0" applyBorder="0" applyAlignment="0" applyProtection="0"/>
    <xf numFmtId="0" fontId="35" fillId="47" borderId="0" applyNumberFormat="0" applyBorder="0" applyAlignment="0" applyProtection="0"/>
    <xf numFmtId="0" fontId="21" fillId="2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11" fillId="23" borderId="5" applyNumberFormat="0" applyFont="0" applyAlignment="0" applyProtection="0"/>
    <xf numFmtId="0" fontId="25" fillId="48" borderId="69" applyNumberFormat="0" applyFont="0" applyAlignment="0" applyProtection="0"/>
    <xf numFmtId="0" fontId="11" fillId="23" borderId="5" applyNumberFormat="0" applyFont="0" applyAlignment="0" applyProtection="0"/>
    <xf numFmtId="0" fontId="22" fillId="20" borderId="6" applyNumberFormat="0" applyAlignment="0" applyProtection="0"/>
    <xf numFmtId="0" fontId="36" fillId="43" borderId="70" applyNumberFormat="0" applyAlignment="0" applyProtection="0"/>
    <xf numFmtId="0" fontId="22" fillId="20" borderId="6" applyNumberFormat="0" applyAlignment="0" applyProtection="0"/>
    <xf numFmtId="9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73" applyNumberFormat="0" applyFill="0" applyAlignment="0" applyProtection="0"/>
    <xf numFmtId="0" fontId="44" fillId="0" borderId="76" applyNumberFormat="0" applyFill="0" applyAlignment="0" applyProtection="0"/>
    <xf numFmtId="0" fontId="41" fillId="0" borderId="73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</cellStyleXfs>
  <cellXfs count="497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8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0" fontId="4" fillId="0" borderId="17" xfId="0" applyFont="1" applyBorder="1"/>
    <xf numFmtId="0" fontId="4" fillId="0" borderId="16" xfId="0" applyFont="1" applyBorder="1"/>
    <xf numFmtId="164" fontId="4" fillId="0" borderId="16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20" xfId="0" applyFont="1" applyBorder="1"/>
    <xf numFmtId="0" fontId="4" fillId="0" borderId="20" xfId="0" applyFont="1" applyBorder="1"/>
    <xf numFmtId="0" fontId="4" fillId="0" borderId="21" xfId="0" applyFont="1" applyBorder="1"/>
    <xf numFmtId="0" fontId="3" fillId="0" borderId="21" xfId="0" applyFont="1" applyBorder="1"/>
    <xf numFmtId="164" fontId="4" fillId="0" borderId="15" xfId="0" applyNumberFormat="1" applyFont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4" fillId="0" borderId="23" xfId="0" applyNumberFormat="1" applyFont="1" applyBorder="1"/>
    <xf numFmtId="0" fontId="6" fillId="0" borderId="0" xfId="0" applyFont="1" applyBorder="1"/>
    <xf numFmtId="0" fontId="3" fillId="0" borderId="16" xfId="0" applyFont="1" applyBorder="1"/>
    <xf numFmtId="0" fontId="4" fillId="0" borderId="12" xfId="0" applyFont="1" applyBorder="1"/>
    <xf numFmtId="164" fontId="4" fillId="0" borderId="12" xfId="0" applyNumberFormat="1" applyFont="1" applyBorder="1" applyAlignment="1">
      <alignment horizontal="right"/>
    </xf>
    <xf numFmtId="0" fontId="8" fillId="0" borderId="0" xfId="0" applyFont="1"/>
    <xf numFmtId="0" fontId="4" fillId="0" borderId="16" xfId="0" applyFont="1" applyFill="1" applyBorder="1"/>
    <xf numFmtId="164" fontId="4" fillId="0" borderId="16" xfId="0" applyNumberFormat="1" applyFont="1" applyFill="1" applyBorder="1"/>
    <xf numFmtId="164" fontId="4" fillId="0" borderId="15" xfId="0" applyNumberFormat="1" applyFont="1" applyFill="1" applyBorder="1"/>
    <xf numFmtId="0" fontId="4" fillId="0" borderId="16" xfId="0" applyNumberFormat="1" applyFont="1" applyBorder="1"/>
    <xf numFmtId="0" fontId="4" fillId="0" borderId="15" xfId="0" applyNumberFormat="1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9" xfId="0" applyFont="1" applyBorder="1"/>
    <xf numFmtId="166" fontId="4" fillId="0" borderId="27" xfId="1" applyNumberFormat="1" applyFont="1" applyBorder="1"/>
    <xf numFmtId="166" fontId="4" fillId="0" borderId="29" xfId="1" applyNumberFormat="1" applyFont="1" applyBorder="1"/>
    <xf numFmtId="0" fontId="3" fillId="0" borderId="28" xfId="0" applyFont="1" applyBorder="1"/>
    <xf numFmtId="166" fontId="3" fillId="0" borderId="29" xfId="1" applyNumberFormat="1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164" fontId="4" fillId="0" borderId="28" xfId="0" applyNumberFormat="1" applyFont="1" applyBorder="1"/>
    <xf numFmtId="164" fontId="4" fillId="0" borderId="29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4" fillId="0" borderId="28" xfId="0" applyNumberFormat="1" applyFont="1" applyBorder="1"/>
    <xf numFmtId="0" fontId="4" fillId="0" borderId="29" xfId="0" applyNumberFormat="1" applyFont="1" applyBorder="1" applyAlignment="1">
      <alignment horizontal="right"/>
    </xf>
    <xf numFmtId="164" fontId="4" fillId="0" borderId="32" xfId="0" applyNumberFormat="1" applyFont="1" applyBorder="1"/>
    <xf numFmtId="0" fontId="4" fillId="0" borderId="38" xfId="0" applyNumberFormat="1" applyFont="1" applyBorder="1" applyAlignment="1">
      <alignment horizontal="right"/>
    </xf>
    <xf numFmtId="0" fontId="4" fillId="0" borderId="35" xfId="0" applyNumberFormat="1" applyFont="1" applyBorder="1"/>
    <xf numFmtId="164" fontId="4" fillId="0" borderId="33" xfId="0" applyNumberFormat="1" applyFont="1" applyBorder="1"/>
    <xf numFmtId="164" fontId="4" fillId="0" borderId="34" xfId="0" applyNumberFormat="1" applyFont="1" applyBorder="1" applyAlignment="1">
      <alignment horizontal="right"/>
    </xf>
    <xf numFmtId="164" fontId="4" fillId="0" borderId="37" xfId="0" applyNumberFormat="1" applyFont="1" applyBorder="1"/>
    <xf numFmtId="164" fontId="4" fillId="0" borderId="39" xfId="0" applyNumberFormat="1" applyFont="1" applyBorder="1" applyAlignment="1">
      <alignment horizontal="right"/>
    </xf>
    <xf numFmtId="164" fontId="4" fillId="0" borderId="26" xfId="0" applyNumberFormat="1" applyFont="1" applyBorder="1"/>
    <xf numFmtId="164" fontId="4" fillId="0" borderId="30" xfId="0" applyNumberFormat="1" applyFont="1" applyBorder="1"/>
    <xf numFmtId="164" fontId="4" fillId="0" borderId="31" xfId="0" applyNumberFormat="1" applyFont="1" applyBorder="1" applyAlignment="1">
      <alignment horizontal="right"/>
    </xf>
    <xf numFmtId="166" fontId="4" fillId="0" borderId="17" xfId="1" applyNumberFormat="1" applyFont="1" applyBorder="1"/>
    <xf numFmtId="166" fontId="4" fillId="0" borderId="16" xfId="1" applyNumberFormat="1" applyFont="1" applyBorder="1"/>
    <xf numFmtId="166" fontId="3" fillId="0" borderId="16" xfId="1" applyNumberFormat="1" applyFont="1" applyBorder="1"/>
    <xf numFmtId="0" fontId="4" fillId="0" borderId="16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5" fontId="4" fillId="0" borderId="36" xfId="0" applyNumberFormat="1" applyFont="1" applyBorder="1" applyAlignment="1">
      <alignment horizontal="right"/>
    </xf>
    <xf numFmtId="5" fontId="4" fillId="0" borderId="34" xfId="0" applyNumberFormat="1" applyFont="1" applyBorder="1" applyAlignment="1">
      <alignment horizontal="right"/>
    </xf>
    <xf numFmtId="5" fontId="4" fillId="0" borderId="39" xfId="0" applyNumberFormat="1" applyFont="1" applyBorder="1" applyAlignment="1">
      <alignment horizontal="right"/>
    </xf>
    <xf numFmtId="5" fontId="4" fillId="0" borderId="27" xfId="0" applyNumberFormat="1" applyFont="1" applyBorder="1" applyAlignment="1">
      <alignment horizontal="right"/>
    </xf>
    <xf numFmtId="5" fontId="4" fillId="0" borderId="31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center"/>
    </xf>
    <xf numFmtId="5" fontId="4" fillId="0" borderId="29" xfId="0" applyNumberFormat="1" applyFont="1" applyBorder="1" applyAlignment="1">
      <alignment horizontal="right"/>
    </xf>
    <xf numFmtId="0" fontId="4" fillId="0" borderId="28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0" borderId="29" xfId="0" applyFont="1" applyFill="1" applyBorder="1"/>
    <xf numFmtId="0" fontId="4" fillId="0" borderId="24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3" fillId="0" borderId="16" xfId="0" applyFont="1" applyFill="1" applyBorder="1"/>
    <xf numFmtId="0" fontId="4" fillId="0" borderId="12" xfId="0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23" xfId="0" applyNumberFormat="1" applyFont="1" applyFill="1" applyBorder="1"/>
    <xf numFmtId="164" fontId="4" fillId="0" borderId="12" xfId="0" applyNumberFormat="1" applyFont="1" applyFill="1" applyBorder="1"/>
    <xf numFmtId="164" fontId="4" fillId="0" borderId="0" xfId="0" applyNumberFormat="1" applyFont="1" applyFill="1" applyBorder="1"/>
    <xf numFmtId="164" fontId="4" fillId="0" borderId="13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center"/>
    </xf>
    <xf numFmtId="166" fontId="4" fillId="0" borderId="17" xfId="1" applyNumberFormat="1" applyFont="1" applyFill="1" applyBorder="1"/>
    <xf numFmtId="0" fontId="4" fillId="0" borderId="23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5" fontId="4" fillId="0" borderId="17" xfId="0" applyNumberFormat="1" applyFont="1" applyBorder="1" applyAlignment="1">
      <alignment horizontal="right"/>
    </xf>
    <xf numFmtId="164" fontId="4" fillId="0" borderId="13" xfId="3" applyNumberFormat="1" applyFont="1" applyBorder="1" applyAlignment="1">
      <alignment horizontal="right"/>
    </xf>
    <xf numFmtId="0" fontId="3" fillId="0" borderId="28" xfId="0" applyFont="1" applyFill="1" applyBorder="1"/>
    <xf numFmtId="0" fontId="4" fillId="0" borderId="33" xfId="0" applyFont="1" applyFill="1" applyBorder="1"/>
    <xf numFmtId="164" fontId="4" fillId="0" borderId="28" xfId="0" applyNumberFormat="1" applyFont="1" applyFill="1" applyBorder="1"/>
    <xf numFmtId="164" fontId="4" fillId="0" borderId="35" xfId="0" applyNumberFormat="1" applyFont="1" applyFill="1" applyBorder="1"/>
    <xf numFmtId="164" fontId="4" fillId="0" borderId="37" xfId="0" applyNumberFormat="1" applyFont="1" applyFill="1" applyBorder="1" applyAlignment="1">
      <alignment horizontal="center"/>
    </xf>
    <xf numFmtId="164" fontId="4" fillId="0" borderId="32" xfId="0" applyNumberFormat="1" applyFont="1" applyFill="1" applyBorder="1"/>
    <xf numFmtId="164" fontId="4" fillId="0" borderId="33" xfId="0" applyNumberFormat="1" applyFont="1" applyFill="1" applyBorder="1"/>
    <xf numFmtId="164" fontId="4" fillId="0" borderId="37" xfId="0" applyNumberFormat="1" applyFont="1" applyFill="1" applyBorder="1"/>
    <xf numFmtId="164" fontId="4" fillId="0" borderId="26" xfId="0" applyNumberFormat="1" applyFont="1" applyFill="1" applyBorder="1"/>
    <xf numFmtId="164" fontId="4" fillId="0" borderId="30" xfId="0" applyNumberFormat="1" applyFont="1" applyFill="1" applyBorder="1"/>
    <xf numFmtId="5" fontId="4" fillId="0" borderId="16" xfId="0" applyNumberFormat="1" applyFont="1" applyBorder="1" applyAlignment="1">
      <alignment horizontal="right"/>
    </xf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indent="1"/>
    </xf>
    <xf numFmtId="0" fontId="4" fillId="0" borderId="21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3" fillId="0" borderId="43" xfId="0" applyFont="1" applyBorder="1" applyAlignment="1">
      <alignment horizontal="left" indent="1"/>
    </xf>
    <xf numFmtId="0" fontId="3" fillId="0" borderId="42" xfId="0" applyFont="1" applyBorder="1"/>
    <xf numFmtId="0" fontId="4" fillId="0" borderId="44" xfId="0" applyFont="1" applyBorder="1"/>
    <xf numFmtId="0" fontId="3" fillId="0" borderId="44" xfId="0" applyFont="1" applyBorder="1"/>
    <xf numFmtId="0" fontId="3" fillId="0" borderId="19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4" fillId="0" borderId="34" xfId="0" applyFont="1" applyFill="1" applyBorder="1"/>
    <xf numFmtId="166" fontId="4" fillId="0" borderId="27" xfId="1" applyNumberFormat="1" applyFont="1" applyFill="1" applyBorder="1"/>
    <xf numFmtId="166" fontId="3" fillId="0" borderId="29" xfId="1" applyNumberFormat="1" applyFont="1" applyFill="1" applyBorder="1"/>
    <xf numFmtId="166" fontId="4" fillId="0" borderId="29" xfId="1" applyNumberFormat="1" applyFont="1" applyFill="1" applyBorder="1"/>
    <xf numFmtId="164" fontId="4" fillId="0" borderId="15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4" fillId="0" borderId="38" xfId="0" applyNumberFormat="1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16" xfId="0" applyNumberFormat="1" applyFont="1" applyFill="1" applyBorder="1"/>
    <xf numFmtId="164" fontId="4" fillId="0" borderId="17" xfId="0" applyNumberFormat="1" applyFont="1" applyFill="1" applyBorder="1"/>
    <xf numFmtId="0" fontId="4" fillId="0" borderId="29" xfId="0" applyNumberFormat="1" applyFont="1" applyFill="1" applyBorder="1"/>
    <xf numFmtId="0" fontId="4" fillId="0" borderId="39" xfId="0" applyFont="1" applyFill="1" applyBorder="1" applyAlignment="1">
      <alignment horizontal="center"/>
    </xf>
    <xf numFmtId="5" fontId="4" fillId="0" borderId="27" xfId="0" applyNumberFormat="1" applyFont="1" applyFill="1" applyBorder="1" applyAlignment="1">
      <alignment horizontal="right"/>
    </xf>
    <xf numFmtId="166" fontId="3" fillId="0" borderId="16" xfId="1" applyNumberFormat="1" applyFont="1" applyFill="1" applyBorder="1"/>
    <xf numFmtId="164" fontId="4" fillId="0" borderId="16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4" fontId="4" fillId="0" borderId="31" xfId="3" applyNumberFormat="1" applyFont="1" applyFill="1" applyBorder="1" applyAlignment="1">
      <alignment horizontal="right"/>
    </xf>
    <xf numFmtId="166" fontId="4" fillId="0" borderId="16" xfId="1" applyNumberFormat="1" applyFont="1" applyFill="1" applyBorder="1"/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5" fontId="4" fillId="0" borderId="16" xfId="0" applyNumberFormat="1" applyFont="1" applyFill="1" applyBorder="1" applyAlignment="1">
      <alignment horizontal="right"/>
    </xf>
    <xf numFmtId="164" fontId="4" fillId="0" borderId="13" xfId="3" applyNumberFormat="1" applyFont="1" applyFill="1" applyBorder="1" applyAlignment="1">
      <alignment horizontal="right"/>
    </xf>
    <xf numFmtId="0" fontId="4" fillId="0" borderId="28" xfId="0" applyNumberFormat="1" applyFont="1" applyFill="1" applyBorder="1"/>
    <xf numFmtId="5" fontId="4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66" fontId="4" fillId="0" borderId="17" xfId="1" applyNumberFormat="1" applyFont="1" applyFill="1" applyBorder="1" applyAlignment="1">
      <alignment horizontal="right"/>
    </xf>
    <xf numFmtId="166" fontId="4" fillId="0" borderId="16" xfId="1" applyNumberFormat="1" applyFont="1" applyFill="1" applyBorder="1" applyAlignment="1">
      <alignment horizontal="right"/>
    </xf>
    <xf numFmtId="166" fontId="3" fillId="0" borderId="16" xfId="1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7" fontId="4" fillId="0" borderId="29" xfId="0" applyNumberFormat="1" applyFont="1" applyBorder="1" applyAlignment="1">
      <alignment horizontal="right"/>
    </xf>
    <xf numFmtId="167" fontId="4" fillId="0" borderId="29" xfId="0" applyNumberFormat="1" applyFont="1" applyBorder="1"/>
    <xf numFmtId="167" fontId="4" fillId="0" borderId="16" xfId="0" applyNumberFormat="1" applyFont="1" applyBorder="1"/>
    <xf numFmtId="167" fontId="4" fillId="0" borderId="29" xfId="0" applyNumberFormat="1" applyFont="1" applyFill="1" applyBorder="1"/>
    <xf numFmtId="167" fontId="4" fillId="0" borderId="29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5" fontId="4" fillId="0" borderId="29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64" fontId="4" fillId="24" borderId="31" xfId="3" applyNumberFormat="1" applyFont="1" applyFill="1" applyBorder="1" applyAlignment="1">
      <alignment horizontal="right"/>
    </xf>
    <xf numFmtId="0" fontId="4" fillId="0" borderId="23" xfId="0" applyNumberFormat="1" applyFont="1" applyFill="1" applyBorder="1"/>
    <xf numFmtId="0" fontId="4" fillId="0" borderId="15" xfId="0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0" fontId="4" fillId="0" borderId="47" xfId="0" applyFont="1" applyBorder="1"/>
    <xf numFmtId="0" fontId="4" fillId="0" borderId="28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0" fontId="4" fillId="0" borderId="22" xfId="0" applyFont="1" applyBorder="1"/>
    <xf numFmtId="0" fontId="4" fillId="0" borderId="24" xfId="0" applyFont="1" applyBorder="1"/>
    <xf numFmtId="0" fontId="0" fillId="0" borderId="9" xfId="0" applyBorder="1"/>
    <xf numFmtId="0" fontId="0" fillId="0" borderId="24" xfId="0" applyBorder="1"/>
    <xf numFmtId="0" fontId="0" fillId="0" borderId="51" xfId="0" applyBorder="1"/>
    <xf numFmtId="166" fontId="0" fillId="0" borderId="24" xfId="0" applyNumberFormat="1" applyBorder="1"/>
    <xf numFmtId="5" fontId="0" fillId="0" borderId="24" xfId="0" applyNumberFormat="1" applyBorder="1"/>
    <xf numFmtId="1" fontId="0" fillId="0" borderId="9" xfId="0" applyNumberFormat="1" applyBorder="1"/>
    <xf numFmtId="1" fontId="0" fillId="0" borderId="24" xfId="0" applyNumberFormat="1" applyBorder="1"/>
    <xf numFmtId="1" fontId="6" fillId="0" borderId="24" xfId="0" applyNumberFormat="1" applyFont="1" applyBorder="1"/>
    <xf numFmtId="0" fontId="0" fillId="0" borderId="22" xfId="0" applyBorder="1"/>
    <xf numFmtId="0" fontId="0" fillId="0" borderId="40" xfId="0" applyBorder="1"/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4" xfId="0" applyBorder="1"/>
    <xf numFmtId="0" fontId="0" fillId="0" borderId="56" xfId="0" applyBorder="1"/>
    <xf numFmtId="0" fontId="5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6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25" borderId="28" xfId="0" applyFont="1" applyFill="1" applyBorder="1"/>
    <xf numFmtId="164" fontId="4" fillId="0" borderId="29" xfId="3" applyNumberFormat="1" applyFont="1" applyFill="1" applyBorder="1" applyAlignment="1">
      <alignment horizontal="right"/>
    </xf>
    <xf numFmtId="164" fontId="4" fillId="0" borderId="36" xfId="3" applyNumberFormat="1" applyFont="1" applyFill="1" applyBorder="1" applyAlignment="1">
      <alignment horizontal="right"/>
    </xf>
    <xf numFmtId="1" fontId="4" fillId="0" borderId="28" xfId="3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7" fontId="4" fillId="0" borderId="29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/>
    </xf>
    <xf numFmtId="0" fontId="3" fillId="0" borderId="52" xfId="0" applyFont="1" applyBorder="1"/>
    <xf numFmtId="0" fontId="7" fillId="0" borderId="20" xfId="0" applyFont="1" applyBorder="1" applyAlignment="1">
      <alignment horizontal="left" indent="1"/>
    </xf>
    <xf numFmtId="0" fontId="5" fillId="0" borderId="0" xfId="0" applyFont="1" applyAlignment="1"/>
    <xf numFmtId="5" fontId="4" fillId="25" borderId="29" xfId="0" applyNumberFormat="1" applyFont="1" applyFill="1" applyBorder="1" applyAlignment="1">
      <alignment horizontal="right"/>
    </xf>
    <xf numFmtId="166" fontId="4" fillId="25" borderId="27" xfId="1" applyNumberFormat="1" applyFont="1" applyFill="1" applyBorder="1"/>
    <xf numFmtId="166" fontId="4" fillId="25" borderId="17" xfId="1" applyNumberFormat="1" applyFont="1" applyFill="1" applyBorder="1"/>
    <xf numFmtId="166" fontId="4" fillId="25" borderId="16" xfId="1" applyNumberFormat="1" applyFont="1" applyFill="1" applyBorder="1"/>
    <xf numFmtId="166" fontId="3" fillId="25" borderId="16" xfId="1" applyNumberFormat="1" applyFont="1" applyFill="1" applyBorder="1"/>
    <xf numFmtId="0" fontId="4" fillId="25" borderId="26" xfId="0" applyFont="1" applyFill="1" applyBorder="1"/>
    <xf numFmtId="166" fontId="4" fillId="25" borderId="29" xfId="1" applyNumberFormat="1" applyFont="1" applyFill="1" applyBorder="1"/>
    <xf numFmtId="0" fontId="3" fillId="25" borderId="28" xfId="0" applyFont="1" applyFill="1" applyBorder="1"/>
    <xf numFmtId="166" fontId="3" fillId="25" borderId="29" xfId="1" applyNumberFormat="1" applyFont="1" applyFill="1" applyBorder="1"/>
    <xf numFmtId="164" fontId="0" fillId="0" borderId="46" xfId="0" applyNumberFormat="1" applyBorder="1"/>
    <xf numFmtId="164" fontId="4" fillId="49" borderId="31" xfId="3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center"/>
    </xf>
    <xf numFmtId="164" fontId="4" fillId="0" borderId="38" xfId="0" applyNumberFormat="1" applyFont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7" fontId="4" fillId="0" borderId="31" xfId="0" applyNumberFormat="1" applyFont="1" applyFill="1" applyBorder="1" applyAlignment="1">
      <alignment horizontal="right"/>
    </xf>
    <xf numFmtId="164" fontId="4" fillId="0" borderId="64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164" fontId="4" fillId="0" borderId="58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57" xfId="0" applyNumberFormat="1" applyFont="1" applyFill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right"/>
    </xf>
    <xf numFmtId="1" fontId="4" fillId="0" borderId="30" xfId="0" applyNumberFormat="1" applyFont="1" applyFill="1" applyBorder="1" applyAlignment="1">
      <alignment horizontal="center"/>
    </xf>
    <xf numFmtId="0" fontId="3" fillId="0" borderId="77" xfId="0" applyFont="1" applyBorder="1"/>
    <xf numFmtId="0" fontId="3" fillId="0" borderId="19" xfId="0" applyFont="1" applyBorder="1"/>
    <xf numFmtId="164" fontId="4" fillId="0" borderId="23" xfId="0" applyNumberFormat="1" applyFont="1" applyBorder="1" applyAlignment="1">
      <alignment horizontal="right"/>
    </xf>
    <xf numFmtId="5" fontId="4" fillId="0" borderId="38" xfId="0" applyNumberFormat="1" applyFont="1" applyFill="1" applyBorder="1" applyAlignment="1">
      <alignment horizontal="center"/>
    </xf>
    <xf numFmtId="5" fontId="4" fillId="0" borderId="23" xfId="0" applyNumberFormat="1" applyFont="1" applyFill="1" applyBorder="1"/>
    <xf numFmtId="164" fontId="4" fillId="0" borderId="31" xfId="0" applyNumberFormat="1" applyFont="1" applyBorder="1" applyAlignment="1">
      <alignment horizontal="center"/>
    </xf>
    <xf numFmtId="167" fontId="4" fillId="0" borderId="31" xfId="0" applyNumberFormat="1" applyFont="1" applyFill="1" applyBorder="1" applyAlignment="1">
      <alignment horizontal="center"/>
    </xf>
    <xf numFmtId="5" fontId="4" fillId="0" borderId="31" xfId="0" applyNumberFormat="1" applyFont="1" applyFill="1" applyBorder="1" applyAlignment="1">
      <alignment horizontal="center"/>
    </xf>
    <xf numFmtId="164" fontId="4" fillId="0" borderId="62" xfId="0" applyNumberFormat="1" applyFont="1" applyBorder="1" applyAlignment="1">
      <alignment horizontal="center"/>
    </xf>
    <xf numFmtId="5" fontId="4" fillId="58" borderId="31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5" fontId="4" fillId="0" borderId="13" xfId="0" applyNumberFormat="1" applyFont="1" applyFill="1" applyBorder="1" applyAlignment="1">
      <alignment horizontal="center"/>
    </xf>
    <xf numFmtId="164" fontId="4" fillId="0" borderId="57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right"/>
    </xf>
    <xf numFmtId="167" fontId="4" fillId="0" borderId="31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" fontId="4" fillId="0" borderId="30" xfId="3" applyNumberFormat="1" applyFont="1" applyFill="1" applyBorder="1" applyAlignment="1">
      <alignment horizontal="center"/>
    </xf>
    <xf numFmtId="164" fontId="4" fillId="0" borderId="49" xfId="0" applyNumberFormat="1" applyFont="1" applyBorder="1"/>
    <xf numFmtId="164" fontId="4" fillId="0" borderId="49" xfId="0" applyNumberFormat="1" applyFont="1" applyBorder="1" applyAlignment="1">
      <alignment horizontal="right"/>
    </xf>
    <xf numFmtId="0" fontId="4" fillId="0" borderId="78" xfId="0" applyFont="1" applyBorder="1"/>
    <xf numFmtId="5" fontId="4" fillId="58" borderId="30" xfId="0" applyNumberFormat="1" applyFont="1" applyFill="1" applyBorder="1"/>
    <xf numFmtId="167" fontId="4" fillId="0" borderId="27" xfId="0" applyNumberFormat="1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43" xfId="0" applyFont="1" applyBorder="1" applyAlignment="1">
      <alignment horizontal="left" wrapText="1" indent="1"/>
    </xf>
    <xf numFmtId="166" fontId="4" fillId="0" borderId="38" xfId="1" applyNumberFormat="1" applyFont="1" applyBorder="1"/>
    <xf numFmtId="0" fontId="4" fillId="0" borderId="23" xfId="0" applyFont="1" applyBorder="1"/>
    <xf numFmtId="166" fontId="4" fillId="0" borderId="23" xfId="1" applyNumberFormat="1" applyFont="1" applyBorder="1"/>
    <xf numFmtId="0" fontId="4" fillId="0" borderId="32" xfId="0" applyFont="1" applyFill="1" applyBorder="1"/>
    <xf numFmtId="166" fontId="4" fillId="0" borderId="38" xfId="1" applyNumberFormat="1" applyFont="1" applyFill="1" applyBorder="1"/>
    <xf numFmtId="0" fontId="4" fillId="0" borderId="23" xfId="0" applyFont="1" applyFill="1" applyBorder="1"/>
    <xf numFmtId="166" fontId="4" fillId="0" borderId="23" xfId="1" applyNumberFormat="1" applyFont="1" applyFill="1" applyBorder="1"/>
    <xf numFmtId="0" fontId="4" fillId="0" borderId="40" xfId="0" applyFont="1" applyBorder="1"/>
    <xf numFmtId="0" fontId="3" fillId="0" borderId="80" xfId="0" applyFont="1" applyBorder="1" applyAlignment="1">
      <alignment horizontal="left" indent="1"/>
    </xf>
    <xf numFmtId="0" fontId="3" fillId="0" borderId="81" xfId="0" applyFont="1" applyBorder="1"/>
    <xf numFmtId="166" fontId="3" fillId="0" borderId="82" xfId="1" applyNumberFormat="1" applyFont="1" applyBorder="1"/>
    <xf numFmtId="0" fontId="3" fillId="0" borderId="83" xfId="0" applyFont="1" applyBorder="1"/>
    <xf numFmtId="166" fontId="3" fillId="0" borderId="83" xfId="1" applyNumberFormat="1" applyFont="1" applyBorder="1"/>
    <xf numFmtId="0" fontId="3" fillId="0" borderId="81" xfId="0" applyFont="1" applyFill="1" applyBorder="1"/>
    <xf numFmtId="166" fontId="3" fillId="0" borderId="82" xfId="1" applyNumberFormat="1" applyFont="1" applyFill="1" applyBorder="1"/>
    <xf numFmtId="0" fontId="3" fillId="0" borderId="83" xfId="0" applyFont="1" applyFill="1" applyBorder="1"/>
    <xf numFmtId="166" fontId="3" fillId="0" borderId="83" xfId="1" applyNumberFormat="1" applyFont="1" applyFill="1" applyBorder="1"/>
    <xf numFmtId="0" fontId="4" fillId="0" borderId="91" xfId="0" applyFont="1" applyBorder="1"/>
    <xf numFmtId="166" fontId="3" fillId="0" borderId="92" xfId="1" applyNumberFormat="1" applyFont="1" applyBorder="1"/>
    <xf numFmtId="0" fontId="4" fillId="0" borderId="93" xfId="0" applyFont="1" applyBorder="1"/>
    <xf numFmtId="166" fontId="3" fillId="0" borderId="93" xfId="1" applyNumberFormat="1" applyFont="1" applyBorder="1"/>
    <xf numFmtId="0" fontId="4" fillId="0" borderId="91" xfId="0" applyFont="1" applyFill="1" applyBorder="1"/>
    <xf numFmtId="166" fontId="3" fillId="0" borderId="93" xfId="1" applyNumberFormat="1" applyFont="1" applyFill="1" applyBorder="1"/>
    <xf numFmtId="166" fontId="3" fillId="0" borderId="92" xfId="1" applyNumberFormat="1" applyFont="1" applyFill="1" applyBorder="1"/>
    <xf numFmtId="0" fontId="4" fillId="0" borderId="93" xfId="0" applyFont="1" applyFill="1" applyBorder="1"/>
    <xf numFmtId="167" fontId="4" fillId="0" borderId="27" xfId="0" applyNumberFormat="1" applyFont="1" applyFill="1" applyBorder="1" applyAlignment="1">
      <alignment horizontal="right"/>
    </xf>
    <xf numFmtId="0" fontId="3" fillId="0" borderId="100" xfId="0" applyFont="1" applyBorder="1"/>
    <xf numFmtId="0" fontId="3" fillId="0" borderId="18" xfId="0" applyFont="1" applyBorder="1" applyAlignment="1">
      <alignment horizontal="left"/>
    </xf>
    <xf numFmtId="164" fontId="3" fillId="0" borderId="64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64" fontId="3" fillId="0" borderId="5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168" fontId="4" fillId="0" borderId="24" xfId="0" applyNumberFormat="1" applyFont="1" applyBorder="1"/>
    <xf numFmtId="168" fontId="3" fillId="0" borderId="84" xfId="0" applyNumberFormat="1" applyFont="1" applyBorder="1"/>
    <xf numFmtId="168" fontId="4" fillId="0" borderId="55" xfId="0" applyNumberFormat="1" applyFont="1" applyBorder="1"/>
    <xf numFmtId="168" fontId="3" fillId="0" borderId="86" xfId="0" applyNumberFormat="1" applyFont="1" applyBorder="1"/>
    <xf numFmtId="168" fontId="4" fillId="0" borderId="101" xfId="0" applyNumberFormat="1" applyFont="1" applyBorder="1"/>
    <xf numFmtId="168" fontId="4" fillId="0" borderId="102" xfId="0" applyNumberFormat="1" applyFont="1" applyBorder="1"/>
    <xf numFmtId="168" fontId="4" fillId="0" borderId="79" xfId="0" applyNumberFormat="1" applyFont="1" applyBorder="1"/>
    <xf numFmtId="168" fontId="3" fillId="0" borderId="103" xfId="0" applyNumberFormat="1" applyFont="1" applyBorder="1"/>
    <xf numFmtId="168" fontId="4" fillId="0" borderId="104" xfId="0" applyNumberFormat="1" applyFont="1" applyBorder="1"/>
    <xf numFmtId="168" fontId="4" fillId="0" borderId="7" xfId="0" applyNumberFormat="1" applyFont="1" applyBorder="1"/>
    <xf numFmtId="0" fontId="3" fillId="0" borderId="105" xfId="0" applyFont="1" applyBorder="1" applyAlignment="1">
      <alignment horizontal="center"/>
    </xf>
    <xf numFmtId="168" fontId="4" fillId="0" borderId="105" xfId="0" applyNumberFormat="1" applyFont="1" applyBorder="1"/>
    <xf numFmtId="0" fontId="3" fillId="0" borderId="90" xfId="0" applyFont="1" applyBorder="1" applyAlignment="1">
      <alignment horizontal="left" indent="3"/>
    </xf>
    <xf numFmtId="0" fontId="2" fillId="0" borderId="0" xfId="0" applyFont="1" applyFill="1" applyAlignment="1" applyProtection="1"/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27" xfId="0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164" fontId="3" fillId="0" borderId="107" xfId="0" applyNumberFormat="1" applyFont="1" applyFill="1" applyBorder="1" applyAlignment="1">
      <alignment horizontal="center"/>
    </xf>
    <xf numFmtId="164" fontId="3" fillId="0" borderId="108" xfId="0" applyNumberFormat="1" applyFont="1" applyFill="1" applyBorder="1" applyAlignment="1">
      <alignment horizontal="center"/>
    </xf>
    <xf numFmtId="0" fontId="4" fillId="0" borderId="109" xfId="0" applyNumberFormat="1" applyFont="1" applyFill="1" applyBorder="1" applyAlignment="1">
      <alignment horizontal="center"/>
    </xf>
    <xf numFmtId="164" fontId="4" fillId="0" borderId="110" xfId="3" applyNumberFormat="1" applyFont="1" applyFill="1" applyBorder="1" applyAlignment="1">
      <alignment horizontal="right"/>
    </xf>
    <xf numFmtId="1" fontId="4" fillId="0" borderId="111" xfId="0" applyNumberFormat="1" applyFont="1" applyFill="1" applyBorder="1" applyAlignment="1">
      <alignment horizontal="center"/>
    </xf>
    <xf numFmtId="164" fontId="4" fillId="0" borderId="112" xfId="3" applyNumberFormat="1" applyFont="1" applyFill="1" applyBorder="1" applyAlignment="1">
      <alignment horizontal="right"/>
    </xf>
    <xf numFmtId="166" fontId="4" fillId="0" borderId="23" xfId="1" applyNumberFormat="1" applyFont="1" applyFill="1" applyBorder="1" applyAlignment="1">
      <alignment horizontal="right"/>
    </xf>
    <xf numFmtId="0" fontId="3" fillId="0" borderId="113" xfId="0" applyFont="1" applyBorder="1" applyAlignment="1">
      <alignment horizontal="center"/>
    </xf>
    <xf numFmtId="0" fontId="4" fillId="0" borderId="114" xfId="0" applyFont="1" applyBorder="1"/>
    <xf numFmtId="166" fontId="3" fillId="0" borderId="115" xfId="1" applyNumberFormat="1" applyFont="1" applyBorder="1"/>
    <xf numFmtId="0" fontId="4" fillId="0" borderId="116" xfId="0" applyFont="1" applyBorder="1"/>
    <xf numFmtId="166" fontId="3" fillId="0" borderId="116" xfId="1" applyNumberFormat="1" applyFont="1" applyBorder="1"/>
    <xf numFmtId="0" fontId="4" fillId="0" borderId="114" xfId="0" applyFont="1" applyFill="1" applyBorder="1"/>
    <xf numFmtId="166" fontId="3" fillId="0" borderId="115" xfId="1" applyNumberFormat="1" applyFont="1" applyFill="1" applyBorder="1"/>
    <xf numFmtId="0" fontId="4" fillId="0" borderId="116" xfId="0" applyFont="1" applyFill="1" applyBorder="1"/>
    <xf numFmtId="166" fontId="3" fillId="0" borderId="116" xfId="1" applyNumberFormat="1" applyFont="1" applyFill="1" applyBorder="1" applyAlignment="1">
      <alignment horizontal="right"/>
    </xf>
    <xf numFmtId="166" fontId="3" fillId="0" borderId="116" xfId="1" applyNumberFormat="1" applyFont="1" applyFill="1" applyBorder="1"/>
    <xf numFmtId="166" fontId="3" fillId="0" borderId="83" xfId="1" applyNumberFormat="1" applyFont="1" applyFill="1" applyBorder="1" applyAlignment="1">
      <alignment horizontal="right"/>
    </xf>
    <xf numFmtId="1" fontId="4" fillId="0" borderId="117" xfId="0" applyNumberFormat="1" applyFont="1" applyFill="1" applyBorder="1" applyAlignment="1">
      <alignment horizontal="center"/>
    </xf>
    <xf numFmtId="164" fontId="4" fillId="0" borderId="118" xfId="3" applyNumberFormat="1" applyFont="1" applyFill="1" applyBorder="1" applyAlignment="1">
      <alignment horizontal="right"/>
    </xf>
    <xf numFmtId="164" fontId="3" fillId="0" borderId="1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109" xfId="0" applyNumberFormat="1" applyFont="1" applyFill="1" applyBorder="1" applyAlignment="1">
      <alignment horizontal="center"/>
    </xf>
    <xf numFmtId="1" fontId="4" fillId="0" borderId="120" xfId="0" applyNumberFormat="1" applyFont="1" applyFill="1" applyBorder="1" applyAlignment="1">
      <alignment horizontal="center"/>
    </xf>
    <xf numFmtId="166" fontId="4" fillId="0" borderId="78" xfId="1" applyNumberFormat="1" applyFont="1" applyBorder="1"/>
    <xf numFmtId="0" fontId="4" fillId="0" borderId="78" xfId="0" applyFont="1" applyFill="1" applyBorder="1"/>
    <xf numFmtId="166" fontId="4" fillId="0" borderId="78" xfId="1" applyNumberFormat="1" applyFont="1" applyFill="1" applyBorder="1" applyAlignment="1">
      <alignment horizontal="right"/>
    </xf>
    <xf numFmtId="166" fontId="4" fillId="0" borderId="78" xfId="1" applyNumberFormat="1" applyFont="1" applyFill="1" applyBorder="1"/>
    <xf numFmtId="164" fontId="4" fillId="0" borderId="78" xfId="0" applyNumberFormat="1" applyFont="1" applyBorder="1"/>
    <xf numFmtId="164" fontId="4" fillId="0" borderId="78" xfId="0" applyNumberFormat="1" applyFont="1" applyBorder="1" applyAlignment="1">
      <alignment horizontal="center"/>
    </xf>
    <xf numFmtId="5" fontId="4" fillId="0" borderId="78" xfId="0" applyNumberFormat="1" applyFont="1" applyFill="1" applyBorder="1"/>
    <xf numFmtId="5" fontId="4" fillId="0" borderId="12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4" fillId="0" borderId="17" xfId="0" applyNumberFormat="1" applyFont="1" applyFill="1" applyBorder="1"/>
    <xf numFmtId="3" fontId="4" fillId="0" borderId="27" xfId="1" applyNumberFormat="1" applyFont="1" applyFill="1" applyBorder="1"/>
    <xf numFmtId="3" fontId="4" fillId="0" borderId="40" xfId="1" applyNumberFormat="1" applyFont="1" applyFill="1" applyBorder="1"/>
    <xf numFmtId="3" fontId="4" fillId="0" borderId="47" xfId="0" applyNumberFormat="1" applyFont="1" applyBorder="1"/>
    <xf numFmtId="3" fontId="4" fillId="0" borderId="9" xfId="0" applyNumberFormat="1" applyFont="1" applyBorder="1"/>
    <xf numFmtId="3" fontId="4" fillId="0" borderId="24" xfId="0" applyNumberFormat="1" applyFont="1" applyBorder="1"/>
    <xf numFmtId="3" fontId="4" fillId="0" borderId="23" xfId="0" applyNumberFormat="1" applyFont="1" applyFill="1" applyBorder="1"/>
    <xf numFmtId="3" fontId="4" fillId="0" borderId="38" xfId="1" applyNumberFormat="1" applyFont="1" applyFill="1" applyBorder="1"/>
    <xf numFmtId="3" fontId="4" fillId="0" borderId="55" xfId="1" applyNumberFormat="1" applyFont="1" applyFill="1" applyBorder="1"/>
    <xf numFmtId="3" fontId="4" fillId="0" borderId="25" xfId="0" applyNumberFormat="1" applyFont="1" applyBorder="1"/>
    <xf numFmtId="3" fontId="4" fillId="0" borderId="55" xfId="0" applyNumberFormat="1" applyFont="1" applyBorder="1"/>
    <xf numFmtId="3" fontId="3" fillId="0" borderId="83" xfId="0" applyNumberFormat="1" applyFont="1" applyFill="1" applyBorder="1"/>
    <xf numFmtId="3" fontId="3" fillId="0" borderId="82" xfId="1" applyNumberFormat="1" applyFont="1" applyFill="1" applyBorder="1"/>
    <xf numFmtId="3" fontId="3" fillId="0" borderId="84" xfId="1" applyNumberFormat="1" applyFont="1" applyFill="1" applyBorder="1"/>
    <xf numFmtId="3" fontId="4" fillId="0" borderId="85" xfId="0" applyNumberFormat="1" applyFont="1" applyBorder="1"/>
    <xf numFmtId="3" fontId="4" fillId="0" borderId="84" xfId="0" applyNumberFormat="1" applyFont="1" applyBorder="1"/>
    <xf numFmtId="3" fontId="4" fillId="0" borderId="11" xfId="0" applyNumberFormat="1" applyFont="1" applyBorder="1"/>
    <xf numFmtId="3" fontId="4" fillId="0" borderId="41" xfId="0" applyNumberFormat="1" applyFont="1" applyBorder="1"/>
    <xf numFmtId="3" fontId="4" fillId="0" borderId="16" xfId="0" applyNumberFormat="1" applyFont="1" applyFill="1" applyBorder="1"/>
    <xf numFmtId="3" fontId="4" fillId="0" borderId="29" xfId="1" applyNumberFormat="1" applyFont="1" applyFill="1" applyBorder="1"/>
    <xf numFmtId="3" fontId="4" fillId="0" borderId="24" xfId="1" applyNumberFormat="1" applyFont="1" applyFill="1" applyBorder="1"/>
    <xf numFmtId="3" fontId="4" fillId="0" borderId="14" xfId="0" applyNumberFormat="1" applyFont="1" applyBorder="1"/>
    <xf numFmtId="3" fontId="4" fillId="0" borderId="56" xfId="0" applyNumberFormat="1" applyFont="1" applyBorder="1"/>
    <xf numFmtId="3" fontId="4" fillId="0" borderId="93" xfId="0" applyNumberFormat="1" applyFont="1" applyFill="1" applyBorder="1"/>
    <xf numFmtId="3" fontId="3" fillId="0" borderId="92" xfId="1" applyNumberFormat="1" applyFont="1" applyFill="1" applyBorder="1"/>
    <xf numFmtId="3" fontId="3" fillId="0" borderId="94" xfId="1" applyNumberFormat="1" applyFont="1" applyFill="1" applyBorder="1"/>
    <xf numFmtId="3" fontId="4" fillId="0" borderId="95" xfId="0" applyNumberFormat="1" applyFont="1" applyBorder="1"/>
    <xf numFmtId="3" fontId="4" fillId="0" borderId="27" xfId="0" applyNumberFormat="1" applyFont="1" applyFill="1" applyBorder="1" applyAlignment="1">
      <alignment horizontal="center"/>
    </xf>
    <xf numFmtId="3" fontId="4" fillId="58" borderId="17" xfId="0" applyNumberFormat="1" applyFont="1" applyFill="1" applyBorder="1"/>
    <xf numFmtId="3" fontId="4" fillId="58" borderId="27" xfId="0" applyNumberFormat="1" applyFont="1" applyFill="1" applyBorder="1" applyAlignment="1">
      <alignment horizontal="center"/>
    </xf>
    <xf numFmtId="3" fontId="4" fillId="59" borderId="40" xfId="0" applyNumberFormat="1" applyFont="1" applyFill="1" applyBorder="1" applyAlignment="1">
      <alignment horizontal="center"/>
    </xf>
    <xf numFmtId="3" fontId="4" fillId="0" borderId="22" xfId="0" applyNumberFormat="1" applyFont="1" applyBorder="1"/>
    <xf numFmtId="3" fontId="4" fillId="0" borderId="38" xfId="0" applyNumberFormat="1" applyFont="1" applyFill="1" applyBorder="1" applyAlignment="1">
      <alignment horizontal="center"/>
    </xf>
    <xf numFmtId="3" fontId="4" fillId="58" borderId="23" xfId="0" applyNumberFormat="1" applyFont="1" applyFill="1" applyBorder="1"/>
    <xf numFmtId="3" fontId="4" fillId="58" borderId="38" xfId="0" applyNumberFormat="1" applyFont="1" applyFill="1" applyBorder="1" applyAlignment="1">
      <alignment horizontal="center"/>
    </xf>
    <xf numFmtId="3" fontId="4" fillId="59" borderId="55" xfId="0" applyNumberFormat="1" applyFont="1" applyFill="1" applyBorder="1" applyAlignment="1">
      <alignment horizontal="center"/>
    </xf>
    <xf numFmtId="3" fontId="4" fillId="0" borderId="13" xfId="0" applyNumberFormat="1" applyFont="1" applyFill="1" applyBorder="1"/>
    <xf numFmtId="3" fontId="4" fillId="0" borderId="31" xfId="0" applyNumberFormat="1" applyFont="1" applyFill="1" applyBorder="1" applyAlignment="1">
      <alignment horizontal="center"/>
    </xf>
    <xf numFmtId="3" fontId="4" fillId="58" borderId="13" xfId="0" applyNumberFormat="1" applyFont="1" applyFill="1" applyBorder="1"/>
    <xf numFmtId="3" fontId="4" fillId="58" borderId="31" xfId="0" applyNumberFormat="1" applyFont="1" applyFill="1" applyBorder="1" applyAlignment="1">
      <alignment horizontal="center"/>
    </xf>
    <xf numFmtId="3" fontId="4" fillId="59" borderId="46" xfId="0" applyNumberFormat="1" applyFont="1" applyFill="1" applyBorder="1" applyAlignment="1">
      <alignment horizontal="center"/>
    </xf>
    <xf numFmtId="3" fontId="4" fillId="0" borderId="48" xfId="0" applyNumberFormat="1" applyFont="1" applyBorder="1"/>
    <xf numFmtId="3" fontId="3" fillId="0" borderId="107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3" fontId="3" fillId="58" borderId="107" xfId="0" applyNumberFormat="1" applyFont="1" applyFill="1" applyBorder="1" applyAlignment="1">
      <alignment horizontal="center"/>
    </xf>
    <xf numFmtId="3" fontId="3" fillId="58" borderId="58" xfId="0" applyNumberFormat="1" applyFont="1" applyFill="1" applyBorder="1" applyAlignment="1">
      <alignment horizontal="center"/>
    </xf>
    <xf numFmtId="3" fontId="3" fillId="58" borderId="54" xfId="0" applyNumberFormat="1" applyFont="1" applyFill="1" applyBorder="1" applyAlignment="1">
      <alignment horizontal="center"/>
    </xf>
    <xf numFmtId="3" fontId="3" fillId="0" borderId="47" xfId="0" applyNumberFormat="1" applyFont="1" applyBorder="1"/>
    <xf numFmtId="3" fontId="3" fillId="0" borderId="122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3" fontId="4" fillId="0" borderId="109" xfId="3" applyNumberFormat="1" applyFont="1" applyFill="1" applyBorder="1" applyAlignment="1">
      <alignment horizontal="center"/>
    </xf>
    <xf numFmtId="3" fontId="4" fillId="0" borderId="29" xfId="3" applyNumberFormat="1" applyFont="1" applyFill="1" applyBorder="1" applyAlignment="1">
      <alignment horizontal="right"/>
    </xf>
    <xf numFmtId="3" fontId="4" fillId="59" borderId="109" xfId="0" applyNumberFormat="1" applyFont="1" applyFill="1" applyBorder="1"/>
    <xf numFmtId="3" fontId="4" fillId="59" borderId="24" xfId="0" applyNumberFormat="1" applyFont="1" applyFill="1" applyBorder="1"/>
    <xf numFmtId="3" fontId="4" fillId="0" borderId="123" xfId="0" applyNumberFormat="1" applyFont="1" applyBorder="1" applyAlignment="1">
      <alignment horizontal="center"/>
    </xf>
    <xf numFmtId="3" fontId="4" fillId="0" borderId="111" xfId="3" applyNumberFormat="1" applyFont="1" applyFill="1" applyBorder="1" applyAlignment="1">
      <alignment horizontal="center"/>
    </xf>
    <xf numFmtId="3" fontId="4" fillId="0" borderId="31" xfId="3" applyNumberFormat="1" applyFont="1" applyFill="1" applyBorder="1" applyAlignment="1">
      <alignment horizontal="right"/>
    </xf>
    <xf numFmtId="3" fontId="4" fillId="0" borderId="30" xfId="3" applyNumberFormat="1" applyFont="1" applyFill="1" applyBorder="1" applyAlignment="1">
      <alignment horizontal="center"/>
    </xf>
    <xf numFmtId="3" fontId="4" fillId="0" borderId="112" xfId="3" applyNumberFormat="1" applyFont="1" applyFill="1" applyBorder="1" applyAlignment="1">
      <alignment horizontal="right"/>
    </xf>
    <xf numFmtId="3" fontId="4" fillId="59" borderId="111" xfId="0" applyNumberFormat="1" applyFont="1" applyFill="1" applyBorder="1"/>
    <xf numFmtId="3" fontId="4" fillId="0" borderId="124" xfId="0" applyNumberFormat="1" applyFont="1" applyBorder="1" applyAlignment="1">
      <alignment horizontal="center"/>
    </xf>
    <xf numFmtId="3" fontId="4" fillId="0" borderId="27" xfId="0" applyNumberFormat="1" applyFont="1" applyFill="1" applyBorder="1" applyAlignment="1">
      <alignment horizontal="right"/>
    </xf>
    <xf numFmtId="3" fontId="4" fillId="58" borderId="27" xfId="0" applyNumberFormat="1" applyFont="1" applyFill="1" applyBorder="1" applyAlignment="1">
      <alignment horizontal="right"/>
    </xf>
    <xf numFmtId="3" fontId="4" fillId="59" borderId="40" xfId="0" applyNumberFormat="1" applyFont="1" applyFill="1" applyBorder="1" applyAlignment="1">
      <alignment horizontal="right"/>
    </xf>
    <xf numFmtId="3" fontId="4" fillId="58" borderId="31" xfId="3" applyNumberFormat="1" applyFont="1" applyFill="1" applyBorder="1" applyAlignment="1">
      <alignment horizontal="right"/>
    </xf>
    <xf numFmtId="3" fontId="4" fillId="59" borderId="46" xfId="3" applyNumberFormat="1" applyFont="1" applyFill="1" applyBorder="1" applyAlignment="1">
      <alignment horizontal="right"/>
    </xf>
    <xf numFmtId="3" fontId="4" fillId="0" borderId="51" xfId="0" applyNumberFormat="1" applyFont="1" applyBorder="1"/>
    <xf numFmtId="3" fontId="4" fillId="0" borderId="46" xfId="0" applyNumberFormat="1" applyFont="1" applyBorder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Border="1"/>
    <xf numFmtId="3" fontId="4" fillId="0" borderId="29" xfId="0" applyNumberFormat="1" applyFont="1" applyFill="1" applyBorder="1"/>
    <xf numFmtId="3" fontId="4" fillId="0" borderId="24" xfId="0" applyNumberFormat="1" applyFont="1" applyFill="1" applyBorder="1"/>
    <xf numFmtId="3" fontId="4" fillId="0" borderId="40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3" fontId="3" fillId="0" borderId="97" xfId="0" applyNumberFormat="1" applyFont="1" applyFill="1" applyBorder="1" applyAlignment="1">
      <alignment horizontal="center"/>
    </xf>
    <xf numFmtId="3" fontId="3" fillId="0" borderId="99" xfId="0" applyNumberFormat="1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3" fillId="0" borderId="106" xfId="0" applyNumberFormat="1" applyFont="1" applyBorder="1" applyAlignment="1">
      <alignment horizontal="center"/>
    </xf>
    <xf numFmtId="3" fontId="3" fillId="0" borderId="99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98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</cellXfs>
  <cellStyles count="141">
    <cellStyle name="20% - Accent1 2" xfId="13"/>
    <cellStyle name="20% - Accent1 3" xfId="14"/>
    <cellStyle name="20% - Accent1 4" xfId="12"/>
    <cellStyle name="20% - Accent2 2" xfId="16"/>
    <cellStyle name="20% - Accent2 3" xfId="17"/>
    <cellStyle name="20% - Accent2 4" xfId="15"/>
    <cellStyle name="20% - Accent3 2" xfId="19"/>
    <cellStyle name="20% - Accent3 3" xfId="20"/>
    <cellStyle name="20% - Accent3 4" xfId="18"/>
    <cellStyle name="20% - Accent4 2" xfId="22"/>
    <cellStyle name="20% - Accent4 3" xfId="23"/>
    <cellStyle name="20% - Accent4 4" xfId="21"/>
    <cellStyle name="20% - Accent5 2" xfId="25"/>
    <cellStyle name="20% - Accent5 3" xfId="26"/>
    <cellStyle name="20% - Accent5 4" xfId="24"/>
    <cellStyle name="20% - Accent6 2" xfId="28"/>
    <cellStyle name="20% - Accent6 3" xfId="29"/>
    <cellStyle name="20% - Accent6 4" xfId="27"/>
    <cellStyle name="40% - Accent1 2" xfId="31"/>
    <cellStyle name="40% - Accent1 3" xfId="32"/>
    <cellStyle name="40% - Accent1 4" xfId="30"/>
    <cellStyle name="40% - Accent2 2" xfId="34"/>
    <cellStyle name="40% - Accent2 3" xfId="35"/>
    <cellStyle name="40% - Accent2 4" xfId="33"/>
    <cellStyle name="40% - Accent3 2" xfId="37"/>
    <cellStyle name="40% - Accent3 3" xfId="38"/>
    <cellStyle name="40% - Accent3 4" xfId="36"/>
    <cellStyle name="40% - Accent4 2" xfId="40"/>
    <cellStyle name="40% - Accent4 3" xfId="41"/>
    <cellStyle name="40% - Accent4 4" xfId="39"/>
    <cellStyle name="40% - Accent5 2" xfId="43"/>
    <cellStyle name="40% - Accent5 3" xfId="44"/>
    <cellStyle name="40% - Accent5 4" xfId="42"/>
    <cellStyle name="40% - Accent6 2" xfId="46"/>
    <cellStyle name="40% - Accent6 3" xfId="47"/>
    <cellStyle name="40% - Accent6 4" xfId="45"/>
    <cellStyle name="60% - Accent1 2" xfId="49"/>
    <cellStyle name="60% - Accent1 3" xfId="50"/>
    <cellStyle name="60% - Accent1 4" xfId="48"/>
    <cellStyle name="60% - Accent2 2" xfId="52"/>
    <cellStyle name="60% - Accent2 3" xfId="53"/>
    <cellStyle name="60% - Accent2 4" xfId="51"/>
    <cellStyle name="60% - Accent3 2" xfId="55"/>
    <cellStyle name="60% - Accent3 3" xfId="56"/>
    <cellStyle name="60% - Accent3 4" xfId="54"/>
    <cellStyle name="60% - Accent4 2" xfId="58"/>
    <cellStyle name="60% - Accent4 3" xfId="59"/>
    <cellStyle name="60% - Accent4 4" xfId="57"/>
    <cellStyle name="60% - Accent5 2" xfId="61"/>
    <cellStyle name="60% - Accent5 3" xfId="62"/>
    <cellStyle name="60% - Accent5 4" xfId="60"/>
    <cellStyle name="60% - Accent6 2" xfId="64"/>
    <cellStyle name="60% - Accent6 3" xfId="65"/>
    <cellStyle name="60% - Accent6 4" xfId="63"/>
    <cellStyle name="Accent1 2" xfId="67"/>
    <cellStyle name="Accent1 3" xfId="68"/>
    <cellStyle name="Accent1 4" xfId="66"/>
    <cellStyle name="Accent2 2" xfId="70"/>
    <cellStyle name="Accent2 3" xfId="71"/>
    <cellStyle name="Accent2 4" xfId="69"/>
    <cellStyle name="Accent3 2" xfId="73"/>
    <cellStyle name="Accent3 3" xfId="74"/>
    <cellStyle name="Accent3 4" xfId="72"/>
    <cellStyle name="Accent4 2" xfId="76"/>
    <cellStyle name="Accent4 3" xfId="77"/>
    <cellStyle name="Accent4 4" xfId="75"/>
    <cellStyle name="Accent5 2" xfId="79"/>
    <cellStyle name="Accent5 3" xfId="80"/>
    <cellStyle name="Accent5 4" xfId="78"/>
    <cellStyle name="Accent6 2" xfId="82"/>
    <cellStyle name="Accent6 3" xfId="83"/>
    <cellStyle name="Accent6 4" xfId="81"/>
    <cellStyle name="Bad 2" xfId="85"/>
    <cellStyle name="Bad 3" xfId="86"/>
    <cellStyle name="Bad 4" xfId="84"/>
    <cellStyle name="Calculation 2" xfId="88"/>
    <cellStyle name="Calculation 3" xfId="89"/>
    <cellStyle name="Calculation 4" xfId="87"/>
    <cellStyle name="Check Cell 2" xfId="91"/>
    <cellStyle name="Check Cell 3" xfId="92"/>
    <cellStyle name="Check Cell 4" xfId="90"/>
    <cellStyle name="Comma" xfId="1" builtinId="3"/>
    <cellStyle name="Comma 2" xfId="93"/>
    <cellStyle name="Comma0" xfId="2"/>
    <cellStyle name="Currency" xfId="3" builtinId="4"/>
    <cellStyle name="Currency0" xfId="4"/>
    <cellStyle name="Date" xfId="5"/>
    <cellStyle name="Explanatory Text 2" xfId="95"/>
    <cellStyle name="Explanatory Text 3" xfId="96"/>
    <cellStyle name="Explanatory Text 4" xfId="94"/>
    <cellStyle name="Fixed" xfId="6"/>
    <cellStyle name="Good 2" xfId="98"/>
    <cellStyle name="Good 3" xfId="99"/>
    <cellStyle name="Good 4" xfId="97"/>
    <cellStyle name="Heading 1" xfId="7" builtinId="16" customBuiltin="1"/>
    <cellStyle name="Heading 1 2" xfId="101"/>
    <cellStyle name="Heading 1 3" xfId="102"/>
    <cellStyle name="Heading 1 4" xfId="100"/>
    <cellStyle name="Heading 2" xfId="8" builtinId="17" customBuiltin="1"/>
    <cellStyle name="Heading 2 2" xfId="104"/>
    <cellStyle name="Heading 2 3" xfId="105"/>
    <cellStyle name="Heading 2 4" xfId="103"/>
    <cellStyle name="Heading 3 2" xfId="107"/>
    <cellStyle name="Heading 3 3" xfId="108"/>
    <cellStyle name="Heading 3 4" xfId="106"/>
    <cellStyle name="Heading 4 2" xfId="110"/>
    <cellStyle name="Heading 4 3" xfId="111"/>
    <cellStyle name="Heading 4 4" xfId="109"/>
    <cellStyle name="HEADING1" xfId="9"/>
    <cellStyle name="HEADING2" xfId="10"/>
    <cellStyle name="Input 2" xfId="113"/>
    <cellStyle name="Input 3" xfId="114"/>
    <cellStyle name="Input 4" xfId="112"/>
    <cellStyle name="Linked Cell 2" xfId="116"/>
    <cellStyle name="Linked Cell 3" xfId="117"/>
    <cellStyle name="Linked Cell 4" xfId="115"/>
    <cellStyle name="Neutral 2" xfId="119"/>
    <cellStyle name="Neutral 3" xfId="120"/>
    <cellStyle name="Neutral 4" xfId="118"/>
    <cellStyle name="Normal" xfId="0" builtinId="0"/>
    <cellStyle name="Normal 2" xfId="121"/>
    <cellStyle name="Normal 3" xfId="122"/>
    <cellStyle name="Normal 4" xfId="123"/>
    <cellStyle name="Normal 7" xfId="140"/>
    <cellStyle name="Note 2" xfId="125"/>
    <cellStyle name="Note 3" xfId="126"/>
    <cellStyle name="Note 4" xfId="124"/>
    <cellStyle name="Output 2" xfId="128"/>
    <cellStyle name="Output 3" xfId="129"/>
    <cellStyle name="Output 4" xfId="127"/>
    <cellStyle name="Percent 2" xfId="130"/>
    <cellStyle name="Title 2" xfId="132"/>
    <cellStyle name="Title 3" xfId="133"/>
    <cellStyle name="Title 4" xfId="131"/>
    <cellStyle name="Total" xfId="11" builtinId="25" customBuiltin="1"/>
    <cellStyle name="Total 2" xfId="135"/>
    <cellStyle name="Total 3" xfId="136"/>
    <cellStyle name="Total 4" xfId="134"/>
    <cellStyle name="Warning Text 2" xfId="138"/>
    <cellStyle name="Warning Text 3" xfId="139"/>
    <cellStyle name="Warning Text 4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view="pageBreakPreview" topLeftCell="A12" zoomScale="96" zoomScaleNormal="90" zoomScaleSheetLayoutView="96" workbookViewId="0">
      <pane xSplit="1" topLeftCell="J1" activePane="topRight" state="frozen"/>
      <selection activeCell="AA25" sqref="AA25"/>
      <selection pane="topRight" activeCell="AA25" sqref="AA25"/>
    </sheetView>
  </sheetViews>
  <sheetFormatPr defaultColWidth="10.28515625" defaultRowHeight="12.75" x14ac:dyDescent="0.2"/>
  <cols>
    <col min="1" max="1" width="34.28515625" style="1" customWidth="1"/>
    <col min="2" max="2" width="4.7109375" style="89" hidden="1" customWidth="1"/>
    <col min="3" max="3" width="10.7109375" style="89" hidden="1" customWidth="1"/>
    <col min="4" max="4" width="4.7109375" style="89" hidden="1" customWidth="1"/>
    <col min="5" max="5" width="10.7109375" style="89" hidden="1" customWidth="1"/>
    <col min="6" max="6" width="4.7109375" style="1" hidden="1" customWidth="1"/>
    <col min="7" max="7" width="10.7109375" style="1" hidden="1" customWidth="1"/>
    <col min="8" max="8" width="4.7109375" style="1" hidden="1" customWidth="1"/>
    <col min="9" max="9" width="10.7109375" style="1" hidden="1" customWidth="1"/>
    <col min="10" max="10" width="4.7109375" style="1" customWidth="1"/>
    <col min="11" max="11" width="10.7109375" style="1" customWidth="1"/>
    <col min="12" max="12" width="4.7109375" style="1" customWidth="1"/>
    <col min="13" max="13" width="10.7109375" style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3.28515625" style="1" customWidth="1"/>
    <col min="27" max="27" width="5" style="1" customWidth="1"/>
    <col min="28" max="28" width="12.140625" style="1" customWidth="1"/>
    <col min="29" max="29" width="8.7109375" style="1" customWidth="1"/>
    <col min="30" max="16384" width="10.28515625" style="1"/>
  </cols>
  <sheetData>
    <row r="1" spans="1:31" ht="15.75" x14ac:dyDescent="0.25">
      <c r="A1" s="333" t="s">
        <v>53</v>
      </c>
      <c r="B1" s="24"/>
      <c r="C1" s="24"/>
      <c r="D1" s="24"/>
      <c r="E1" s="24"/>
    </row>
    <row r="2" spans="1:31" ht="15.75" x14ac:dyDescent="0.25">
      <c r="A2" s="333" t="s">
        <v>54</v>
      </c>
      <c r="B2" s="24"/>
      <c r="C2" s="24"/>
      <c r="D2" s="24"/>
      <c r="E2" s="24"/>
    </row>
    <row r="3" spans="1:31" ht="19.5" customHeight="1" x14ac:dyDescent="0.25">
      <c r="A3" s="333"/>
      <c r="B3" s="24"/>
      <c r="C3" s="80"/>
      <c r="D3" s="24"/>
      <c r="E3" s="80"/>
      <c r="F3" s="24"/>
      <c r="G3" s="80"/>
      <c r="H3" s="24"/>
      <c r="I3" s="80"/>
      <c r="J3" s="24"/>
      <c r="K3" s="80"/>
      <c r="L3" s="24"/>
      <c r="M3" s="80"/>
      <c r="N3" s="24"/>
      <c r="O3" s="80"/>
      <c r="P3" s="24"/>
      <c r="Q3" s="80"/>
      <c r="R3" s="24"/>
      <c r="S3" s="80"/>
      <c r="T3" s="24"/>
      <c r="U3" s="80"/>
      <c r="V3" s="24"/>
      <c r="W3" s="80"/>
      <c r="X3" s="24"/>
      <c r="Y3" s="80"/>
      <c r="AA3" s="5"/>
      <c r="AB3" s="5"/>
    </row>
    <row r="4" spans="1:31" ht="14.25" customHeight="1" x14ac:dyDescent="0.25">
      <c r="A4" s="334" t="s">
        <v>56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79"/>
      <c r="AA4" s="455"/>
      <c r="AB4" s="464"/>
    </row>
    <row r="5" spans="1:31" x14ac:dyDescent="0.2">
      <c r="A5" s="2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1:31" x14ac:dyDescent="0.2">
      <c r="A6" s="2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31" x14ac:dyDescent="0.2">
      <c r="A7" s="2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31" ht="6.75" customHeight="1" thickBot="1" x14ac:dyDescent="0.25">
      <c r="A8" s="6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AA8" s="5"/>
      <c r="AB8" s="5"/>
    </row>
    <row r="9" spans="1:31" ht="24" customHeight="1" thickTop="1" thickBot="1" x14ac:dyDescent="0.25">
      <c r="A9" s="215"/>
      <c r="B9" s="463" t="s">
        <v>28</v>
      </c>
      <c r="C9" s="462"/>
      <c r="D9" s="456" t="s">
        <v>29</v>
      </c>
      <c r="E9" s="456"/>
      <c r="F9" s="463" t="s">
        <v>30</v>
      </c>
      <c r="G9" s="456"/>
      <c r="H9" s="463" t="s">
        <v>32</v>
      </c>
      <c r="I9" s="462"/>
      <c r="J9" s="456" t="s">
        <v>34</v>
      </c>
      <c r="K9" s="462"/>
      <c r="L9" s="456" t="s">
        <v>35</v>
      </c>
      <c r="M9" s="462"/>
      <c r="N9" s="456" t="s">
        <v>39</v>
      </c>
      <c r="O9" s="462"/>
      <c r="P9" s="456" t="s">
        <v>40</v>
      </c>
      <c r="Q9" s="462"/>
      <c r="R9" s="456" t="s">
        <v>41</v>
      </c>
      <c r="S9" s="462"/>
      <c r="T9" s="456" t="s">
        <v>42</v>
      </c>
      <c r="U9" s="462"/>
      <c r="V9" s="456" t="s">
        <v>43</v>
      </c>
      <c r="W9" s="462"/>
      <c r="X9" s="456" t="s">
        <v>59</v>
      </c>
      <c r="Y9" s="457"/>
      <c r="AA9" s="465" t="s">
        <v>33</v>
      </c>
      <c r="AB9" s="466"/>
      <c r="AC9" s="318" t="s">
        <v>50</v>
      </c>
    </row>
    <row r="10" spans="1:31" ht="15" customHeight="1" x14ac:dyDescent="0.2">
      <c r="A10" s="123" t="s">
        <v>12</v>
      </c>
      <c r="B10" s="279"/>
      <c r="C10" s="281"/>
      <c r="D10" s="280"/>
      <c r="E10" s="280"/>
      <c r="F10" s="279"/>
      <c r="G10" s="280"/>
      <c r="H10" s="279"/>
      <c r="I10" s="281"/>
      <c r="J10" s="280"/>
      <c r="K10" s="281"/>
      <c r="L10" s="280"/>
      <c r="M10" s="281"/>
      <c r="N10" s="280"/>
      <c r="O10" s="281"/>
      <c r="P10" s="280"/>
      <c r="Q10" s="281"/>
      <c r="R10" s="280"/>
      <c r="S10" s="281"/>
      <c r="T10" s="280"/>
      <c r="U10" s="281"/>
      <c r="V10" s="378"/>
      <c r="W10" s="281"/>
      <c r="X10" s="367"/>
      <c r="Y10" s="282"/>
      <c r="AA10" s="339"/>
      <c r="AB10" s="340"/>
      <c r="AC10" s="319"/>
    </row>
    <row r="11" spans="1:31" ht="15" customHeight="1" x14ac:dyDescent="0.2">
      <c r="A11" s="216" t="s">
        <v>38</v>
      </c>
      <c r="B11" s="78"/>
      <c r="C11" s="85"/>
      <c r="D11" s="34"/>
      <c r="E11" s="34"/>
      <c r="F11" s="78"/>
      <c r="G11" s="34"/>
      <c r="H11" s="78"/>
      <c r="I11" s="85"/>
      <c r="J11" s="34"/>
      <c r="K11" s="85"/>
      <c r="L11" s="34"/>
      <c r="M11" s="85"/>
      <c r="N11" s="34"/>
      <c r="O11" s="85"/>
      <c r="P11" s="34"/>
      <c r="Q11" s="85"/>
      <c r="R11" s="34"/>
      <c r="S11" s="85"/>
      <c r="T11" s="34"/>
      <c r="U11" s="85"/>
      <c r="V11" s="34"/>
      <c r="W11" s="85"/>
      <c r="X11" s="34"/>
      <c r="Y11" s="86"/>
      <c r="Z11" s="180"/>
      <c r="AA11" s="185"/>
      <c r="AB11" s="294"/>
      <c r="AC11" s="186"/>
    </row>
    <row r="12" spans="1:31" ht="15" customHeight="1" x14ac:dyDescent="0.2">
      <c r="A12" s="118" t="s">
        <v>14</v>
      </c>
      <c r="B12" s="83"/>
      <c r="C12" s="130">
        <f>512851+1338133</f>
        <v>1850984</v>
      </c>
      <c r="D12" s="82"/>
      <c r="E12" s="99">
        <v>1984622</v>
      </c>
      <c r="F12" s="83"/>
      <c r="G12" s="99">
        <v>1841764</v>
      </c>
      <c r="H12" s="83"/>
      <c r="I12" s="130">
        <f>623526+1108798</f>
        <v>1732324</v>
      </c>
      <c r="J12" s="380"/>
      <c r="K12" s="381">
        <f>611809+1095726</f>
        <v>1707535</v>
      </c>
      <c r="L12" s="380"/>
      <c r="M12" s="381">
        <v>1767092</v>
      </c>
      <c r="N12" s="380"/>
      <c r="O12" s="381">
        <v>1581171</v>
      </c>
      <c r="P12" s="380"/>
      <c r="Q12" s="381">
        <v>1736670</v>
      </c>
      <c r="R12" s="380"/>
      <c r="S12" s="381">
        <v>1944620</v>
      </c>
      <c r="T12" s="380"/>
      <c r="U12" s="381">
        <v>2014913</v>
      </c>
      <c r="V12" s="380"/>
      <c r="W12" s="381">
        <v>2030402</v>
      </c>
      <c r="X12" s="380"/>
      <c r="Y12" s="382">
        <v>1820642</v>
      </c>
      <c r="Z12" s="383"/>
      <c r="AA12" s="384"/>
      <c r="AB12" s="385">
        <f>AVERAGE(S12,Q12,Y12,W12,U12)</f>
        <v>1909449.4</v>
      </c>
      <c r="AC12" s="320">
        <f>+(Y12-Q12)/Q12</f>
        <v>4.8352306425515496E-2</v>
      </c>
      <c r="AE12" s="1" t="s">
        <v>3</v>
      </c>
    </row>
    <row r="13" spans="1:31" ht="15" customHeight="1" x14ac:dyDescent="0.2">
      <c r="A13" s="118" t="s">
        <v>36</v>
      </c>
      <c r="B13" s="83"/>
      <c r="C13" s="219"/>
      <c r="D13" s="82"/>
      <c r="E13" s="99">
        <v>10000</v>
      </c>
      <c r="F13" s="83"/>
      <c r="G13" s="99">
        <v>10000</v>
      </c>
      <c r="H13" s="83"/>
      <c r="I13" s="130">
        <v>10000</v>
      </c>
      <c r="J13" s="380"/>
      <c r="K13" s="381">
        <v>10000</v>
      </c>
      <c r="L13" s="380"/>
      <c r="M13" s="381">
        <v>10000</v>
      </c>
      <c r="N13" s="380"/>
      <c r="O13" s="381">
        <v>5000</v>
      </c>
      <c r="P13" s="380"/>
      <c r="Q13" s="381">
        <v>5000</v>
      </c>
      <c r="R13" s="380"/>
      <c r="S13" s="381">
        <v>5000</v>
      </c>
      <c r="T13" s="380"/>
      <c r="U13" s="381">
        <v>5000</v>
      </c>
      <c r="V13" s="380"/>
      <c r="W13" s="381">
        <v>0</v>
      </c>
      <c r="X13" s="380"/>
      <c r="Y13" s="382">
        <v>0</v>
      </c>
      <c r="Z13" s="383"/>
      <c r="AA13" s="384"/>
      <c r="AB13" s="385">
        <f t="shared" ref="AB13:AB15" si="0">AVERAGE(S13,Q13,Y13,W13,U13)</f>
        <v>3000</v>
      </c>
      <c r="AC13" s="320">
        <f t="shared" ref="AC13:AC15" si="1">+(Y13-Q13)/Q13</f>
        <v>-1</v>
      </c>
    </row>
    <row r="14" spans="1:31" ht="24.75" thickBot="1" x14ac:dyDescent="0.25">
      <c r="A14" s="286" t="s">
        <v>37</v>
      </c>
      <c r="B14" s="290"/>
      <c r="C14" s="291">
        <f>77044+1000000</f>
        <v>1077044</v>
      </c>
      <c r="D14" s="292"/>
      <c r="E14" s="293">
        <v>77012</v>
      </c>
      <c r="F14" s="290"/>
      <c r="G14" s="293">
        <v>184065</v>
      </c>
      <c r="H14" s="290"/>
      <c r="I14" s="291">
        <v>65149</v>
      </c>
      <c r="J14" s="386"/>
      <c r="K14" s="387">
        <v>108801</v>
      </c>
      <c r="L14" s="386"/>
      <c r="M14" s="387">
        <v>66078</v>
      </c>
      <c r="N14" s="386"/>
      <c r="O14" s="387">
        <v>66883</v>
      </c>
      <c r="P14" s="386"/>
      <c r="Q14" s="387">
        <v>67339</v>
      </c>
      <c r="R14" s="386"/>
      <c r="S14" s="387">
        <v>67476</v>
      </c>
      <c r="T14" s="386"/>
      <c r="U14" s="387">
        <v>1353</v>
      </c>
      <c r="V14" s="386"/>
      <c r="W14" s="387">
        <v>1281</v>
      </c>
      <c r="X14" s="386"/>
      <c r="Y14" s="388">
        <v>308630</v>
      </c>
      <c r="Z14" s="383"/>
      <c r="AA14" s="389"/>
      <c r="AB14" s="390">
        <f t="shared" si="0"/>
        <v>89215.8</v>
      </c>
      <c r="AC14" s="320">
        <f t="shared" si="1"/>
        <v>3.5832281441660849</v>
      </c>
    </row>
    <row r="15" spans="1:31" ht="18.75" customHeight="1" thickBot="1" x14ac:dyDescent="0.25">
      <c r="A15" s="295" t="s">
        <v>18</v>
      </c>
      <c r="B15" s="300"/>
      <c r="C15" s="301">
        <f>SUM(C12:C14)</f>
        <v>2928028</v>
      </c>
      <c r="D15" s="302"/>
      <c r="E15" s="303">
        <f>SUM(E12:E14)</f>
        <v>2071634</v>
      </c>
      <c r="F15" s="300"/>
      <c r="G15" s="303">
        <f>SUM(G12:G14)</f>
        <v>2035829</v>
      </c>
      <c r="H15" s="300"/>
      <c r="I15" s="301">
        <f>SUM(I12:I14)</f>
        <v>1807473</v>
      </c>
      <c r="J15" s="391"/>
      <c r="K15" s="392">
        <f>SUM(K12:K14)</f>
        <v>1826336</v>
      </c>
      <c r="L15" s="391"/>
      <c r="M15" s="392">
        <f>SUM(M12:M14)</f>
        <v>1843170</v>
      </c>
      <c r="N15" s="391"/>
      <c r="O15" s="392">
        <f>SUM(O12:O14)</f>
        <v>1653054</v>
      </c>
      <c r="P15" s="391"/>
      <c r="Q15" s="392">
        <f>SUM(Q12:Q14)</f>
        <v>1809009</v>
      </c>
      <c r="R15" s="391"/>
      <c r="S15" s="392">
        <f>SUM(S12:S14)</f>
        <v>2017096</v>
      </c>
      <c r="T15" s="391"/>
      <c r="U15" s="392">
        <f>SUM(U12:U14)</f>
        <v>2021266</v>
      </c>
      <c r="V15" s="391"/>
      <c r="W15" s="392">
        <f>SUM(W12:W14)</f>
        <v>2031683</v>
      </c>
      <c r="X15" s="391"/>
      <c r="Y15" s="393">
        <f>SUM(Y12:Y14)</f>
        <v>2129272</v>
      </c>
      <c r="Z15" s="383"/>
      <c r="AA15" s="394"/>
      <c r="AB15" s="395">
        <f t="shared" si="0"/>
        <v>2001665.2</v>
      </c>
      <c r="AC15" s="321">
        <f t="shared" si="1"/>
        <v>0.17703781462668233</v>
      </c>
    </row>
    <row r="16" spans="1:31" ht="15" customHeight="1" x14ac:dyDescent="0.2">
      <c r="A16" s="216" t="s">
        <v>16</v>
      </c>
      <c r="B16" s="83"/>
      <c r="C16" s="130"/>
      <c r="D16" s="82"/>
      <c r="E16" s="99"/>
      <c r="F16" s="83"/>
      <c r="G16" s="99"/>
      <c r="H16" s="83"/>
      <c r="I16" s="130"/>
      <c r="J16" s="380"/>
      <c r="K16" s="381"/>
      <c r="L16" s="380"/>
      <c r="M16" s="381"/>
      <c r="N16" s="380"/>
      <c r="O16" s="381"/>
      <c r="P16" s="380"/>
      <c r="Q16" s="381"/>
      <c r="R16" s="380"/>
      <c r="S16" s="381"/>
      <c r="T16" s="380"/>
      <c r="U16" s="381"/>
      <c r="V16" s="380"/>
      <c r="W16" s="381"/>
      <c r="X16" s="380"/>
      <c r="Y16" s="382"/>
      <c r="Z16" s="383"/>
      <c r="AA16" s="396"/>
      <c r="AB16" s="397"/>
      <c r="AC16" s="294"/>
    </row>
    <row r="17" spans="1:29" ht="15" customHeight="1" x14ac:dyDescent="0.2">
      <c r="A17" s="118" t="s">
        <v>14</v>
      </c>
      <c r="B17" s="78"/>
      <c r="C17" s="132"/>
      <c r="D17" s="34"/>
      <c r="E17" s="146"/>
      <c r="F17" s="78"/>
      <c r="G17" s="146"/>
      <c r="H17" s="78"/>
      <c r="I17" s="132"/>
      <c r="J17" s="398"/>
      <c r="K17" s="399"/>
      <c r="L17" s="398"/>
      <c r="M17" s="399"/>
      <c r="N17" s="398"/>
      <c r="O17" s="399"/>
      <c r="P17" s="398"/>
      <c r="Q17" s="399"/>
      <c r="R17" s="398"/>
      <c r="S17" s="399"/>
      <c r="T17" s="398"/>
      <c r="U17" s="399"/>
      <c r="V17" s="398"/>
      <c r="W17" s="399"/>
      <c r="X17" s="398"/>
      <c r="Y17" s="400"/>
      <c r="Z17" s="383"/>
      <c r="AA17" s="384"/>
      <c r="AB17" s="385"/>
      <c r="AC17" s="320"/>
    </row>
    <row r="18" spans="1:29" ht="24.75" thickBot="1" x14ac:dyDescent="0.25">
      <c r="A18" s="286" t="s">
        <v>37</v>
      </c>
      <c r="B18" s="290"/>
      <c r="C18" s="291"/>
      <c r="D18" s="292"/>
      <c r="E18" s="293"/>
      <c r="F18" s="290"/>
      <c r="G18" s="293"/>
      <c r="H18" s="290"/>
      <c r="I18" s="291"/>
      <c r="J18" s="386"/>
      <c r="K18" s="387"/>
      <c r="L18" s="386"/>
      <c r="M18" s="387"/>
      <c r="N18" s="386"/>
      <c r="O18" s="387"/>
      <c r="P18" s="386"/>
      <c r="Q18" s="387"/>
      <c r="R18" s="386"/>
      <c r="S18" s="387"/>
      <c r="T18" s="386"/>
      <c r="U18" s="387"/>
      <c r="V18" s="386"/>
      <c r="W18" s="387"/>
      <c r="X18" s="386"/>
      <c r="Y18" s="388"/>
      <c r="Z18" s="383"/>
      <c r="AA18" s="401"/>
      <c r="AB18" s="402"/>
      <c r="AC18" s="322"/>
    </row>
    <row r="19" spans="1:29" ht="18.75" customHeight="1" thickBot="1" x14ac:dyDescent="0.25">
      <c r="A19" s="295" t="s">
        <v>17</v>
      </c>
      <c r="B19" s="300"/>
      <c r="C19" s="301">
        <f>SUM(C17:C18)</f>
        <v>0</v>
      </c>
      <c r="D19" s="302"/>
      <c r="E19" s="303">
        <f>SUM(E17:E18)</f>
        <v>0</v>
      </c>
      <c r="F19" s="300"/>
      <c r="G19" s="303">
        <f>SUM(G17:G18)</f>
        <v>0</v>
      </c>
      <c r="H19" s="300"/>
      <c r="I19" s="301">
        <f>SUM(I17:I18)</f>
        <v>0</v>
      </c>
      <c r="J19" s="391"/>
      <c r="K19" s="392">
        <f>SUM(K17:K18)</f>
        <v>0</v>
      </c>
      <c r="L19" s="391"/>
      <c r="M19" s="392">
        <f>SUM(M17:M18)</f>
        <v>0</v>
      </c>
      <c r="N19" s="391"/>
      <c r="O19" s="392">
        <f>SUM(O17:O18)</f>
        <v>0</v>
      </c>
      <c r="P19" s="391"/>
      <c r="Q19" s="392">
        <f>SUM(Q17:Q18)</f>
        <v>0</v>
      </c>
      <c r="R19" s="391"/>
      <c r="S19" s="392">
        <f>SUM(S17:S18)</f>
        <v>0</v>
      </c>
      <c r="T19" s="391"/>
      <c r="U19" s="392">
        <f>SUM(U17:U18)</f>
        <v>0</v>
      </c>
      <c r="V19" s="391"/>
      <c r="W19" s="392">
        <f>SUM(W17:W18)</f>
        <v>0</v>
      </c>
      <c r="X19" s="391"/>
      <c r="Y19" s="393">
        <f>SUM(Y17:Y18)</f>
        <v>0</v>
      </c>
      <c r="Z19" s="383"/>
      <c r="AA19" s="394"/>
      <c r="AB19" s="395"/>
      <c r="AC19" s="326"/>
    </row>
    <row r="20" spans="1:29" ht="18.75" customHeight="1" thickBot="1" x14ac:dyDescent="0.25">
      <c r="A20" s="332" t="s">
        <v>18</v>
      </c>
      <c r="B20" s="308"/>
      <c r="C20" s="310">
        <f>SUM(C15,C19)</f>
        <v>2928028</v>
      </c>
      <c r="D20" s="311"/>
      <c r="E20" s="309">
        <f>SUM(E15,E19)</f>
        <v>2071634</v>
      </c>
      <c r="F20" s="308"/>
      <c r="G20" s="309">
        <f>SUM(G15,G19)</f>
        <v>2035829</v>
      </c>
      <c r="H20" s="308"/>
      <c r="I20" s="310">
        <f>SUM(I15,I19)</f>
        <v>1807473</v>
      </c>
      <c r="J20" s="403"/>
      <c r="K20" s="404">
        <f>SUM(K15,K19)</f>
        <v>1826336</v>
      </c>
      <c r="L20" s="403"/>
      <c r="M20" s="404">
        <f>SUM(M15,M19)</f>
        <v>1843170</v>
      </c>
      <c r="N20" s="403"/>
      <c r="O20" s="404">
        <f>SUM(O15,O19)</f>
        <v>1653054</v>
      </c>
      <c r="P20" s="403"/>
      <c r="Q20" s="404">
        <f>SUM(Q15,Q19)</f>
        <v>1809009</v>
      </c>
      <c r="R20" s="403"/>
      <c r="S20" s="404">
        <f>SUM(S15,S19)</f>
        <v>2017096</v>
      </c>
      <c r="T20" s="403"/>
      <c r="U20" s="404">
        <f>SUM(U15,U19)</f>
        <v>2021266</v>
      </c>
      <c r="V20" s="403"/>
      <c r="W20" s="404">
        <f>SUM(W15,W19)</f>
        <v>2031683</v>
      </c>
      <c r="X20" s="403"/>
      <c r="Y20" s="405">
        <f>SUM(Y15,Y19)</f>
        <v>2129272</v>
      </c>
      <c r="Z20" s="383"/>
      <c r="AA20" s="406"/>
      <c r="AB20" s="385">
        <f>AVERAGE(S20,Q20,Y20,W20,U20)</f>
        <v>2001665.2</v>
      </c>
      <c r="AC20" s="323">
        <f>+(Y20-Q20)/Q20</f>
        <v>0.17703781462668233</v>
      </c>
    </row>
    <row r="21" spans="1:29" ht="18" customHeight="1" thickBot="1" x14ac:dyDescent="0.25">
      <c r="A21" s="19" t="s">
        <v>44</v>
      </c>
      <c r="B21" s="473" t="s">
        <v>28</v>
      </c>
      <c r="C21" s="474"/>
      <c r="D21" s="475" t="s">
        <v>29</v>
      </c>
      <c r="E21" s="475"/>
      <c r="F21" s="473" t="s">
        <v>30</v>
      </c>
      <c r="G21" s="475"/>
      <c r="H21" s="476"/>
      <c r="I21" s="477"/>
      <c r="J21" s="458"/>
      <c r="K21" s="471"/>
      <c r="L21" s="458"/>
      <c r="M21" s="471"/>
      <c r="N21" s="458"/>
      <c r="O21" s="471"/>
      <c r="P21" s="458"/>
      <c r="Q21" s="471"/>
      <c r="R21" s="458"/>
      <c r="S21" s="471"/>
      <c r="T21" s="458"/>
      <c r="U21" s="471"/>
      <c r="V21" s="458"/>
      <c r="W21" s="471"/>
      <c r="X21" s="458"/>
      <c r="Y21" s="459"/>
      <c r="Z21" s="383"/>
      <c r="AA21" s="467"/>
      <c r="AB21" s="468"/>
      <c r="AC21" s="327"/>
    </row>
    <row r="22" spans="1:29" ht="15" customHeight="1" x14ac:dyDescent="0.2">
      <c r="A22" s="118" t="s">
        <v>61</v>
      </c>
      <c r="B22" s="107"/>
      <c r="C22" s="98">
        <v>4245</v>
      </c>
      <c r="D22" s="35"/>
      <c r="E22" s="143">
        <v>12622.68</v>
      </c>
      <c r="F22" s="107"/>
      <c r="G22" s="143">
        <v>22091</v>
      </c>
      <c r="H22" s="113"/>
      <c r="I22" s="273">
        <v>33267</v>
      </c>
      <c r="J22" s="380"/>
      <c r="K22" s="407">
        <v>14767</v>
      </c>
      <c r="L22" s="380"/>
      <c r="M22" s="407">
        <v>10061</v>
      </c>
      <c r="N22" s="380"/>
      <c r="O22" s="407">
        <v>19332</v>
      </c>
      <c r="P22" s="380"/>
      <c r="Q22" s="407">
        <v>24684</v>
      </c>
      <c r="R22" s="380"/>
      <c r="S22" s="407">
        <v>16079.27</v>
      </c>
      <c r="T22" s="408"/>
      <c r="U22" s="409">
        <v>21889</v>
      </c>
      <c r="V22" s="408"/>
      <c r="W22" s="409">
        <v>16461</v>
      </c>
      <c r="X22" s="408"/>
      <c r="Y22" s="410"/>
      <c r="Z22" s="383"/>
      <c r="AA22" s="411"/>
      <c r="AB22" s="385">
        <f>AVERAGE(S22,Q22,O22,W22,U22)</f>
        <v>19689.054</v>
      </c>
      <c r="AC22" s="324">
        <f>+(W22-O22)/O22</f>
        <v>-0.14851024208566108</v>
      </c>
    </row>
    <row r="23" spans="1:29" ht="15" customHeight="1" x14ac:dyDescent="0.2">
      <c r="A23" s="118" t="s">
        <v>45</v>
      </c>
      <c r="B23" s="110"/>
      <c r="C23" s="259">
        <v>0</v>
      </c>
      <c r="D23" s="93"/>
      <c r="E23" s="205">
        <v>5836.57</v>
      </c>
      <c r="F23" s="110"/>
      <c r="G23" s="205">
        <v>0</v>
      </c>
      <c r="H23" s="110"/>
      <c r="I23" s="229">
        <v>0</v>
      </c>
      <c r="J23" s="386"/>
      <c r="K23" s="412">
        <v>0</v>
      </c>
      <c r="L23" s="386"/>
      <c r="M23" s="412">
        <v>0</v>
      </c>
      <c r="N23" s="386"/>
      <c r="O23" s="412">
        <v>0</v>
      </c>
      <c r="P23" s="386"/>
      <c r="Q23" s="412">
        <v>0</v>
      </c>
      <c r="R23" s="386"/>
      <c r="S23" s="412">
        <v>14615.29</v>
      </c>
      <c r="T23" s="413"/>
      <c r="U23" s="414">
        <v>129077</v>
      </c>
      <c r="V23" s="413"/>
      <c r="W23" s="414">
        <v>255318</v>
      </c>
      <c r="X23" s="413"/>
      <c r="Y23" s="415"/>
      <c r="Z23" s="383"/>
      <c r="AA23" s="411"/>
      <c r="AB23" s="385">
        <f t="shared" ref="AB23:AB24" si="2">AVERAGE(S23,Q23,O23,W23,U23)</f>
        <v>79802.05799999999</v>
      </c>
      <c r="AC23" s="324" t="e">
        <f t="shared" ref="AC23" si="3">+(W23-O23)/O23</f>
        <v>#DIV/0!</v>
      </c>
    </row>
    <row r="24" spans="1:29" ht="15" customHeight="1" thickBot="1" x14ac:dyDescent="0.25">
      <c r="A24" s="128" t="s">
        <v>46</v>
      </c>
      <c r="B24" s="114"/>
      <c r="C24" s="252">
        <v>4528.4399999999996</v>
      </c>
      <c r="D24" s="96"/>
      <c r="E24" s="233">
        <v>4082.49</v>
      </c>
      <c r="F24" s="114"/>
      <c r="G24" s="233">
        <v>6112.52</v>
      </c>
      <c r="H24" s="114"/>
      <c r="I24" s="253">
        <v>1000.98</v>
      </c>
      <c r="J24" s="416"/>
      <c r="K24" s="417">
        <v>0</v>
      </c>
      <c r="L24" s="416"/>
      <c r="M24" s="417">
        <v>0</v>
      </c>
      <c r="N24" s="416"/>
      <c r="O24" s="417">
        <v>0</v>
      </c>
      <c r="P24" s="416"/>
      <c r="Q24" s="417">
        <v>0</v>
      </c>
      <c r="R24" s="416"/>
      <c r="S24" s="417">
        <v>0</v>
      </c>
      <c r="T24" s="418"/>
      <c r="U24" s="419">
        <v>0</v>
      </c>
      <c r="V24" s="418"/>
      <c r="W24" s="419">
        <v>2713</v>
      </c>
      <c r="X24" s="418"/>
      <c r="Y24" s="420"/>
      <c r="Z24" s="383"/>
      <c r="AA24" s="421"/>
      <c r="AB24" s="385">
        <f t="shared" si="2"/>
        <v>542.6</v>
      </c>
      <c r="AC24" s="325"/>
    </row>
    <row r="25" spans="1:29" ht="18" customHeight="1" thickTop="1" x14ac:dyDescent="0.2">
      <c r="A25" s="314" t="s">
        <v>47</v>
      </c>
      <c r="B25" s="239" t="s">
        <v>25</v>
      </c>
      <c r="C25" s="240" t="s">
        <v>27</v>
      </c>
      <c r="D25" s="241" t="s">
        <v>25</v>
      </c>
      <c r="E25" s="242" t="s">
        <v>27</v>
      </c>
      <c r="F25" s="239" t="s">
        <v>25</v>
      </c>
      <c r="G25" s="242" t="s">
        <v>27</v>
      </c>
      <c r="H25" s="315" t="s">
        <v>25</v>
      </c>
      <c r="I25" s="317" t="s">
        <v>27</v>
      </c>
      <c r="J25" s="422" t="s">
        <v>25</v>
      </c>
      <c r="K25" s="423" t="s">
        <v>27</v>
      </c>
      <c r="L25" s="422" t="s">
        <v>25</v>
      </c>
      <c r="M25" s="423" t="s">
        <v>27</v>
      </c>
      <c r="N25" s="422" t="s">
        <v>25</v>
      </c>
      <c r="O25" s="423" t="s">
        <v>27</v>
      </c>
      <c r="P25" s="422" t="s">
        <v>25</v>
      </c>
      <c r="Q25" s="423" t="s">
        <v>27</v>
      </c>
      <c r="R25" s="422" t="s">
        <v>25</v>
      </c>
      <c r="S25" s="423" t="s">
        <v>27</v>
      </c>
      <c r="T25" s="424" t="s">
        <v>25</v>
      </c>
      <c r="U25" s="425" t="s">
        <v>27</v>
      </c>
      <c r="V25" s="424" t="s">
        <v>25</v>
      </c>
      <c r="W25" s="425" t="s">
        <v>27</v>
      </c>
      <c r="X25" s="424" t="s">
        <v>25</v>
      </c>
      <c r="Y25" s="426" t="s">
        <v>27</v>
      </c>
      <c r="Z25" s="427"/>
      <c r="AA25" s="428" t="s">
        <v>25</v>
      </c>
      <c r="AB25" s="429" t="s">
        <v>27</v>
      </c>
      <c r="AC25" s="330" t="s">
        <v>51</v>
      </c>
    </row>
    <row r="26" spans="1:29" ht="15" customHeight="1" x14ac:dyDescent="0.2">
      <c r="A26" s="118" t="s">
        <v>48</v>
      </c>
      <c r="B26" s="182">
        <v>1</v>
      </c>
      <c r="C26" s="165">
        <v>0</v>
      </c>
      <c r="D26" s="204">
        <v>2</v>
      </c>
      <c r="E26" s="169">
        <v>24000</v>
      </c>
      <c r="F26" s="206">
        <v>0</v>
      </c>
      <c r="G26" s="137">
        <v>0</v>
      </c>
      <c r="H26" s="210">
        <v>1</v>
      </c>
      <c r="I26" s="208">
        <v>2000</v>
      </c>
      <c r="J26" s="430">
        <v>2</v>
      </c>
      <c r="K26" s="431">
        <f>1631430+550</f>
        <v>1631980</v>
      </c>
      <c r="L26" s="430">
        <v>1</v>
      </c>
      <c r="M26" s="431">
        <v>3411955</v>
      </c>
      <c r="N26" s="430">
        <v>0</v>
      </c>
      <c r="O26" s="431">
        <v>0</v>
      </c>
      <c r="P26" s="430">
        <f>1+1</f>
        <v>2</v>
      </c>
      <c r="Q26" s="431">
        <f>5000+34590</f>
        <v>39590</v>
      </c>
      <c r="R26" s="430">
        <v>0</v>
      </c>
      <c r="S26" s="431">
        <v>0</v>
      </c>
      <c r="T26" s="430">
        <v>0</v>
      </c>
      <c r="U26" s="431">
        <v>0</v>
      </c>
      <c r="V26" s="430">
        <v>2</v>
      </c>
      <c r="W26" s="431">
        <v>319019</v>
      </c>
      <c r="X26" s="432"/>
      <c r="Y26" s="433"/>
      <c r="Z26" s="383"/>
      <c r="AA26" s="434">
        <f>AVERAGE(R26,P26,N26,V26,T26)</f>
        <v>0.8</v>
      </c>
      <c r="AB26" s="385">
        <f t="shared" ref="AB26:AB27" si="4">AVERAGE(S26,Q26,O26,W26,U26)</f>
        <v>71721.8</v>
      </c>
      <c r="AC26" s="324" t="e">
        <f t="shared" ref="AC26:AC27" si="5">+(W26-O26)/O26</f>
        <v>#DIV/0!</v>
      </c>
    </row>
    <row r="27" spans="1:29" ht="15" customHeight="1" thickBot="1" x14ac:dyDescent="0.25">
      <c r="A27" s="128" t="s">
        <v>49</v>
      </c>
      <c r="B27" s="244">
        <v>1</v>
      </c>
      <c r="C27" s="266">
        <v>0</v>
      </c>
      <c r="D27" s="264">
        <v>3</v>
      </c>
      <c r="E27" s="265">
        <v>24000</v>
      </c>
      <c r="F27" s="246">
        <v>0</v>
      </c>
      <c r="G27" s="267">
        <v>0</v>
      </c>
      <c r="H27" s="268">
        <v>1</v>
      </c>
      <c r="I27" s="145">
        <v>580</v>
      </c>
      <c r="J27" s="435">
        <v>0</v>
      </c>
      <c r="K27" s="436">
        <v>0</v>
      </c>
      <c r="L27" s="435">
        <v>0</v>
      </c>
      <c r="M27" s="436">
        <v>0</v>
      </c>
      <c r="N27" s="435">
        <v>0</v>
      </c>
      <c r="O27" s="436">
        <v>0</v>
      </c>
      <c r="P27" s="435">
        <f>1</f>
        <v>1</v>
      </c>
      <c r="Q27" s="436">
        <f>12276</f>
        <v>12276</v>
      </c>
      <c r="R27" s="435">
        <v>1</v>
      </c>
      <c r="S27" s="436">
        <v>1500</v>
      </c>
      <c r="T27" s="435">
        <v>0</v>
      </c>
      <c r="U27" s="436">
        <v>0</v>
      </c>
      <c r="V27" s="437">
        <v>3</v>
      </c>
      <c r="W27" s="438">
        <v>342269</v>
      </c>
      <c r="X27" s="439"/>
      <c r="Y27" s="420"/>
      <c r="Z27" s="383"/>
      <c r="AA27" s="440">
        <f>AVERAGE(R27,P27,N27,V27,T27)</f>
        <v>1</v>
      </c>
      <c r="AB27" s="385">
        <f t="shared" si="4"/>
        <v>71209</v>
      </c>
      <c r="AC27" s="325" t="e">
        <f t="shared" si="5"/>
        <v>#DIV/0!</v>
      </c>
    </row>
    <row r="28" spans="1:29" ht="18" customHeight="1" thickTop="1" thickBot="1" x14ac:dyDescent="0.25">
      <c r="A28" s="247" t="s">
        <v>21</v>
      </c>
      <c r="B28" s="463" t="s">
        <v>28</v>
      </c>
      <c r="C28" s="462"/>
      <c r="D28" s="456" t="s">
        <v>29</v>
      </c>
      <c r="E28" s="456"/>
      <c r="F28" s="463" t="s">
        <v>30</v>
      </c>
      <c r="G28" s="456"/>
      <c r="H28" s="478"/>
      <c r="I28" s="479"/>
      <c r="J28" s="460"/>
      <c r="K28" s="472"/>
      <c r="L28" s="460"/>
      <c r="M28" s="472"/>
      <c r="N28" s="460"/>
      <c r="O28" s="472"/>
      <c r="P28" s="460"/>
      <c r="Q28" s="472"/>
      <c r="R28" s="460"/>
      <c r="S28" s="472"/>
      <c r="T28" s="460"/>
      <c r="U28" s="472"/>
      <c r="V28" s="460"/>
      <c r="W28" s="472"/>
      <c r="X28" s="460"/>
      <c r="Y28" s="461"/>
      <c r="Z28" s="383"/>
      <c r="AA28" s="469"/>
      <c r="AB28" s="470"/>
      <c r="AC28" s="331"/>
    </row>
    <row r="29" spans="1:29" ht="15" customHeight="1" x14ac:dyDescent="0.2">
      <c r="A29" s="127" t="s">
        <v>23</v>
      </c>
      <c r="B29" s="107"/>
      <c r="C29" s="170">
        <f>1921082+47315</f>
        <v>1968397</v>
      </c>
      <c r="D29" s="35"/>
      <c r="E29" s="149">
        <f>388705.48+42136</f>
        <v>430841.48</v>
      </c>
      <c r="F29" s="107"/>
      <c r="G29" s="149">
        <f>254281.95+27411.2</f>
        <v>281693.15000000002</v>
      </c>
      <c r="H29" s="113"/>
      <c r="I29" s="141">
        <f>941359+41229</f>
        <v>982588</v>
      </c>
      <c r="J29" s="380"/>
      <c r="K29" s="441">
        <f>162351+36301</f>
        <v>198652</v>
      </c>
      <c r="L29" s="380"/>
      <c r="M29" s="441">
        <f>284295.17+43964.1</f>
        <v>328259.26999999996</v>
      </c>
      <c r="N29" s="380"/>
      <c r="O29" s="441">
        <v>359788</v>
      </c>
      <c r="P29" s="380"/>
      <c r="Q29" s="441">
        <f>93104.18+32159.6</f>
        <v>125263.78</v>
      </c>
      <c r="R29" s="380"/>
      <c r="S29" s="441">
        <f>10038536.03+20883</f>
        <v>10059419.029999999</v>
      </c>
      <c r="T29" s="408"/>
      <c r="U29" s="442">
        <f>14397.86+606993.6</f>
        <v>621391.46</v>
      </c>
      <c r="V29" s="408"/>
      <c r="W29" s="442">
        <f>264556+37924</f>
        <v>302480</v>
      </c>
      <c r="X29" s="408"/>
      <c r="Y29" s="443"/>
      <c r="Z29" s="383"/>
      <c r="AA29" s="384"/>
      <c r="AB29" s="385">
        <f t="shared" ref="AB29:AB30" si="6">AVERAGE(S29,Q29,O29,W29,U29)</f>
        <v>2293668.4539999999</v>
      </c>
      <c r="AC29" s="324">
        <f t="shared" ref="AC29" si="7">+(W29-O29)/O29</f>
        <v>-0.15928268869445339</v>
      </c>
    </row>
    <row r="30" spans="1:29" ht="15" customHeight="1" thickBot="1" x14ac:dyDescent="0.25">
      <c r="A30" s="128" t="s">
        <v>24</v>
      </c>
      <c r="B30" s="114"/>
      <c r="C30" s="145">
        <v>0</v>
      </c>
      <c r="D30" s="96"/>
      <c r="E30" s="150">
        <v>0</v>
      </c>
      <c r="F30" s="114"/>
      <c r="G30" s="150">
        <v>0</v>
      </c>
      <c r="H30" s="114"/>
      <c r="I30" s="145">
        <v>0</v>
      </c>
      <c r="J30" s="416"/>
      <c r="K30" s="436">
        <v>0</v>
      </c>
      <c r="L30" s="416"/>
      <c r="M30" s="436">
        <v>0</v>
      </c>
      <c r="N30" s="416"/>
      <c r="O30" s="436">
        <v>0</v>
      </c>
      <c r="P30" s="416"/>
      <c r="Q30" s="436">
        <v>0</v>
      </c>
      <c r="R30" s="416"/>
      <c r="S30" s="436">
        <v>0</v>
      </c>
      <c r="T30" s="418"/>
      <c r="U30" s="444">
        <v>0</v>
      </c>
      <c r="V30" s="418"/>
      <c r="W30" s="444">
        <v>0</v>
      </c>
      <c r="X30" s="418"/>
      <c r="Y30" s="445"/>
      <c r="Z30" s="383"/>
      <c r="AA30" s="446"/>
      <c r="AB30" s="447">
        <f t="shared" si="6"/>
        <v>0</v>
      </c>
      <c r="AC30" s="328"/>
    </row>
    <row r="31" spans="1:29" thickTop="1" x14ac:dyDescent="0.2">
      <c r="A31" s="6"/>
      <c r="B31" s="95"/>
      <c r="C31" s="92"/>
      <c r="D31" s="95"/>
      <c r="E31" s="92"/>
      <c r="F31" s="95"/>
      <c r="G31" s="92"/>
      <c r="H31" s="95"/>
      <c r="I31" s="92"/>
      <c r="J31" s="448"/>
      <c r="K31" s="449"/>
      <c r="L31" s="448"/>
      <c r="M31" s="449"/>
      <c r="N31" s="448"/>
      <c r="O31" s="449"/>
      <c r="P31" s="448"/>
      <c r="Q31" s="449"/>
      <c r="R31" s="448"/>
      <c r="S31" s="449"/>
      <c r="T31" s="448"/>
      <c r="U31" s="449"/>
      <c r="V31" s="448"/>
      <c r="W31" s="449"/>
      <c r="X31" s="448"/>
      <c r="Y31" s="449"/>
      <c r="Z31" s="450"/>
      <c r="AA31" s="451"/>
      <c r="AB31" s="451"/>
      <c r="AC31" s="329"/>
    </row>
    <row r="32" spans="1:29" ht="12" x14ac:dyDescent="0.2">
      <c r="B32" s="24"/>
      <c r="C32" s="24"/>
      <c r="D32" s="24"/>
      <c r="E32" s="24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</row>
    <row r="33" spans="2:28" ht="12" x14ac:dyDescent="0.2">
      <c r="B33" s="24"/>
      <c r="C33" s="24"/>
      <c r="D33" s="24"/>
      <c r="E33" s="24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</row>
    <row r="34" spans="2:28" ht="12" x14ac:dyDescent="0.2">
      <c r="B34" s="24"/>
      <c r="C34" s="24"/>
      <c r="D34" s="24"/>
      <c r="E34" s="24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</row>
    <row r="35" spans="2:28" ht="12" x14ac:dyDescent="0.2">
      <c r="B35" s="24"/>
      <c r="C35" s="24"/>
      <c r="D35" s="24"/>
      <c r="E35" s="24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</row>
    <row r="36" spans="2:28" ht="12" x14ac:dyDescent="0.2">
      <c r="B36" s="24"/>
      <c r="C36" s="24"/>
      <c r="D36" s="24"/>
      <c r="E36" s="24"/>
    </row>
    <row r="37" spans="2:28" ht="12" x14ac:dyDescent="0.2">
      <c r="B37" s="24"/>
      <c r="C37" s="24"/>
      <c r="D37" s="24"/>
      <c r="E37" s="24"/>
    </row>
    <row r="38" spans="2:28" ht="12" x14ac:dyDescent="0.2">
      <c r="B38" s="24"/>
      <c r="C38" s="24"/>
      <c r="D38" s="24"/>
      <c r="E38" s="24"/>
    </row>
    <row r="39" spans="2:28" ht="12" x14ac:dyDescent="0.2">
      <c r="B39" s="24"/>
      <c r="C39" s="24"/>
      <c r="D39" s="24"/>
      <c r="E39" s="24"/>
    </row>
    <row r="40" spans="2:28" ht="12" x14ac:dyDescent="0.2">
      <c r="B40" s="24"/>
      <c r="C40" s="24"/>
      <c r="D40" s="24"/>
      <c r="E40" s="24"/>
    </row>
    <row r="41" spans="2:28" ht="12" x14ac:dyDescent="0.2">
      <c r="B41" s="24"/>
      <c r="C41" s="24"/>
      <c r="D41" s="24"/>
      <c r="E41" s="24"/>
    </row>
    <row r="42" spans="2:28" ht="12" x14ac:dyDescent="0.2">
      <c r="B42" s="24"/>
      <c r="C42" s="24"/>
      <c r="D42" s="24"/>
      <c r="E42" s="24"/>
    </row>
    <row r="43" spans="2:28" ht="12" x14ac:dyDescent="0.2">
      <c r="B43" s="24"/>
      <c r="C43" s="24"/>
      <c r="D43" s="24"/>
      <c r="E43" s="24"/>
    </row>
  </sheetData>
  <mergeCells count="52">
    <mergeCell ref="B28:C28"/>
    <mergeCell ref="D28:E28"/>
    <mergeCell ref="F28:G28"/>
    <mergeCell ref="H28:I28"/>
    <mergeCell ref="J28:K28"/>
    <mergeCell ref="B21:C21"/>
    <mergeCell ref="D21:E21"/>
    <mergeCell ref="F21:G21"/>
    <mergeCell ref="H21:I21"/>
    <mergeCell ref="J21:K21"/>
    <mergeCell ref="AA21:AB21"/>
    <mergeCell ref="AA28:AB28"/>
    <mergeCell ref="L21:M21"/>
    <mergeCell ref="N21:O21"/>
    <mergeCell ref="P21:Q21"/>
    <mergeCell ref="R21:S21"/>
    <mergeCell ref="T21:U21"/>
    <mergeCell ref="V21:W21"/>
    <mergeCell ref="L28:M28"/>
    <mergeCell ref="N28:O28"/>
    <mergeCell ref="P28:Q28"/>
    <mergeCell ref="R28:S28"/>
    <mergeCell ref="T28:U28"/>
    <mergeCell ref="V28:W28"/>
    <mergeCell ref="H9:I9"/>
    <mergeCell ref="AA4:AB4"/>
    <mergeCell ref="AA9:AB9"/>
    <mergeCell ref="B9:C9"/>
    <mergeCell ref="F4:G4"/>
    <mergeCell ref="F9:G9"/>
    <mergeCell ref="D9:E9"/>
    <mergeCell ref="B4:C4"/>
    <mergeCell ref="D4:E4"/>
    <mergeCell ref="H4:I4"/>
    <mergeCell ref="N9:O9"/>
    <mergeCell ref="J4:K4"/>
    <mergeCell ref="J9:K9"/>
    <mergeCell ref="L9:M9"/>
    <mergeCell ref="N4:O4"/>
    <mergeCell ref="L4:M4"/>
    <mergeCell ref="P4:Q4"/>
    <mergeCell ref="P9:Q9"/>
    <mergeCell ref="V4:W4"/>
    <mergeCell ref="V9:W9"/>
    <mergeCell ref="T4:U4"/>
    <mergeCell ref="T9:U9"/>
    <mergeCell ref="R4:S4"/>
    <mergeCell ref="X4:Y4"/>
    <mergeCell ref="X9:Y9"/>
    <mergeCell ref="X21:Y21"/>
    <mergeCell ref="X28:Y28"/>
    <mergeCell ref="R9:S9"/>
  </mergeCells>
  <phoneticPr fontId="0" type="noConversion"/>
  <printOptions horizontalCentered="1" verticalCentered="1"/>
  <pageMargins left="0.25" right="0.25" top="0.5" bottom="0.5" header="0.5" footer="0.5"/>
  <pageSetup scale="80" orientation="landscape" horizontalDpi="4294967292" verticalDpi="4294967292" r:id="rId1"/>
  <headerFooter alignWithMargins="0">
    <oddFooter>&amp;R&amp;P of &amp;N
&amp;D</oddFooter>
  </headerFooter>
  <colBreaks count="1" manualBreakCount="1">
    <brk id="25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85" zoomScaleNormal="85" zoomScaleSheetLayoutView="85" workbookViewId="0">
      <pane xSplit="1" ySplit="1" topLeftCell="N12" activePane="bottomRight" state="frozen"/>
      <selection activeCell="AA25" sqref="AA25"/>
      <selection pane="topRight" activeCell="AA25" sqref="AA25"/>
      <selection pane="bottomLeft" activeCell="AA25" sqref="AA25"/>
      <selection pane="bottomRight" activeCell="AA25" sqref="AA25"/>
    </sheetView>
  </sheetViews>
  <sheetFormatPr defaultColWidth="10.28515625" defaultRowHeight="12.75" x14ac:dyDescent="0.2"/>
  <cols>
    <col min="1" max="1" width="41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89" hidden="1" customWidth="1"/>
    <col min="7" max="7" width="10.7109375" style="89" hidden="1" customWidth="1"/>
    <col min="8" max="8" width="4.7109375" style="89" hidden="1" customWidth="1"/>
    <col min="9" max="9" width="10.7109375" style="89" hidden="1" customWidth="1"/>
    <col min="10" max="10" width="4.7109375" style="24" hidden="1" customWidth="1"/>
    <col min="11" max="11" width="10.7109375" style="24" hidden="1" customWidth="1"/>
    <col min="12" max="12" width="4.7109375" style="24" hidden="1" customWidth="1"/>
    <col min="13" max="13" width="10.7109375" style="24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28515625" style="1" customWidth="1"/>
    <col min="31" max="31" width="5" style="1" customWidth="1"/>
    <col min="32" max="32" width="11" style="1" customWidth="1"/>
    <col min="33" max="33" width="8.7109375" style="1" customWidth="1"/>
    <col min="34" max="16384" width="10.28515625" style="1"/>
  </cols>
  <sheetData>
    <row r="1" spans="1:33" ht="18" x14ac:dyDescent="0.25">
      <c r="A1" s="333" t="s">
        <v>53</v>
      </c>
      <c r="B1" s="201"/>
      <c r="C1" s="201"/>
      <c r="D1" s="201"/>
      <c r="E1" s="201"/>
      <c r="F1" s="201"/>
      <c r="G1" s="201"/>
      <c r="H1" s="202"/>
      <c r="I1" s="202"/>
      <c r="J1" s="202"/>
      <c r="K1" s="202"/>
      <c r="L1" s="202"/>
      <c r="M1" s="202"/>
    </row>
    <row r="2" spans="1:33" ht="18" x14ac:dyDescent="0.25">
      <c r="A2" s="333" t="s">
        <v>54</v>
      </c>
      <c r="B2" s="201"/>
      <c r="C2" s="201"/>
      <c r="D2" s="201"/>
      <c r="E2" s="201"/>
      <c r="F2" s="201"/>
      <c r="G2" s="201"/>
      <c r="H2" s="202"/>
      <c r="I2" s="202"/>
      <c r="J2" s="202"/>
      <c r="K2" s="202"/>
      <c r="L2" s="202"/>
      <c r="M2" s="202"/>
    </row>
    <row r="3" spans="1:33" ht="18" x14ac:dyDescent="0.25">
      <c r="A3" s="333"/>
      <c r="B3" s="201"/>
      <c r="C3" s="201"/>
      <c r="D3" s="201"/>
      <c r="E3" s="201"/>
      <c r="F3" s="201"/>
      <c r="G3" s="201"/>
      <c r="H3" s="202"/>
      <c r="I3" s="202"/>
      <c r="J3" s="202"/>
      <c r="K3" s="202"/>
      <c r="L3" s="202"/>
      <c r="M3" s="202"/>
      <c r="N3" s="24"/>
      <c r="O3" s="80"/>
      <c r="P3" s="24"/>
      <c r="Q3" s="80"/>
      <c r="R3" s="24"/>
      <c r="S3" s="80"/>
      <c r="T3" s="24"/>
      <c r="U3" s="80"/>
      <c r="V3" s="24"/>
      <c r="W3" s="80"/>
      <c r="X3" s="24"/>
      <c r="Y3" s="80"/>
      <c r="Z3" s="24"/>
      <c r="AA3" s="80"/>
      <c r="AB3" s="24"/>
      <c r="AC3" s="80"/>
      <c r="AE3" s="5"/>
      <c r="AF3" s="5"/>
    </row>
    <row r="4" spans="1:33" ht="15.75" x14ac:dyDescent="0.25">
      <c r="A4" s="334" t="s">
        <v>56</v>
      </c>
      <c r="B4" s="1"/>
      <c r="C4" s="1"/>
      <c r="D4" s="1"/>
      <c r="E4" s="1"/>
      <c r="F4" s="24"/>
      <c r="G4" s="24"/>
      <c r="H4" s="24"/>
      <c r="I4" s="24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79"/>
      <c r="AE4" s="455"/>
      <c r="AF4" s="464"/>
    </row>
    <row r="5" spans="1:33" x14ac:dyDescent="0.2">
      <c r="A5" s="335"/>
      <c r="B5" s="1"/>
      <c r="C5" s="1"/>
      <c r="D5" s="1"/>
      <c r="E5" s="1"/>
      <c r="F5" s="24"/>
      <c r="G5" s="24"/>
      <c r="H5" s="24"/>
      <c r="I5" s="24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3" x14ac:dyDescent="0.2">
      <c r="A6" s="335" t="s">
        <v>55</v>
      </c>
      <c r="B6" s="1"/>
      <c r="C6" s="1"/>
      <c r="D6" s="1"/>
      <c r="E6" s="1"/>
      <c r="F6" s="24"/>
      <c r="G6" s="24"/>
      <c r="H6" s="24"/>
      <c r="I6" s="24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3" x14ac:dyDescent="0.2">
      <c r="A7" s="336">
        <v>3670085020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3" thickBot="1" x14ac:dyDescent="0.25">
      <c r="A8" s="8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E8" s="5"/>
      <c r="AF8" s="5"/>
    </row>
    <row r="9" spans="1:33" ht="30" customHeight="1" thickTop="1" thickBot="1" x14ac:dyDescent="0.25">
      <c r="A9" s="215"/>
      <c r="B9" s="482" t="s">
        <v>8</v>
      </c>
      <c r="C9" s="483"/>
      <c r="D9" s="484" t="s">
        <v>9</v>
      </c>
      <c r="E9" s="484"/>
      <c r="F9" s="463" t="s">
        <v>28</v>
      </c>
      <c r="G9" s="456"/>
      <c r="H9" s="463" t="s">
        <v>29</v>
      </c>
      <c r="I9" s="456"/>
      <c r="J9" s="463" t="s">
        <v>30</v>
      </c>
      <c r="K9" s="456"/>
      <c r="L9" s="463" t="s">
        <v>32</v>
      </c>
      <c r="M9" s="456"/>
      <c r="N9" s="456" t="s">
        <v>34</v>
      </c>
      <c r="O9" s="462"/>
      <c r="P9" s="456" t="s">
        <v>35</v>
      </c>
      <c r="Q9" s="462"/>
      <c r="R9" s="456" t="s">
        <v>39</v>
      </c>
      <c r="S9" s="462"/>
      <c r="T9" s="456" t="s">
        <v>40</v>
      </c>
      <c r="U9" s="462"/>
      <c r="V9" s="456" t="s">
        <v>41</v>
      </c>
      <c r="W9" s="462"/>
      <c r="X9" s="456" t="s">
        <v>42</v>
      </c>
      <c r="Y9" s="462"/>
      <c r="Z9" s="456" t="s">
        <v>43</v>
      </c>
      <c r="AA9" s="462"/>
      <c r="AB9" s="456" t="s">
        <v>59</v>
      </c>
      <c r="AC9" s="457"/>
      <c r="AE9" s="465" t="s">
        <v>33</v>
      </c>
      <c r="AF9" s="466"/>
      <c r="AG9" s="318" t="s">
        <v>50</v>
      </c>
    </row>
    <row r="10" spans="1:33" ht="15" customHeight="1" thickBot="1" x14ac:dyDescent="0.25">
      <c r="A10" s="248" t="s">
        <v>12</v>
      </c>
      <c r="B10" s="277"/>
      <c r="C10" s="278"/>
      <c r="D10" s="4"/>
      <c r="E10" s="4"/>
      <c r="F10" s="279"/>
      <c r="G10" s="280"/>
      <c r="H10" s="280"/>
      <c r="I10" s="280"/>
      <c r="J10" s="283"/>
      <c r="K10" s="284"/>
      <c r="L10" s="283"/>
      <c r="M10" s="284"/>
      <c r="N10" s="378"/>
      <c r="O10" s="281"/>
      <c r="P10" s="378"/>
      <c r="Q10" s="281"/>
      <c r="R10" s="378"/>
      <c r="S10" s="281"/>
      <c r="T10" s="378"/>
      <c r="U10" s="281"/>
      <c r="V10" s="378"/>
      <c r="W10" s="281"/>
      <c r="X10" s="378"/>
      <c r="Y10" s="281"/>
      <c r="Z10" s="378"/>
      <c r="AA10" s="281"/>
      <c r="AB10" s="378"/>
      <c r="AC10" s="282"/>
      <c r="AE10" s="339"/>
      <c r="AF10" s="340"/>
      <c r="AG10" s="319"/>
    </row>
    <row r="11" spans="1:33" ht="15" customHeight="1" x14ac:dyDescent="0.2">
      <c r="A11" s="121" t="s">
        <v>38</v>
      </c>
      <c r="B11" s="40"/>
      <c r="C11" s="41"/>
      <c r="D11" s="13"/>
      <c r="E11" s="13"/>
      <c r="F11" s="78"/>
      <c r="G11" s="129"/>
      <c r="H11" s="82"/>
      <c r="I11" s="82"/>
      <c r="J11" s="83"/>
      <c r="K11" s="82"/>
      <c r="L11" s="83"/>
      <c r="M11" s="84"/>
      <c r="N11" s="398"/>
      <c r="O11" s="452"/>
      <c r="P11" s="398"/>
      <c r="Q11" s="452"/>
      <c r="R11" s="398"/>
      <c r="S11" s="452"/>
      <c r="T11" s="398"/>
      <c r="U11" s="452"/>
      <c r="V11" s="398"/>
      <c r="W11" s="452"/>
      <c r="X11" s="398"/>
      <c r="Y11" s="452"/>
      <c r="Z11" s="398"/>
      <c r="AA11" s="452"/>
      <c r="AB11" s="398"/>
      <c r="AC11" s="453"/>
      <c r="AD11" s="383"/>
      <c r="AE11" s="411"/>
      <c r="AF11" s="454"/>
      <c r="AG11" s="186"/>
    </row>
    <row r="12" spans="1:33" ht="15" customHeight="1" x14ac:dyDescent="0.2">
      <c r="A12" s="118" t="s">
        <v>14</v>
      </c>
      <c r="B12" s="39"/>
      <c r="C12" s="42">
        <v>1026346</v>
      </c>
      <c r="D12" s="12"/>
      <c r="E12" s="66">
        <v>1202715</v>
      </c>
      <c r="F12" s="83"/>
      <c r="G12" s="130">
        <v>1233853</v>
      </c>
      <c r="H12" s="82"/>
      <c r="I12" s="99">
        <v>1229893</v>
      </c>
      <c r="J12" s="83"/>
      <c r="K12" s="99">
        <v>1297111</v>
      </c>
      <c r="L12" s="83"/>
      <c r="M12" s="130">
        <v>1307720</v>
      </c>
      <c r="N12" s="380"/>
      <c r="O12" s="381">
        <v>1244461</v>
      </c>
      <c r="P12" s="380"/>
      <c r="Q12" s="381">
        <v>1367019</v>
      </c>
      <c r="R12" s="380"/>
      <c r="S12" s="381">
        <v>1445281</v>
      </c>
      <c r="T12" s="380"/>
      <c r="U12" s="381">
        <v>1526725</v>
      </c>
      <c r="V12" s="380"/>
      <c r="W12" s="381">
        <v>1565883</v>
      </c>
      <c r="X12" s="380"/>
      <c r="Y12" s="381">
        <v>1559338</v>
      </c>
      <c r="Z12" s="380"/>
      <c r="AA12" s="381">
        <v>1727111</v>
      </c>
      <c r="AB12" s="380"/>
      <c r="AC12" s="382">
        <v>1691705</v>
      </c>
      <c r="AD12" s="383"/>
      <c r="AE12" s="384"/>
      <c r="AF12" s="385">
        <f>AVERAGE(W12,U12,AC12,AA12,Y12)</f>
        <v>1614152.4</v>
      </c>
      <c r="AG12" s="320">
        <f>+(AA12-S12)/S12</f>
        <v>0.1950001418409292</v>
      </c>
    </row>
    <row r="13" spans="1:33" ht="15" customHeight="1" x14ac:dyDescent="0.2">
      <c r="A13" s="118" t="s">
        <v>36</v>
      </c>
      <c r="B13" s="39"/>
      <c r="C13" s="42"/>
      <c r="D13" s="12"/>
      <c r="E13" s="66"/>
      <c r="F13" s="83"/>
      <c r="G13" s="130"/>
      <c r="H13" s="82"/>
      <c r="I13" s="99"/>
      <c r="J13" s="83"/>
      <c r="K13" s="99"/>
      <c r="L13" s="83"/>
      <c r="M13" s="130"/>
      <c r="N13" s="380"/>
      <c r="O13" s="381"/>
      <c r="P13" s="380"/>
      <c r="Q13" s="381"/>
      <c r="R13" s="380"/>
      <c r="S13" s="381"/>
      <c r="T13" s="380"/>
      <c r="U13" s="381"/>
      <c r="V13" s="380"/>
      <c r="W13" s="381"/>
      <c r="X13" s="380"/>
      <c r="Y13" s="381"/>
      <c r="Z13" s="380"/>
      <c r="AA13" s="381"/>
      <c r="AB13" s="380"/>
      <c r="AC13" s="382"/>
      <c r="AD13" s="383"/>
      <c r="AE13" s="384"/>
      <c r="AF13" s="385"/>
      <c r="AG13" s="320"/>
    </row>
    <row r="14" spans="1:33" ht="24.75" thickBot="1" x14ac:dyDescent="0.25">
      <c r="A14" s="286" t="s">
        <v>37</v>
      </c>
      <c r="B14" s="46"/>
      <c r="C14" s="287">
        <v>1328365</v>
      </c>
      <c r="D14" s="288"/>
      <c r="E14" s="289">
        <v>2830399</v>
      </c>
      <c r="F14" s="290"/>
      <c r="G14" s="291">
        <v>3139852</v>
      </c>
      <c r="H14" s="292"/>
      <c r="I14" s="293">
        <v>3211126</v>
      </c>
      <c r="J14" s="290"/>
      <c r="K14" s="293">
        <v>3162106</v>
      </c>
      <c r="L14" s="290"/>
      <c r="M14" s="291">
        <v>3548221</v>
      </c>
      <c r="N14" s="386"/>
      <c r="O14" s="387">
        <v>3559893</v>
      </c>
      <c r="P14" s="386"/>
      <c r="Q14" s="387">
        <v>2674257</v>
      </c>
      <c r="R14" s="386"/>
      <c r="S14" s="387">
        <v>2629113</v>
      </c>
      <c r="T14" s="386"/>
      <c r="U14" s="387">
        <v>2507320</v>
      </c>
      <c r="V14" s="386"/>
      <c r="W14" s="387">
        <v>2515287</v>
      </c>
      <c r="X14" s="386"/>
      <c r="Y14" s="387">
        <v>2595346</v>
      </c>
      <c r="Z14" s="386"/>
      <c r="AA14" s="387">
        <v>3356555</v>
      </c>
      <c r="AB14" s="386"/>
      <c r="AC14" s="388">
        <v>3471432</v>
      </c>
      <c r="AD14" s="383"/>
      <c r="AE14" s="389"/>
      <c r="AF14" s="390">
        <f>AVERAGE(W14,U14,AC14,AA14,Y14)</f>
        <v>2889188</v>
      </c>
      <c r="AG14" s="320">
        <f t="shared" ref="AG14" si="0">+(AA14-S14)/S14</f>
        <v>0.27668723253812216</v>
      </c>
    </row>
    <row r="15" spans="1:33" ht="18.75" customHeight="1" thickBot="1" x14ac:dyDescent="0.25">
      <c r="A15" s="295" t="s">
        <v>52</v>
      </c>
      <c r="B15" s="296"/>
      <c r="C15" s="297">
        <f>SUM(C12:C14)</f>
        <v>2354711</v>
      </c>
      <c r="D15" s="298"/>
      <c r="E15" s="299">
        <f>SUM(E12:E14)</f>
        <v>4033114</v>
      </c>
      <c r="F15" s="300"/>
      <c r="G15" s="301">
        <f>SUM(G12:G14)</f>
        <v>4373705</v>
      </c>
      <c r="H15" s="302"/>
      <c r="I15" s="303">
        <f>SUM(I12:I14)</f>
        <v>4441019</v>
      </c>
      <c r="J15" s="300"/>
      <c r="K15" s="303">
        <f>SUM(K12:K14)</f>
        <v>4459217</v>
      </c>
      <c r="L15" s="300"/>
      <c r="M15" s="301">
        <f>SUM(M12:M14)</f>
        <v>4855941</v>
      </c>
      <c r="N15" s="391"/>
      <c r="O15" s="392">
        <f>SUM(O12:O14)</f>
        <v>4804354</v>
      </c>
      <c r="P15" s="391"/>
      <c r="Q15" s="392">
        <f>SUM(Q12:Q14)</f>
        <v>4041276</v>
      </c>
      <c r="R15" s="391"/>
      <c r="S15" s="392">
        <f>SUM(S12:S14)</f>
        <v>4074394</v>
      </c>
      <c r="T15" s="391"/>
      <c r="U15" s="392">
        <f>SUM(U12:U14)</f>
        <v>4034045</v>
      </c>
      <c r="V15" s="391"/>
      <c r="W15" s="392">
        <f>SUM(W12:W14)</f>
        <v>4081170</v>
      </c>
      <c r="X15" s="391"/>
      <c r="Y15" s="392">
        <f>SUM(Y12:Y14)</f>
        <v>4154684</v>
      </c>
      <c r="Z15" s="391"/>
      <c r="AA15" s="392">
        <f>SUM(AA12:AA14)</f>
        <v>5083666</v>
      </c>
      <c r="AB15" s="391"/>
      <c r="AC15" s="393">
        <f>SUM(AC12:AC14)</f>
        <v>5163137</v>
      </c>
      <c r="AD15" s="383"/>
      <c r="AE15" s="394"/>
      <c r="AF15" s="395">
        <f>AVERAGE(W15,U15,AC15,AA15,Y15)</f>
        <v>4503340.4000000004</v>
      </c>
      <c r="AG15" s="321">
        <f>+(AA15-S15)/S15</f>
        <v>0.247710947934834</v>
      </c>
    </row>
    <row r="16" spans="1:33" ht="15" customHeight="1" x14ac:dyDescent="0.2">
      <c r="A16" s="216" t="s">
        <v>16</v>
      </c>
      <c r="B16" s="39"/>
      <c r="C16" s="42"/>
      <c r="D16" s="12"/>
      <c r="E16" s="66"/>
      <c r="F16" s="83"/>
      <c r="G16" s="130"/>
      <c r="H16" s="82"/>
      <c r="I16" s="99"/>
      <c r="J16" s="83"/>
      <c r="K16" s="99"/>
      <c r="L16" s="83"/>
      <c r="M16" s="130"/>
      <c r="N16" s="380"/>
      <c r="O16" s="381"/>
      <c r="P16" s="380"/>
      <c r="Q16" s="381"/>
      <c r="R16" s="380"/>
      <c r="S16" s="381"/>
      <c r="T16" s="380"/>
      <c r="U16" s="381"/>
      <c r="V16" s="380"/>
      <c r="W16" s="381"/>
      <c r="X16" s="380"/>
      <c r="Y16" s="381"/>
      <c r="Z16" s="380"/>
      <c r="AA16" s="381"/>
      <c r="AB16" s="380"/>
      <c r="AC16" s="382"/>
      <c r="AD16" s="383"/>
      <c r="AE16" s="396"/>
      <c r="AF16" s="397"/>
      <c r="AG16" s="294"/>
    </row>
    <row r="17" spans="1:33" ht="15" customHeight="1" x14ac:dyDescent="0.2">
      <c r="A17" s="118" t="s">
        <v>14</v>
      </c>
      <c r="B17" s="40"/>
      <c r="C17" s="43"/>
      <c r="D17" s="13"/>
      <c r="E17" s="67"/>
      <c r="F17" s="78"/>
      <c r="G17" s="132"/>
      <c r="H17" s="34"/>
      <c r="I17" s="146"/>
      <c r="J17" s="78"/>
      <c r="K17" s="146"/>
      <c r="L17" s="78"/>
      <c r="M17" s="132"/>
      <c r="N17" s="398"/>
      <c r="O17" s="399"/>
      <c r="P17" s="398"/>
      <c r="Q17" s="399"/>
      <c r="R17" s="398"/>
      <c r="S17" s="399"/>
      <c r="T17" s="398"/>
      <c r="U17" s="399"/>
      <c r="V17" s="398"/>
      <c r="W17" s="399"/>
      <c r="X17" s="398"/>
      <c r="Y17" s="399"/>
      <c r="Z17" s="398"/>
      <c r="AA17" s="399"/>
      <c r="AB17" s="398"/>
      <c r="AC17" s="400"/>
      <c r="AD17" s="383"/>
      <c r="AE17" s="384"/>
      <c r="AF17" s="385"/>
      <c r="AG17" s="320"/>
    </row>
    <row r="18" spans="1:33" ht="24.75" thickBot="1" x14ac:dyDescent="0.25">
      <c r="A18" s="286" t="s">
        <v>20</v>
      </c>
      <c r="B18" s="46"/>
      <c r="C18" s="287"/>
      <c r="D18" s="288"/>
      <c r="E18" s="289"/>
      <c r="F18" s="290"/>
      <c r="G18" s="291"/>
      <c r="H18" s="292"/>
      <c r="I18" s="293"/>
      <c r="J18" s="290"/>
      <c r="K18" s="293"/>
      <c r="L18" s="290"/>
      <c r="M18" s="291"/>
      <c r="N18" s="386"/>
      <c r="O18" s="387"/>
      <c r="P18" s="386"/>
      <c r="Q18" s="387"/>
      <c r="R18" s="386"/>
      <c r="S18" s="387"/>
      <c r="T18" s="386"/>
      <c r="U18" s="387"/>
      <c r="V18" s="386"/>
      <c r="W18" s="387"/>
      <c r="X18" s="386"/>
      <c r="Y18" s="387"/>
      <c r="Z18" s="386"/>
      <c r="AA18" s="387"/>
      <c r="AB18" s="386"/>
      <c r="AC18" s="388"/>
      <c r="AD18" s="383"/>
      <c r="AE18" s="401"/>
      <c r="AF18" s="402"/>
      <c r="AG18" s="322"/>
    </row>
    <row r="19" spans="1:33" ht="18.75" customHeight="1" thickBot="1" x14ac:dyDescent="0.25">
      <c r="A19" s="295" t="s">
        <v>17</v>
      </c>
      <c r="B19" s="296"/>
      <c r="C19" s="297">
        <f>SUM(C17:C18)</f>
        <v>0</v>
      </c>
      <c r="D19" s="298"/>
      <c r="E19" s="299">
        <f>SUM(E17:E18)</f>
        <v>0</v>
      </c>
      <c r="F19" s="300"/>
      <c r="G19" s="301">
        <f>SUM(G17:G18)</f>
        <v>0</v>
      </c>
      <c r="H19" s="302"/>
      <c r="I19" s="303">
        <f>SUM(I17:I18)</f>
        <v>0</v>
      </c>
      <c r="J19" s="300"/>
      <c r="K19" s="303">
        <f>SUM(K17:K18)</f>
        <v>0</v>
      </c>
      <c r="L19" s="300"/>
      <c r="M19" s="301">
        <f>SUM(M17:M18)</f>
        <v>0</v>
      </c>
      <c r="N19" s="391"/>
      <c r="O19" s="392">
        <f>SUM(O17:O18)</f>
        <v>0</v>
      </c>
      <c r="P19" s="391"/>
      <c r="Q19" s="392">
        <f>SUM(Q17:Q18)</f>
        <v>0</v>
      </c>
      <c r="R19" s="391"/>
      <c r="S19" s="392">
        <f>SUM(S17:S18)</f>
        <v>0</v>
      </c>
      <c r="T19" s="391"/>
      <c r="U19" s="392">
        <f>SUM(U17:U18)</f>
        <v>0</v>
      </c>
      <c r="V19" s="391"/>
      <c r="W19" s="392">
        <f>SUM(W17:W18)</f>
        <v>0</v>
      </c>
      <c r="X19" s="391"/>
      <c r="Y19" s="392">
        <f>SUM(Y17:Y18)</f>
        <v>0</v>
      </c>
      <c r="Z19" s="391"/>
      <c r="AA19" s="392">
        <f>SUM(AA17:AA18)</f>
        <v>0</v>
      </c>
      <c r="AB19" s="391"/>
      <c r="AC19" s="393">
        <f>SUM(AC17:AC18)</f>
        <v>0</v>
      </c>
      <c r="AD19" s="383"/>
      <c r="AE19" s="394"/>
      <c r="AF19" s="395"/>
      <c r="AG19" s="326"/>
    </row>
    <row r="20" spans="1:33" ht="18.75" customHeight="1" thickBot="1" x14ac:dyDescent="0.25">
      <c r="A20" s="332" t="s">
        <v>18</v>
      </c>
      <c r="B20" s="304"/>
      <c r="C20" s="305">
        <f>SUM(C15,C19)</f>
        <v>2354711</v>
      </c>
      <c r="D20" s="306"/>
      <c r="E20" s="307">
        <f>SUM(E15,E19)</f>
        <v>4033114</v>
      </c>
      <c r="F20" s="308"/>
      <c r="G20" s="309">
        <f>SUM(G15,G19)</f>
        <v>4373705</v>
      </c>
      <c r="H20" s="308"/>
      <c r="I20" s="309">
        <f>SUM(I15,I19)</f>
        <v>4441019</v>
      </c>
      <c r="J20" s="308"/>
      <c r="K20" s="309">
        <f>SUM(K15,K19)</f>
        <v>4459217</v>
      </c>
      <c r="L20" s="308"/>
      <c r="M20" s="310">
        <f>SUM(M15,M19)</f>
        <v>4855941</v>
      </c>
      <c r="N20" s="403"/>
      <c r="O20" s="404">
        <f>SUM(O15,O19)</f>
        <v>4804354</v>
      </c>
      <c r="P20" s="403"/>
      <c r="Q20" s="404">
        <f>SUM(Q15,Q19)</f>
        <v>4041276</v>
      </c>
      <c r="R20" s="403"/>
      <c r="S20" s="404">
        <f>SUM(S15,S19)</f>
        <v>4074394</v>
      </c>
      <c r="T20" s="403"/>
      <c r="U20" s="404">
        <f>SUM(U15,U19)</f>
        <v>4034045</v>
      </c>
      <c r="V20" s="403"/>
      <c r="W20" s="404">
        <f>SUM(W15,W19)</f>
        <v>4081170</v>
      </c>
      <c r="X20" s="403"/>
      <c r="Y20" s="404">
        <f>SUM(Y15,Y19)</f>
        <v>4154684</v>
      </c>
      <c r="Z20" s="403"/>
      <c r="AA20" s="404">
        <f>SUM(AA15,AA19)</f>
        <v>5083666</v>
      </c>
      <c r="AB20" s="403"/>
      <c r="AC20" s="405">
        <f>SUM(AC15,AC19)</f>
        <v>5163137</v>
      </c>
      <c r="AD20" s="383"/>
      <c r="AE20" s="406"/>
      <c r="AF20" s="385">
        <f>AVERAGE(W20,U20,AC20,AA20,Y20)</f>
        <v>4503340.4000000004</v>
      </c>
      <c r="AG20" s="323">
        <f>+(AA20-S20)/S20</f>
        <v>0.247710947934834</v>
      </c>
    </row>
    <row r="21" spans="1:33" ht="18" customHeight="1" thickBot="1" x14ac:dyDescent="0.25">
      <c r="A21" s="313" t="s">
        <v>44</v>
      </c>
      <c r="B21" s="485" t="s">
        <v>8</v>
      </c>
      <c r="C21" s="486"/>
      <c r="D21" s="487" t="s">
        <v>9</v>
      </c>
      <c r="E21" s="487"/>
      <c r="F21" s="473" t="s">
        <v>28</v>
      </c>
      <c r="G21" s="475"/>
      <c r="H21" s="473" t="s">
        <v>29</v>
      </c>
      <c r="I21" s="475"/>
      <c r="J21" s="476"/>
      <c r="K21" s="480"/>
      <c r="L21" s="476"/>
      <c r="M21" s="480"/>
      <c r="N21" s="458"/>
      <c r="O21" s="471"/>
      <c r="P21" s="458"/>
      <c r="Q21" s="471"/>
      <c r="R21" s="458"/>
      <c r="S21" s="471"/>
      <c r="T21" s="458"/>
      <c r="U21" s="471"/>
      <c r="V21" s="458"/>
      <c r="W21" s="471"/>
      <c r="X21" s="458"/>
      <c r="Y21" s="471"/>
      <c r="Z21" s="458"/>
      <c r="AA21" s="471"/>
      <c r="AB21" s="458"/>
      <c r="AC21" s="459"/>
      <c r="AD21" s="383"/>
      <c r="AE21" s="467"/>
      <c r="AF21" s="468"/>
      <c r="AG21" s="327"/>
    </row>
    <row r="22" spans="1:33" ht="15" customHeight="1" x14ac:dyDescent="0.2">
      <c r="A22" s="118" t="s">
        <v>61</v>
      </c>
      <c r="B22" s="49"/>
      <c r="C22" s="50">
        <f>1151896+188702</f>
        <v>1340598</v>
      </c>
      <c r="D22" s="11"/>
      <c r="E22" s="14">
        <f>1201270+378499</f>
        <v>1579769</v>
      </c>
      <c r="F22" s="107"/>
      <c r="G22" s="158">
        <f>1316777+166175</f>
        <v>1482952</v>
      </c>
      <c r="H22" s="211"/>
      <c r="I22" s="158">
        <f>1217398+336611</f>
        <v>1554009</v>
      </c>
      <c r="J22" s="275"/>
      <c r="K22" s="276">
        <f>1068171+615320</f>
        <v>1683491</v>
      </c>
      <c r="L22" s="275"/>
      <c r="M22" s="312">
        <v>1564298</v>
      </c>
      <c r="N22" s="380"/>
      <c r="O22" s="407">
        <v>1718633</v>
      </c>
      <c r="P22" s="380"/>
      <c r="Q22" s="407">
        <v>1695139</v>
      </c>
      <c r="R22" s="380"/>
      <c r="S22" s="407">
        <v>2452270</v>
      </c>
      <c r="T22" s="380"/>
      <c r="U22" s="407">
        <v>2070843</v>
      </c>
      <c r="V22" s="380"/>
      <c r="W22" s="407">
        <v>2170671.02</v>
      </c>
      <c r="X22" s="408"/>
      <c r="Y22" s="409">
        <v>1866630</v>
      </c>
      <c r="Z22" s="408"/>
      <c r="AA22" s="409">
        <v>1939021</v>
      </c>
      <c r="AB22" s="408"/>
      <c r="AC22" s="410"/>
      <c r="AD22" s="383"/>
      <c r="AE22" s="411"/>
      <c r="AF22" s="385">
        <f>AVERAGE(W22,U22,S22,AA22,Y22)</f>
        <v>2099887.0039999997</v>
      </c>
      <c r="AG22" s="324">
        <f>+(AA22-S22)/S22</f>
        <v>-0.20929546909598046</v>
      </c>
    </row>
    <row r="23" spans="1:33" ht="15" customHeight="1" x14ac:dyDescent="0.2">
      <c r="A23" s="118" t="s">
        <v>45</v>
      </c>
      <c r="B23" s="56"/>
      <c r="C23" s="230"/>
      <c r="D23" s="28"/>
      <c r="E23" s="183"/>
      <c r="F23" s="56"/>
      <c r="G23" s="230">
        <v>16985.189999999999</v>
      </c>
      <c r="H23" s="56"/>
      <c r="I23" s="230">
        <v>1671.78</v>
      </c>
      <c r="J23" s="56"/>
      <c r="K23" s="230">
        <f>5724.66</f>
        <v>5724.66</v>
      </c>
      <c r="L23" s="56"/>
      <c r="M23" s="230">
        <v>130263.99</v>
      </c>
      <c r="N23" s="386"/>
      <c r="O23" s="412">
        <f>316110.33+16656.64</f>
        <v>332766.97000000003</v>
      </c>
      <c r="P23" s="386"/>
      <c r="Q23" s="412">
        <f>800619.92+14258.06</f>
        <v>814877.9800000001</v>
      </c>
      <c r="R23" s="386"/>
      <c r="S23" s="412">
        <f>627165.5+8877.81</f>
        <v>636043.31000000006</v>
      </c>
      <c r="T23" s="386"/>
      <c r="U23" s="412">
        <f>720971.37+4719.13</f>
        <v>725690.5</v>
      </c>
      <c r="V23" s="386"/>
      <c r="W23" s="412">
        <f>761410.75+6047.64</f>
        <v>767458.39</v>
      </c>
      <c r="X23" s="413"/>
      <c r="Y23" s="414">
        <f>529612-537</f>
        <v>529075</v>
      </c>
      <c r="Z23" s="413"/>
      <c r="AA23" s="414">
        <v>776548</v>
      </c>
      <c r="AB23" s="413"/>
      <c r="AC23" s="415"/>
      <c r="AD23" s="383"/>
      <c r="AE23" s="411"/>
      <c r="AF23" s="385">
        <f t="shared" ref="AF23:AF24" si="1">AVERAGE(W23,U23,S23,AA23,Y23)</f>
        <v>686963.04</v>
      </c>
      <c r="AG23" s="324">
        <f t="shared" ref="AG23:AG24" si="2">+(AA23-S23)/S23</f>
        <v>0.22090428087357752</v>
      </c>
    </row>
    <row r="24" spans="1:33" ht="15" customHeight="1" thickBot="1" x14ac:dyDescent="0.25">
      <c r="A24" s="128" t="s">
        <v>46</v>
      </c>
      <c r="B24" s="64"/>
      <c r="C24" s="65">
        <v>0</v>
      </c>
      <c r="D24" s="9"/>
      <c r="E24" s="233">
        <v>0</v>
      </c>
      <c r="F24" s="64"/>
      <c r="G24" s="65">
        <v>0</v>
      </c>
      <c r="H24" s="64"/>
      <c r="I24" s="65">
        <v>0</v>
      </c>
      <c r="J24" s="64"/>
      <c r="K24" s="65">
        <v>0</v>
      </c>
      <c r="L24" s="64"/>
      <c r="M24" s="65">
        <v>0</v>
      </c>
      <c r="N24" s="416"/>
      <c r="O24" s="417">
        <v>0</v>
      </c>
      <c r="P24" s="416"/>
      <c r="Q24" s="417">
        <v>0</v>
      </c>
      <c r="R24" s="416"/>
      <c r="S24" s="417">
        <v>0</v>
      </c>
      <c r="T24" s="416"/>
      <c r="U24" s="417">
        <v>0</v>
      </c>
      <c r="V24" s="416"/>
      <c r="W24" s="417">
        <v>0</v>
      </c>
      <c r="X24" s="418"/>
      <c r="Y24" s="419">
        <v>0</v>
      </c>
      <c r="Z24" s="418"/>
      <c r="AA24" s="419">
        <v>14372</v>
      </c>
      <c r="AB24" s="418"/>
      <c r="AC24" s="420"/>
      <c r="AD24" s="383"/>
      <c r="AE24" s="421"/>
      <c r="AF24" s="385">
        <f t="shared" si="1"/>
        <v>2874.4</v>
      </c>
      <c r="AG24" s="325" t="e">
        <f t="shared" si="2"/>
        <v>#DIV/0!</v>
      </c>
    </row>
    <row r="25" spans="1:33" ht="18" customHeight="1" thickTop="1" x14ac:dyDescent="0.2">
      <c r="A25" s="314" t="s">
        <v>47</v>
      </c>
      <c r="B25" s="235" t="s">
        <v>25</v>
      </c>
      <c r="C25" s="236" t="s">
        <v>27</v>
      </c>
      <c r="D25" s="237" t="s">
        <v>25</v>
      </c>
      <c r="E25" s="238" t="s">
        <v>27</v>
      </c>
      <c r="F25" s="239" t="s">
        <v>25</v>
      </c>
      <c r="G25" s="240" t="s">
        <v>27</v>
      </c>
      <c r="H25" s="241" t="s">
        <v>25</v>
      </c>
      <c r="I25" s="242" t="s">
        <v>27</v>
      </c>
      <c r="J25" s="315" t="s">
        <v>25</v>
      </c>
      <c r="K25" s="316" t="s">
        <v>27</v>
      </c>
      <c r="L25" s="315" t="s">
        <v>25</v>
      </c>
      <c r="M25" s="317" t="s">
        <v>27</v>
      </c>
      <c r="N25" s="422" t="s">
        <v>25</v>
      </c>
      <c r="O25" s="423" t="s">
        <v>27</v>
      </c>
      <c r="P25" s="422" t="s">
        <v>25</v>
      </c>
      <c r="Q25" s="423" t="s">
        <v>27</v>
      </c>
      <c r="R25" s="422" t="s">
        <v>25</v>
      </c>
      <c r="S25" s="423" t="s">
        <v>27</v>
      </c>
      <c r="T25" s="422" t="s">
        <v>25</v>
      </c>
      <c r="U25" s="423" t="s">
        <v>27</v>
      </c>
      <c r="V25" s="422" t="s">
        <v>25</v>
      </c>
      <c r="W25" s="423" t="s">
        <v>27</v>
      </c>
      <c r="X25" s="424" t="s">
        <v>25</v>
      </c>
      <c r="Y25" s="425" t="s">
        <v>27</v>
      </c>
      <c r="Z25" s="424" t="s">
        <v>25</v>
      </c>
      <c r="AA25" s="425" t="s">
        <v>27</v>
      </c>
      <c r="AB25" s="424" t="s">
        <v>25</v>
      </c>
      <c r="AC25" s="426" t="s">
        <v>27</v>
      </c>
      <c r="AD25" s="427"/>
      <c r="AE25" s="428" t="s">
        <v>25</v>
      </c>
      <c r="AF25" s="429" t="s">
        <v>27</v>
      </c>
      <c r="AG25" s="330" t="s">
        <v>51</v>
      </c>
    </row>
    <row r="26" spans="1:33" ht="15" customHeight="1" x14ac:dyDescent="0.2">
      <c r="A26" s="118" t="s">
        <v>48</v>
      </c>
      <c r="B26" s="181">
        <v>0</v>
      </c>
      <c r="C26" s="55"/>
      <c r="D26" s="182">
        <v>0</v>
      </c>
      <c r="E26" s="166">
        <v>0</v>
      </c>
      <c r="F26" s="206">
        <v>0</v>
      </c>
      <c r="G26" s="167">
        <v>100000</v>
      </c>
      <c r="H26" s="206">
        <v>1</v>
      </c>
      <c r="I26" s="167">
        <v>18000</v>
      </c>
      <c r="J26" s="206">
        <v>0</v>
      </c>
      <c r="K26" s="167">
        <v>0</v>
      </c>
      <c r="L26" s="206">
        <v>1</v>
      </c>
      <c r="M26" s="208">
        <v>30690</v>
      </c>
      <c r="N26" s="430">
        <v>0</v>
      </c>
      <c r="O26" s="431">
        <v>0</v>
      </c>
      <c r="P26" s="430">
        <v>1</v>
      </c>
      <c r="Q26" s="431">
        <v>116593</v>
      </c>
      <c r="R26" s="430">
        <v>1</v>
      </c>
      <c r="S26" s="431">
        <v>45000</v>
      </c>
      <c r="T26" s="430">
        <v>1</v>
      </c>
      <c r="U26" s="431">
        <v>15000</v>
      </c>
      <c r="V26" s="430">
        <v>1</v>
      </c>
      <c r="W26" s="431">
        <v>228596</v>
      </c>
      <c r="X26" s="430">
        <v>2</v>
      </c>
      <c r="Y26" s="431">
        <v>986841</v>
      </c>
      <c r="Z26" s="430">
        <v>0</v>
      </c>
      <c r="AA26" s="431">
        <v>0</v>
      </c>
      <c r="AB26" s="432"/>
      <c r="AC26" s="433"/>
      <c r="AD26" s="383"/>
      <c r="AE26" s="434">
        <f>AVERAGE(V26,T26,R26,Z26,X26)</f>
        <v>1</v>
      </c>
      <c r="AF26" s="385">
        <f t="shared" ref="AF26:AF27" si="3">AVERAGE(W26,U26,S26,AA26,Y26)</f>
        <v>255087.4</v>
      </c>
      <c r="AG26" s="324">
        <f t="shared" ref="AG26:AG27" si="4">+(AA26-S26)/S26</f>
        <v>-1</v>
      </c>
    </row>
    <row r="27" spans="1:33" ht="15" customHeight="1" thickBot="1" x14ac:dyDescent="0.25">
      <c r="A27" s="128" t="s">
        <v>49</v>
      </c>
      <c r="B27" s="243">
        <v>0</v>
      </c>
      <c r="C27" s="75">
        <v>0</v>
      </c>
      <c r="D27" s="244">
        <v>0</v>
      </c>
      <c r="E27" s="245">
        <v>0</v>
      </c>
      <c r="F27" s="246">
        <v>0</v>
      </c>
      <c r="G27" s="234">
        <v>0</v>
      </c>
      <c r="H27" s="246">
        <v>0</v>
      </c>
      <c r="I27" s="234">
        <v>0</v>
      </c>
      <c r="J27" s="246">
        <v>3</v>
      </c>
      <c r="K27" s="234">
        <v>315900</v>
      </c>
      <c r="L27" s="246">
        <v>0</v>
      </c>
      <c r="M27" s="145">
        <v>0</v>
      </c>
      <c r="N27" s="435">
        <v>3</v>
      </c>
      <c r="O27" s="436">
        <f>45690</f>
        <v>45690</v>
      </c>
      <c r="P27" s="435">
        <v>1</v>
      </c>
      <c r="Q27" s="436">
        <v>20288</v>
      </c>
      <c r="R27" s="435">
        <v>1</v>
      </c>
      <c r="S27" s="436">
        <v>14066</v>
      </c>
      <c r="T27" s="435">
        <v>0</v>
      </c>
      <c r="U27" s="436">
        <v>0</v>
      </c>
      <c r="V27" s="435">
        <v>0</v>
      </c>
      <c r="W27" s="436">
        <v>0</v>
      </c>
      <c r="X27" s="435">
        <v>1</v>
      </c>
      <c r="Y27" s="436">
        <v>68274</v>
      </c>
      <c r="Z27" s="437">
        <v>0</v>
      </c>
      <c r="AA27" s="438">
        <v>0</v>
      </c>
      <c r="AB27" s="439"/>
      <c r="AC27" s="420"/>
      <c r="AD27" s="383"/>
      <c r="AE27" s="440">
        <f>AVERAGE(V27,T27,R27,Z27,X27)</f>
        <v>0.4</v>
      </c>
      <c r="AF27" s="385">
        <f t="shared" si="3"/>
        <v>16468</v>
      </c>
      <c r="AG27" s="325">
        <f t="shared" si="4"/>
        <v>-1</v>
      </c>
    </row>
    <row r="28" spans="1:33" ht="18" customHeight="1" thickTop="1" thickBot="1" x14ac:dyDescent="0.25">
      <c r="A28" s="247" t="s">
        <v>21</v>
      </c>
      <c r="B28" s="482" t="s">
        <v>8</v>
      </c>
      <c r="C28" s="483"/>
      <c r="D28" s="484" t="s">
        <v>9</v>
      </c>
      <c r="E28" s="484"/>
      <c r="F28" s="463" t="s">
        <v>28</v>
      </c>
      <c r="G28" s="456"/>
      <c r="H28" s="463" t="s">
        <v>29</v>
      </c>
      <c r="I28" s="456"/>
      <c r="J28" s="478"/>
      <c r="K28" s="481"/>
      <c r="L28" s="478"/>
      <c r="M28" s="481"/>
      <c r="N28" s="460"/>
      <c r="O28" s="472"/>
      <c r="P28" s="460"/>
      <c r="Q28" s="472"/>
      <c r="R28" s="460"/>
      <c r="S28" s="472"/>
      <c r="T28" s="460"/>
      <c r="U28" s="472"/>
      <c r="V28" s="460"/>
      <c r="W28" s="472"/>
      <c r="X28" s="460"/>
      <c r="Y28" s="472"/>
      <c r="Z28" s="460"/>
      <c r="AA28" s="472"/>
      <c r="AB28" s="460"/>
      <c r="AC28" s="461"/>
      <c r="AD28" s="383"/>
      <c r="AE28" s="469"/>
      <c r="AF28" s="470"/>
      <c r="AG28" s="331"/>
    </row>
    <row r="29" spans="1:33" ht="15" customHeight="1" x14ac:dyDescent="0.2">
      <c r="A29" s="118" t="s">
        <v>23</v>
      </c>
      <c r="B29" s="49"/>
      <c r="C29" s="77">
        <v>37033.370000000003</v>
      </c>
      <c r="D29" s="11"/>
      <c r="E29" s="149">
        <v>10365</v>
      </c>
      <c r="F29" s="107"/>
      <c r="G29" s="170">
        <v>16434</v>
      </c>
      <c r="H29" s="35"/>
      <c r="I29" s="149">
        <v>523860.78</v>
      </c>
      <c r="J29" s="113"/>
      <c r="K29" s="152">
        <v>473992.34</v>
      </c>
      <c r="L29" s="113"/>
      <c r="M29" s="141">
        <v>426954</v>
      </c>
      <c r="N29" s="380"/>
      <c r="O29" s="441">
        <v>117935</v>
      </c>
      <c r="P29" s="380"/>
      <c r="Q29" s="441">
        <v>127679.52</v>
      </c>
      <c r="R29" s="380"/>
      <c r="S29" s="441">
        <v>275146.59999999998</v>
      </c>
      <c r="T29" s="380"/>
      <c r="U29" s="441">
        <v>38286.78</v>
      </c>
      <c r="V29" s="380"/>
      <c r="W29" s="441">
        <v>55417.87</v>
      </c>
      <c r="X29" s="408"/>
      <c r="Y29" s="442">
        <v>187882.53</v>
      </c>
      <c r="Z29" s="408"/>
      <c r="AA29" s="442">
        <v>169523</v>
      </c>
      <c r="AB29" s="408"/>
      <c r="AC29" s="443"/>
      <c r="AD29" s="383"/>
      <c r="AE29" s="384"/>
      <c r="AF29" s="385">
        <f t="shared" ref="AF29:AF30" si="5">AVERAGE(W29,U29,S29,AA29,Y29)</f>
        <v>145251.356</v>
      </c>
      <c r="AG29" s="324">
        <f t="shared" ref="AG29" si="6">+(AA29-S29)/S29</f>
        <v>-0.38388117461745841</v>
      </c>
    </row>
    <row r="30" spans="1:33" ht="15" customHeight="1" thickBot="1" x14ac:dyDescent="0.25">
      <c r="A30" s="128" t="s">
        <v>24</v>
      </c>
      <c r="B30" s="64"/>
      <c r="C30" s="75">
        <v>0</v>
      </c>
      <c r="D30" s="9"/>
      <c r="E30" s="104">
        <v>0</v>
      </c>
      <c r="F30" s="114"/>
      <c r="G30" s="145">
        <v>0</v>
      </c>
      <c r="H30" s="96"/>
      <c r="I30" s="150">
        <v>0</v>
      </c>
      <c r="J30" s="114"/>
      <c r="K30" s="150">
        <v>0</v>
      </c>
      <c r="L30" s="114"/>
      <c r="M30" s="145">
        <v>0</v>
      </c>
      <c r="N30" s="416"/>
      <c r="O30" s="436">
        <v>0</v>
      </c>
      <c r="P30" s="416"/>
      <c r="Q30" s="436">
        <v>0</v>
      </c>
      <c r="R30" s="416"/>
      <c r="S30" s="436">
        <v>0</v>
      </c>
      <c r="T30" s="416"/>
      <c r="U30" s="436">
        <v>0</v>
      </c>
      <c r="V30" s="416"/>
      <c r="W30" s="436">
        <v>0</v>
      </c>
      <c r="X30" s="418"/>
      <c r="Y30" s="444">
        <v>0</v>
      </c>
      <c r="Z30" s="418"/>
      <c r="AA30" s="444">
        <v>0</v>
      </c>
      <c r="AB30" s="418"/>
      <c r="AC30" s="445"/>
      <c r="AD30" s="383"/>
      <c r="AE30" s="446"/>
      <c r="AF30" s="447">
        <f t="shared" si="5"/>
        <v>0</v>
      </c>
      <c r="AG30" s="328" t="e">
        <f>+(AA30-S30)/S30</f>
        <v>#DIV/0!</v>
      </c>
    </row>
    <row r="31" spans="1:33" ht="13.5" thickTop="1" x14ac:dyDescent="0.2">
      <c r="N31" s="448"/>
      <c r="O31" s="449"/>
      <c r="P31" s="448"/>
      <c r="Q31" s="449"/>
      <c r="R31" s="448"/>
      <c r="S31" s="449"/>
      <c r="T31" s="448"/>
      <c r="U31" s="449"/>
      <c r="V31" s="448"/>
      <c r="W31" s="449"/>
      <c r="X31" s="448"/>
      <c r="Y31" s="449"/>
      <c r="Z31" s="448"/>
      <c r="AA31" s="449"/>
      <c r="AB31" s="448"/>
      <c r="AC31" s="449"/>
      <c r="AD31" s="450"/>
      <c r="AE31" s="451"/>
      <c r="AF31" s="451"/>
      <c r="AG31" s="329"/>
    </row>
    <row r="32" spans="1:33" x14ac:dyDescent="0.2"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</row>
    <row r="33" spans="14:32" x14ac:dyDescent="0.2"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</row>
    <row r="34" spans="14:32" x14ac:dyDescent="0.2"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</row>
    <row r="35" spans="14:32" x14ac:dyDescent="0.2"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</row>
  </sheetData>
  <mergeCells count="54">
    <mergeCell ref="B28:C28"/>
    <mergeCell ref="D28:E28"/>
    <mergeCell ref="F28:G28"/>
    <mergeCell ref="H28:I28"/>
    <mergeCell ref="J28:K28"/>
    <mergeCell ref="B21:C21"/>
    <mergeCell ref="D21:E21"/>
    <mergeCell ref="F21:G21"/>
    <mergeCell ref="H21:I21"/>
    <mergeCell ref="J21:K21"/>
    <mergeCell ref="B9:C9"/>
    <mergeCell ref="D9:E9"/>
    <mergeCell ref="F9:G9"/>
    <mergeCell ref="J9:K9"/>
    <mergeCell ref="L9:M9"/>
    <mergeCell ref="H9:I9"/>
    <mergeCell ref="AE21:AF21"/>
    <mergeCell ref="AE28:AF28"/>
    <mergeCell ref="T9:U9"/>
    <mergeCell ref="AE9:AF9"/>
    <mergeCell ref="X9:Y9"/>
    <mergeCell ref="V28:W28"/>
    <mergeCell ref="X28:Y28"/>
    <mergeCell ref="Z28:AA28"/>
    <mergeCell ref="AB9:AC9"/>
    <mergeCell ref="AB21:AC21"/>
    <mergeCell ref="AB28:AC28"/>
    <mergeCell ref="V21:W21"/>
    <mergeCell ref="X21:Y21"/>
    <mergeCell ref="Z21:AA21"/>
    <mergeCell ref="L28:M28"/>
    <mergeCell ref="N28:O28"/>
    <mergeCell ref="P28:Q28"/>
    <mergeCell ref="R28:S28"/>
    <mergeCell ref="T28:U28"/>
    <mergeCell ref="L21:M21"/>
    <mergeCell ref="N21:O21"/>
    <mergeCell ref="P21:Q21"/>
    <mergeCell ref="R21:S21"/>
    <mergeCell ref="T21:U21"/>
    <mergeCell ref="AB4:AC4"/>
    <mergeCell ref="AE4:AF4"/>
    <mergeCell ref="N9:O9"/>
    <mergeCell ref="V9:W9"/>
    <mergeCell ref="Z9:AA9"/>
    <mergeCell ref="N4:O4"/>
    <mergeCell ref="P4:Q4"/>
    <mergeCell ref="R4:S4"/>
    <mergeCell ref="T4:U4"/>
    <mergeCell ref="V4:W4"/>
    <mergeCell ref="X4:Y4"/>
    <mergeCell ref="Z4:AA4"/>
    <mergeCell ref="R9:S9"/>
    <mergeCell ref="P9:Q9"/>
  </mergeCells>
  <phoneticPr fontId="0" type="noConversion"/>
  <printOptions horizontalCentered="1" verticalCentered="1"/>
  <pageMargins left="0.21" right="0.5" top="0.5" bottom="0.5" header="0.5" footer="0.5"/>
  <pageSetup scale="80" orientation="landscape" horizontalDpi="4294967292" verticalDpi="4294967292" r:id="rId1"/>
  <headerFooter alignWithMargins="0">
    <oddFooter xml:space="preserve">&amp;R&amp;P of &amp;N
&amp;D </oddFooter>
  </headerFooter>
  <colBreaks count="1" manualBreakCount="1">
    <brk id="2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view="pageBreakPreview" zoomScaleNormal="100" zoomScaleSheetLayoutView="100" workbookViewId="0">
      <pane xSplit="1" ySplit="1" topLeftCell="N13" activePane="bottomRight" state="frozen"/>
      <selection activeCell="AA25" sqref="AA25"/>
      <selection pane="topRight" activeCell="AA25" sqref="AA25"/>
      <selection pane="bottomLeft" activeCell="AA25" sqref="AA25"/>
      <selection pane="bottomRight" activeCell="AA25" sqref="AA25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89" hidden="1" customWidth="1"/>
    <col min="7" max="7" width="10.7109375" style="89" hidden="1" customWidth="1"/>
    <col min="8" max="8" width="4.7109375" style="89" hidden="1" customWidth="1"/>
    <col min="9" max="9" width="10.7109375" style="89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28515625" style="1" customWidth="1"/>
    <col min="31" max="31" width="5" style="1" customWidth="1"/>
    <col min="32" max="32" width="11" style="1" customWidth="1"/>
    <col min="33" max="33" width="8.7109375" style="1" customWidth="1"/>
    <col min="34" max="34" width="2.28515625" style="1" customWidth="1"/>
    <col min="35" max="16384" width="10.28515625" style="1"/>
  </cols>
  <sheetData>
    <row r="1" spans="1:33" ht="18" x14ac:dyDescent="0.25">
      <c r="A1" s="333" t="s">
        <v>53</v>
      </c>
      <c r="B1" s="201"/>
      <c r="C1" s="201"/>
      <c r="D1" s="201"/>
      <c r="E1" s="201"/>
      <c r="F1" s="201"/>
      <c r="G1" s="201"/>
      <c r="H1" s="202"/>
      <c r="I1" s="202"/>
      <c r="J1" s="203"/>
      <c r="K1" s="203"/>
      <c r="L1" s="203"/>
      <c r="M1" s="203"/>
    </row>
    <row r="2" spans="1:33" ht="15.75" x14ac:dyDescent="0.25">
      <c r="A2" s="333" t="s">
        <v>54</v>
      </c>
      <c r="B2" s="1"/>
      <c r="C2" s="1"/>
      <c r="D2" s="1"/>
      <c r="E2" s="1"/>
      <c r="F2" s="24"/>
      <c r="G2" s="24"/>
      <c r="H2" s="24"/>
      <c r="I2" s="24"/>
    </row>
    <row r="3" spans="1:33" s="5" customFormat="1" ht="15.75" x14ac:dyDescent="0.25">
      <c r="A3" s="333"/>
      <c r="F3" s="79"/>
      <c r="G3" s="79"/>
      <c r="H3" s="79"/>
      <c r="I3" s="79"/>
      <c r="N3" s="24"/>
      <c r="O3" s="80"/>
      <c r="P3" s="24"/>
      <c r="Q3" s="80"/>
      <c r="R3" s="24"/>
      <c r="S3" s="80"/>
      <c r="T3" s="24"/>
      <c r="U3" s="80"/>
      <c r="V3" s="24"/>
      <c r="W3" s="80"/>
      <c r="X3" s="24"/>
      <c r="Y3" s="80"/>
      <c r="Z3" s="24"/>
      <c r="AA3" s="80"/>
      <c r="AB3" s="24"/>
      <c r="AC3" s="80"/>
      <c r="AD3" s="1"/>
      <c r="AG3" s="1"/>
    </row>
    <row r="4" spans="1:33" s="5" customFormat="1" ht="15.75" x14ac:dyDescent="0.25">
      <c r="A4" s="334" t="s">
        <v>56</v>
      </c>
      <c r="F4" s="79"/>
      <c r="G4" s="79"/>
      <c r="H4" s="79"/>
      <c r="I4" s="79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79"/>
      <c r="AE4" s="455"/>
      <c r="AF4" s="464"/>
      <c r="AG4" s="1"/>
    </row>
    <row r="5" spans="1:33" s="5" customFormat="1" x14ac:dyDescent="0.2">
      <c r="A5" s="2"/>
      <c r="F5" s="79"/>
      <c r="G5" s="79"/>
      <c r="H5" s="79"/>
      <c r="I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1"/>
    </row>
    <row r="6" spans="1:33" x14ac:dyDescent="0.2">
      <c r="A6" s="2" t="s">
        <v>57</v>
      </c>
      <c r="B6" s="6"/>
      <c r="C6" s="257"/>
      <c r="D6" s="6"/>
      <c r="E6" s="257"/>
      <c r="F6" s="88"/>
      <c r="G6" s="87"/>
      <c r="H6" s="88"/>
      <c r="I6" s="87"/>
      <c r="J6" s="88"/>
      <c r="K6" s="87"/>
      <c r="L6" s="88"/>
      <c r="M6" s="87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3" x14ac:dyDescent="0.2">
      <c r="A7" s="379">
        <v>3670085030</v>
      </c>
      <c r="B7" s="5"/>
      <c r="C7" s="5"/>
      <c r="D7" s="5"/>
      <c r="E7" s="5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3" thickBot="1" x14ac:dyDescent="0.25">
      <c r="A8" s="6"/>
      <c r="B8" s="5"/>
      <c r="C8" s="5"/>
      <c r="D8" s="5"/>
      <c r="E8" s="5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E8" s="5"/>
      <c r="AF8" s="5"/>
    </row>
    <row r="9" spans="1:33" ht="15" customHeight="1" thickTop="1" thickBot="1" x14ac:dyDescent="0.25">
      <c r="A9" s="215"/>
      <c r="B9" s="482" t="s">
        <v>8</v>
      </c>
      <c r="C9" s="483"/>
      <c r="D9" s="484" t="s">
        <v>9</v>
      </c>
      <c r="E9" s="484"/>
      <c r="F9" s="463" t="s">
        <v>28</v>
      </c>
      <c r="G9" s="462"/>
      <c r="H9" s="463" t="s">
        <v>29</v>
      </c>
      <c r="I9" s="456"/>
      <c r="J9" s="463" t="s">
        <v>30</v>
      </c>
      <c r="K9" s="456"/>
      <c r="L9" s="463" t="s">
        <v>32</v>
      </c>
      <c r="M9" s="462"/>
      <c r="N9" s="456" t="s">
        <v>34</v>
      </c>
      <c r="O9" s="462"/>
      <c r="P9" s="456" t="s">
        <v>35</v>
      </c>
      <c r="Q9" s="462"/>
      <c r="R9" s="456" t="s">
        <v>39</v>
      </c>
      <c r="S9" s="462"/>
      <c r="T9" s="456" t="s">
        <v>40</v>
      </c>
      <c r="U9" s="462"/>
      <c r="V9" s="456" t="s">
        <v>41</v>
      </c>
      <c r="W9" s="462"/>
      <c r="X9" s="456" t="s">
        <v>42</v>
      </c>
      <c r="Y9" s="462"/>
      <c r="Z9" s="456" t="s">
        <v>43</v>
      </c>
      <c r="AA9" s="462"/>
      <c r="AB9" s="456" t="s">
        <v>59</v>
      </c>
      <c r="AC9" s="457"/>
      <c r="AE9" s="465" t="s">
        <v>33</v>
      </c>
      <c r="AF9" s="466"/>
      <c r="AG9" s="318" t="s">
        <v>50</v>
      </c>
    </row>
    <row r="10" spans="1:33" ht="15" customHeight="1" x14ac:dyDescent="0.2">
      <c r="A10" s="123" t="s">
        <v>12</v>
      </c>
      <c r="B10" s="342"/>
      <c r="C10" s="343"/>
      <c r="D10" s="344"/>
      <c r="E10" s="344"/>
      <c r="F10" s="283"/>
      <c r="G10" s="285"/>
      <c r="H10" s="284"/>
      <c r="I10" s="284"/>
      <c r="J10" s="283"/>
      <c r="K10" s="284"/>
      <c r="L10" s="283"/>
      <c r="M10" s="285"/>
      <c r="N10" s="378"/>
      <c r="O10" s="281"/>
      <c r="P10" s="378"/>
      <c r="Q10" s="281"/>
      <c r="R10" s="378"/>
      <c r="S10" s="281"/>
      <c r="T10" s="378"/>
      <c r="U10" s="281"/>
      <c r="V10" s="378"/>
      <c r="W10" s="281"/>
      <c r="X10" s="378"/>
      <c r="Y10" s="281"/>
      <c r="Z10" s="378"/>
      <c r="AA10" s="281"/>
      <c r="AB10" s="378"/>
      <c r="AC10" s="282"/>
      <c r="AE10" s="339"/>
      <c r="AF10" s="340"/>
      <c r="AG10" s="319"/>
    </row>
    <row r="11" spans="1:33" ht="15" customHeight="1" x14ac:dyDescent="0.2">
      <c r="A11" s="216" t="s">
        <v>38</v>
      </c>
      <c r="B11" s="39"/>
      <c r="C11" s="341"/>
      <c r="D11" s="39"/>
      <c r="E11" s="12"/>
      <c r="F11" s="83"/>
      <c r="G11" s="84"/>
      <c r="H11" s="82"/>
      <c r="I11" s="82"/>
      <c r="J11" s="83"/>
      <c r="K11" s="82"/>
      <c r="L11" s="83"/>
      <c r="M11" s="84"/>
      <c r="N11" s="34"/>
      <c r="O11" s="85"/>
      <c r="P11" s="34"/>
      <c r="Q11" s="85"/>
      <c r="R11" s="34"/>
      <c r="S11" s="85"/>
      <c r="T11" s="34"/>
      <c r="U11" s="85"/>
      <c r="V11" s="34"/>
      <c r="W11" s="85"/>
      <c r="X11" s="34"/>
      <c r="Y11" s="85"/>
      <c r="Z11" s="34"/>
      <c r="AA11" s="85"/>
      <c r="AB11" s="34"/>
      <c r="AC11" s="86"/>
      <c r="AD11" s="180"/>
      <c r="AE11" s="185"/>
      <c r="AF11" s="294"/>
      <c r="AG11" s="186"/>
    </row>
    <row r="12" spans="1:33" ht="15" customHeight="1" x14ac:dyDescent="0.2">
      <c r="A12" s="118" t="s">
        <v>14</v>
      </c>
      <c r="B12" s="39"/>
      <c r="C12" s="42">
        <v>1148832</v>
      </c>
      <c r="D12" s="39"/>
      <c r="E12" s="66">
        <v>1245388</v>
      </c>
      <c r="F12" s="83"/>
      <c r="G12" s="130">
        <v>1312898</v>
      </c>
      <c r="H12" s="82"/>
      <c r="I12" s="99">
        <v>1296970</v>
      </c>
      <c r="J12" s="83"/>
      <c r="K12" s="99">
        <v>1288930</v>
      </c>
      <c r="L12" s="83"/>
      <c r="M12" s="130">
        <v>1476141</v>
      </c>
      <c r="N12" s="380"/>
      <c r="O12" s="381">
        <v>1547243</v>
      </c>
      <c r="P12" s="380"/>
      <c r="Q12" s="381">
        <v>1525666</v>
      </c>
      <c r="R12" s="380"/>
      <c r="S12" s="381">
        <v>1807841</v>
      </c>
      <c r="T12" s="380"/>
      <c r="U12" s="381">
        <v>1978416</v>
      </c>
      <c r="V12" s="380"/>
      <c r="W12" s="381">
        <v>2026969</v>
      </c>
      <c r="X12" s="380"/>
      <c r="Y12" s="381">
        <v>2210786</v>
      </c>
      <c r="Z12" s="380"/>
      <c r="AA12" s="381">
        <v>2132694</v>
      </c>
      <c r="AB12" s="380"/>
      <c r="AC12" s="382">
        <v>2097544</v>
      </c>
      <c r="AD12" s="383"/>
      <c r="AE12" s="384"/>
      <c r="AF12" s="385">
        <f>AVERAGE(W12,U12,AC12,AA12,Y12)</f>
        <v>2089281.8</v>
      </c>
      <c r="AG12" s="320">
        <f>+(AA12-S12)/S12</f>
        <v>0.17969113434201348</v>
      </c>
    </row>
    <row r="13" spans="1:33" ht="15" customHeight="1" x14ac:dyDescent="0.2">
      <c r="A13" s="118" t="s">
        <v>36</v>
      </c>
      <c r="B13" s="39"/>
      <c r="C13" s="42"/>
      <c r="D13" s="39"/>
      <c r="E13" s="66"/>
      <c r="F13" s="83"/>
      <c r="G13" s="130"/>
      <c r="H13" s="82"/>
      <c r="I13" s="99"/>
      <c r="J13" s="83"/>
      <c r="K13" s="99"/>
      <c r="L13" s="83"/>
      <c r="M13" s="130"/>
      <c r="N13" s="380"/>
      <c r="O13" s="381"/>
      <c r="P13" s="380"/>
      <c r="Q13" s="381"/>
      <c r="R13" s="380"/>
      <c r="S13" s="381"/>
      <c r="T13" s="380"/>
      <c r="U13" s="381"/>
      <c r="V13" s="380"/>
      <c r="W13" s="381"/>
      <c r="X13" s="380"/>
      <c r="Y13" s="381"/>
      <c r="Z13" s="380"/>
      <c r="AA13" s="381"/>
      <c r="AB13" s="380"/>
      <c r="AC13" s="382"/>
      <c r="AD13" s="383"/>
      <c r="AE13" s="384"/>
      <c r="AF13" s="385"/>
      <c r="AG13" s="320"/>
    </row>
    <row r="14" spans="1:33" ht="29.25" customHeight="1" thickBot="1" x14ac:dyDescent="0.25">
      <c r="A14" s="286" t="s">
        <v>37</v>
      </c>
      <c r="B14" s="46"/>
      <c r="C14" s="287"/>
      <c r="D14" s="46"/>
      <c r="E14" s="289">
        <v>34808</v>
      </c>
      <c r="F14" s="290"/>
      <c r="G14" s="291">
        <v>832</v>
      </c>
      <c r="H14" s="292"/>
      <c r="I14" s="293">
        <v>66765</v>
      </c>
      <c r="J14" s="290"/>
      <c r="K14" s="293">
        <v>66710</v>
      </c>
      <c r="L14" s="290"/>
      <c r="M14" s="291">
        <v>831</v>
      </c>
      <c r="N14" s="386"/>
      <c r="O14" s="387">
        <v>833</v>
      </c>
      <c r="P14" s="386"/>
      <c r="Q14" s="387">
        <v>831</v>
      </c>
      <c r="R14" s="386"/>
      <c r="S14" s="387">
        <v>138200</v>
      </c>
      <c r="T14" s="386"/>
      <c r="U14" s="387">
        <v>48671</v>
      </c>
      <c r="V14" s="386"/>
      <c r="W14" s="387">
        <v>48901</v>
      </c>
      <c r="X14" s="386"/>
      <c r="Y14" s="387">
        <v>49488</v>
      </c>
      <c r="Z14" s="386"/>
      <c r="AA14" s="387">
        <v>6500</v>
      </c>
      <c r="AB14" s="386"/>
      <c r="AC14" s="388">
        <v>6504</v>
      </c>
      <c r="AD14" s="383"/>
      <c r="AE14" s="389"/>
      <c r="AF14" s="390">
        <f>AVERAGE(W14,U14,AC14,AA14,Y14)</f>
        <v>32012.799999999999</v>
      </c>
      <c r="AG14" s="320">
        <f t="shared" ref="AG14" si="0">+(AA14-S14)/S14</f>
        <v>-0.95296671490593343</v>
      </c>
    </row>
    <row r="15" spans="1:33" ht="15" customHeight="1" thickBot="1" x14ac:dyDescent="0.25">
      <c r="A15" s="295" t="s">
        <v>18</v>
      </c>
      <c r="B15" s="296"/>
      <c r="C15" s="297">
        <f>SUM(C12:C14)</f>
        <v>1148832</v>
      </c>
      <c r="D15" s="296"/>
      <c r="E15" s="299">
        <f>SUM(E12:E14)</f>
        <v>1280196</v>
      </c>
      <c r="F15" s="300"/>
      <c r="G15" s="301">
        <f>SUM(G12:G14)</f>
        <v>1313730</v>
      </c>
      <c r="H15" s="302"/>
      <c r="I15" s="303">
        <f>SUM(I12:I14)</f>
        <v>1363735</v>
      </c>
      <c r="J15" s="300"/>
      <c r="K15" s="303">
        <f>SUM(K12:K14)</f>
        <v>1355640</v>
      </c>
      <c r="L15" s="300"/>
      <c r="M15" s="301">
        <f>SUM(M12:M14)</f>
        <v>1476972</v>
      </c>
      <c r="N15" s="391"/>
      <c r="O15" s="392">
        <f>SUM(O12:O14)</f>
        <v>1548076</v>
      </c>
      <c r="P15" s="391"/>
      <c r="Q15" s="392">
        <f>SUM(Q12:Q14)</f>
        <v>1526497</v>
      </c>
      <c r="R15" s="391"/>
      <c r="S15" s="392">
        <f>SUM(S12:S14)</f>
        <v>1946041</v>
      </c>
      <c r="T15" s="391"/>
      <c r="U15" s="392">
        <f>SUM(U12:U14)</f>
        <v>2027087</v>
      </c>
      <c r="V15" s="391"/>
      <c r="W15" s="392">
        <f>SUM(W12:W14)</f>
        <v>2075870</v>
      </c>
      <c r="X15" s="391"/>
      <c r="Y15" s="392">
        <f>SUM(Y12:Y14)</f>
        <v>2260274</v>
      </c>
      <c r="Z15" s="391"/>
      <c r="AA15" s="392">
        <f>SUM(AA12:AA14)</f>
        <v>2139194</v>
      </c>
      <c r="AB15" s="391"/>
      <c r="AC15" s="393">
        <f>SUM(AC12:AC14)</f>
        <v>2104048</v>
      </c>
      <c r="AD15" s="383"/>
      <c r="AE15" s="394"/>
      <c r="AF15" s="395">
        <f>AVERAGE(W15,U15,AC15,AA15,Y15)</f>
        <v>2121294.6</v>
      </c>
      <c r="AG15" s="321">
        <f>+(AA15-S15)/S15</f>
        <v>9.9254332257131275E-2</v>
      </c>
    </row>
    <row r="16" spans="1:33" ht="15" customHeight="1" x14ac:dyDescent="0.2">
      <c r="A16" s="216" t="s">
        <v>16</v>
      </c>
      <c r="B16" s="39"/>
      <c r="C16" s="42"/>
      <c r="D16" s="39"/>
      <c r="E16" s="66"/>
      <c r="F16" s="83"/>
      <c r="G16" s="130"/>
      <c r="H16" s="82"/>
      <c r="I16" s="99"/>
      <c r="J16" s="83"/>
      <c r="K16" s="99"/>
      <c r="L16" s="83"/>
      <c r="M16" s="130"/>
      <c r="N16" s="380"/>
      <c r="O16" s="381"/>
      <c r="P16" s="380"/>
      <c r="Q16" s="381"/>
      <c r="R16" s="380"/>
      <c r="S16" s="381"/>
      <c r="T16" s="380"/>
      <c r="U16" s="381"/>
      <c r="V16" s="380"/>
      <c r="W16" s="381"/>
      <c r="X16" s="380"/>
      <c r="Y16" s="381"/>
      <c r="Z16" s="380"/>
      <c r="AA16" s="381"/>
      <c r="AB16" s="380"/>
      <c r="AC16" s="382"/>
      <c r="AD16" s="383"/>
      <c r="AE16" s="396"/>
      <c r="AF16" s="397"/>
      <c r="AG16" s="294"/>
    </row>
    <row r="17" spans="1:34" ht="15" customHeight="1" x14ac:dyDescent="0.2">
      <c r="A17" s="118" t="s">
        <v>14</v>
      </c>
      <c r="B17" s="40"/>
      <c r="C17" s="43"/>
      <c r="D17" s="40"/>
      <c r="E17" s="67"/>
      <c r="F17" s="78"/>
      <c r="G17" s="132"/>
      <c r="H17" s="34"/>
      <c r="I17" s="146"/>
      <c r="J17" s="78"/>
      <c r="K17" s="146"/>
      <c r="L17" s="78"/>
      <c r="M17" s="132"/>
      <c r="N17" s="398"/>
      <c r="O17" s="399"/>
      <c r="P17" s="398"/>
      <c r="Q17" s="399"/>
      <c r="R17" s="398"/>
      <c r="S17" s="399"/>
      <c r="T17" s="398"/>
      <c r="U17" s="399"/>
      <c r="V17" s="398"/>
      <c r="W17" s="399"/>
      <c r="X17" s="398"/>
      <c r="Y17" s="399"/>
      <c r="Z17" s="398"/>
      <c r="AA17" s="399"/>
      <c r="AB17" s="398"/>
      <c r="AC17" s="400"/>
      <c r="AD17" s="383"/>
      <c r="AE17" s="384"/>
      <c r="AF17" s="385"/>
      <c r="AG17" s="320"/>
    </row>
    <row r="18" spans="1:34" ht="24" customHeight="1" thickBot="1" x14ac:dyDescent="0.25">
      <c r="A18" s="286" t="s">
        <v>37</v>
      </c>
      <c r="B18" s="46"/>
      <c r="C18" s="287"/>
      <c r="D18" s="46"/>
      <c r="E18" s="289"/>
      <c r="F18" s="290"/>
      <c r="G18" s="291"/>
      <c r="H18" s="292"/>
      <c r="I18" s="293"/>
      <c r="J18" s="290"/>
      <c r="K18" s="293"/>
      <c r="L18" s="290"/>
      <c r="M18" s="291"/>
      <c r="N18" s="386"/>
      <c r="O18" s="387"/>
      <c r="P18" s="386"/>
      <c r="Q18" s="387"/>
      <c r="R18" s="386"/>
      <c r="S18" s="387"/>
      <c r="T18" s="386"/>
      <c r="U18" s="387"/>
      <c r="V18" s="386"/>
      <c r="W18" s="387"/>
      <c r="X18" s="386"/>
      <c r="Y18" s="387"/>
      <c r="Z18" s="386"/>
      <c r="AA18" s="387"/>
      <c r="AB18" s="386"/>
      <c r="AC18" s="388"/>
      <c r="AD18" s="383"/>
      <c r="AE18" s="401"/>
      <c r="AF18" s="402"/>
      <c r="AG18" s="322"/>
    </row>
    <row r="19" spans="1:34" ht="15" customHeight="1" thickBot="1" x14ac:dyDescent="0.25">
      <c r="A19" s="295" t="s">
        <v>17</v>
      </c>
      <c r="B19" s="296"/>
      <c r="C19" s="297">
        <f>SUM(C17:C18)</f>
        <v>0</v>
      </c>
      <c r="D19" s="296"/>
      <c r="E19" s="299">
        <f>SUM(E17:E18)</f>
        <v>0</v>
      </c>
      <c r="F19" s="300"/>
      <c r="G19" s="301">
        <f>SUM(G17:G18)</f>
        <v>0</v>
      </c>
      <c r="H19" s="302"/>
      <c r="I19" s="303">
        <f>SUM(I17:I18)</f>
        <v>0</v>
      </c>
      <c r="J19" s="300"/>
      <c r="K19" s="303">
        <f>SUM(K17:K18)</f>
        <v>0</v>
      </c>
      <c r="L19" s="300"/>
      <c r="M19" s="301">
        <f>SUM(M17:M18)</f>
        <v>0</v>
      </c>
      <c r="N19" s="391"/>
      <c r="O19" s="392">
        <f>SUM(O17:O18)</f>
        <v>0</v>
      </c>
      <c r="P19" s="391"/>
      <c r="Q19" s="392">
        <f>SUM(Q17:Q18)</f>
        <v>0</v>
      </c>
      <c r="R19" s="391"/>
      <c r="S19" s="392">
        <f>SUM(S17:S18)</f>
        <v>0</v>
      </c>
      <c r="T19" s="391"/>
      <c r="U19" s="392">
        <f>SUM(U17:U18)</f>
        <v>0</v>
      </c>
      <c r="V19" s="391"/>
      <c r="W19" s="392">
        <f>SUM(W17:W18)</f>
        <v>0</v>
      </c>
      <c r="X19" s="391"/>
      <c r="Y19" s="392">
        <f>SUM(Y17:Y18)</f>
        <v>0</v>
      </c>
      <c r="Z19" s="391"/>
      <c r="AA19" s="392">
        <f>SUM(AA17:AA18)</f>
        <v>0</v>
      </c>
      <c r="AB19" s="391"/>
      <c r="AC19" s="393">
        <f>SUM(AC17:AC18)</f>
        <v>0</v>
      </c>
      <c r="AD19" s="383"/>
      <c r="AE19" s="394"/>
      <c r="AF19" s="395"/>
      <c r="AG19" s="326"/>
    </row>
    <row r="20" spans="1:34" ht="15" customHeight="1" thickBot="1" x14ac:dyDescent="0.25">
      <c r="A20" s="345" t="s">
        <v>18</v>
      </c>
      <c r="B20" s="304"/>
      <c r="C20" s="305">
        <f>SUM(C15,C19)</f>
        <v>1148832</v>
      </c>
      <c r="D20" s="304"/>
      <c r="E20" s="307">
        <f>SUM(E15,E19)</f>
        <v>1280196</v>
      </c>
      <c r="F20" s="308"/>
      <c r="G20" s="310">
        <f>SUM(G15,G19)</f>
        <v>1313730</v>
      </c>
      <c r="H20" s="311"/>
      <c r="I20" s="309">
        <f>SUM(I15,I19)</f>
        <v>1363735</v>
      </c>
      <c r="J20" s="308"/>
      <c r="K20" s="309">
        <f>SUM(K15,K19)</f>
        <v>1355640</v>
      </c>
      <c r="L20" s="308"/>
      <c r="M20" s="310">
        <f>SUM(M15,M19)</f>
        <v>1476972</v>
      </c>
      <c r="N20" s="403"/>
      <c r="O20" s="404">
        <f>SUM(O15,O19)</f>
        <v>1548076</v>
      </c>
      <c r="P20" s="403"/>
      <c r="Q20" s="404">
        <f>SUM(Q15,Q19)</f>
        <v>1526497</v>
      </c>
      <c r="R20" s="403"/>
      <c r="S20" s="404">
        <f>SUM(S15,S19)</f>
        <v>1946041</v>
      </c>
      <c r="T20" s="403"/>
      <c r="U20" s="404">
        <f>SUM(U15,U19)</f>
        <v>2027087</v>
      </c>
      <c r="V20" s="403"/>
      <c r="W20" s="404">
        <f>SUM(W15,W19)</f>
        <v>2075870</v>
      </c>
      <c r="X20" s="403"/>
      <c r="Y20" s="404">
        <f>SUM(Y15,Y19)</f>
        <v>2260274</v>
      </c>
      <c r="Z20" s="403"/>
      <c r="AA20" s="404">
        <f>SUM(AA15,AA19)</f>
        <v>2139194</v>
      </c>
      <c r="AB20" s="403"/>
      <c r="AC20" s="405">
        <f>SUM(AC15,AC19)</f>
        <v>2104048</v>
      </c>
      <c r="AD20" s="383"/>
      <c r="AE20" s="406"/>
      <c r="AF20" s="385">
        <f>AVERAGE(W20,U20,AC20,AA20,Y20)</f>
        <v>2121294.6</v>
      </c>
      <c r="AG20" s="323">
        <f>+(AA20-S20)/S20</f>
        <v>9.9254332257131275E-2</v>
      </c>
    </row>
    <row r="21" spans="1:34" ht="15" customHeight="1" thickBot="1" x14ac:dyDescent="0.25">
      <c r="A21" s="19" t="s">
        <v>44</v>
      </c>
      <c r="B21" s="485" t="s">
        <v>8</v>
      </c>
      <c r="C21" s="486"/>
      <c r="D21" s="488"/>
      <c r="E21" s="489"/>
      <c r="F21" s="490"/>
      <c r="G21" s="491"/>
      <c r="H21" s="490"/>
      <c r="I21" s="492"/>
      <c r="J21" s="490"/>
      <c r="K21" s="492"/>
      <c r="L21" s="490"/>
      <c r="M21" s="491"/>
      <c r="N21" s="458"/>
      <c r="O21" s="471"/>
      <c r="P21" s="458"/>
      <c r="Q21" s="471"/>
      <c r="R21" s="458"/>
      <c r="S21" s="471"/>
      <c r="T21" s="458"/>
      <c r="U21" s="471"/>
      <c r="V21" s="458"/>
      <c r="W21" s="471"/>
      <c r="X21" s="458"/>
      <c r="Y21" s="471"/>
      <c r="Z21" s="458"/>
      <c r="AA21" s="471"/>
      <c r="AB21" s="458"/>
      <c r="AC21" s="459"/>
      <c r="AD21" s="383"/>
      <c r="AE21" s="467"/>
      <c r="AF21" s="468"/>
      <c r="AG21" s="327"/>
    </row>
    <row r="22" spans="1:34" ht="15" customHeight="1" x14ac:dyDescent="0.2">
      <c r="A22" s="118" t="s">
        <v>61</v>
      </c>
      <c r="B22" s="49"/>
      <c r="C22" s="50">
        <f>1352958+95379</f>
        <v>1448337</v>
      </c>
      <c r="D22" s="63"/>
      <c r="E22" s="274">
        <f>1330222+76250</f>
        <v>1406472</v>
      </c>
      <c r="F22" s="275"/>
      <c r="G22" s="212">
        <f>1389338+79174</f>
        <v>1468512</v>
      </c>
      <c r="H22" s="276"/>
      <c r="I22" s="276">
        <f>1429581+70374</f>
        <v>1499955</v>
      </c>
      <c r="J22" s="275"/>
      <c r="K22" s="276">
        <f>9512+6297+119563+1405212+1000</f>
        <v>1541584</v>
      </c>
      <c r="L22" s="113"/>
      <c r="M22" s="273">
        <v>1575979</v>
      </c>
      <c r="N22" s="380"/>
      <c r="O22" s="407">
        <v>1636195</v>
      </c>
      <c r="P22" s="380"/>
      <c r="Q22" s="407">
        <v>1786500</v>
      </c>
      <c r="R22" s="380"/>
      <c r="S22" s="407">
        <v>2081592.6960642093</v>
      </c>
      <c r="T22" s="380"/>
      <c r="U22" s="407">
        <v>2299275</v>
      </c>
      <c r="V22" s="380"/>
      <c r="W22" s="407">
        <v>2464030.88</v>
      </c>
      <c r="X22" s="408"/>
      <c r="Y22" s="409">
        <v>2569262</v>
      </c>
      <c r="Z22" s="408"/>
      <c r="AA22" s="409">
        <v>2474060</v>
      </c>
      <c r="AB22" s="408"/>
      <c r="AC22" s="410"/>
      <c r="AD22" s="383"/>
      <c r="AE22" s="411"/>
      <c r="AF22" s="385">
        <f>AVERAGE(W22,U22,S22,AA22,Y22)</f>
        <v>2377644.1152128419</v>
      </c>
      <c r="AG22" s="324">
        <f>+(AA22-S22)/S22</f>
        <v>0.18854183370159391</v>
      </c>
    </row>
    <row r="23" spans="1:34" ht="15" customHeight="1" x14ac:dyDescent="0.2">
      <c r="A23" s="118" t="s">
        <v>45</v>
      </c>
      <c r="B23" s="56"/>
      <c r="C23" s="249">
        <v>0</v>
      </c>
      <c r="D23" s="56"/>
      <c r="E23" s="249">
        <v>0</v>
      </c>
      <c r="F23" s="232"/>
      <c r="G23" s="230">
        <v>0</v>
      </c>
      <c r="H23" s="231"/>
      <c r="I23" s="249">
        <v>0</v>
      </c>
      <c r="J23" s="232"/>
      <c r="K23" s="249">
        <v>0</v>
      </c>
      <c r="L23" s="232"/>
      <c r="M23" s="230">
        <v>0</v>
      </c>
      <c r="N23" s="386"/>
      <c r="O23" s="412">
        <v>0</v>
      </c>
      <c r="P23" s="386"/>
      <c r="Q23" s="412">
        <v>0</v>
      </c>
      <c r="R23" s="386"/>
      <c r="S23" s="412">
        <v>0</v>
      </c>
      <c r="T23" s="386"/>
      <c r="U23" s="412">
        <v>0</v>
      </c>
      <c r="V23" s="386"/>
      <c r="W23" s="412">
        <v>0</v>
      </c>
      <c r="X23" s="413"/>
      <c r="Y23" s="414">
        <v>0</v>
      </c>
      <c r="Z23" s="413"/>
      <c r="AA23" s="414">
        <v>0</v>
      </c>
      <c r="AB23" s="413"/>
      <c r="AC23" s="415"/>
      <c r="AD23" s="383"/>
      <c r="AE23" s="411"/>
      <c r="AF23" s="385">
        <f t="shared" ref="AF23:AF24" si="1">AVERAGE(W23,U23,S23,AA23,Y23)</f>
        <v>0</v>
      </c>
      <c r="AG23" s="324"/>
    </row>
    <row r="24" spans="1:34" ht="15" customHeight="1" thickBot="1" x14ac:dyDescent="0.25">
      <c r="A24" s="128" t="s">
        <v>46</v>
      </c>
      <c r="B24" s="269"/>
      <c r="C24" s="270">
        <v>0</v>
      </c>
      <c r="D24" s="269"/>
      <c r="E24" s="270">
        <v>0</v>
      </c>
      <c r="F24" s="272"/>
      <c r="G24" s="256">
        <v>0</v>
      </c>
      <c r="H24" s="272"/>
      <c r="I24" s="256">
        <v>0</v>
      </c>
      <c r="J24" s="272"/>
      <c r="K24" s="256">
        <v>0</v>
      </c>
      <c r="L24" s="272"/>
      <c r="M24" s="256">
        <v>0</v>
      </c>
      <c r="N24" s="416"/>
      <c r="O24" s="417">
        <v>0</v>
      </c>
      <c r="P24" s="416"/>
      <c r="Q24" s="417">
        <v>0</v>
      </c>
      <c r="R24" s="416"/>
      <c r="S24" s="417">
        <v>0</v>
      </c>
      <c r="T24" s="416"/>
      <c r="U24" s="417">
        <v>0</v>
      </c>
      <c r="V24" s="416"/>
      <c r="W24" s="417">
        <v>0</v>
      </c>
      <c r="X24" s="418"/>
      <c r="Y24" s="419">
        <v>500</v>
      </c>
      <c r="Z24" s="418"/>
      <c r="AA24" s="419">
        <v>0</v>
      </c>
      <c r="AB24" s="418"/>
      <c r="AC24" s="420"/>
      <c r="AD24" s="383"/>
      <c r="AE24" s="421"/>
      <c r="AF24" s="385">
        <f t="shared" si="1"/>
        <v>100</v>
      </c>
      <c r="AG24" s="325" t="e">
        <f t="shared" ref="AG24" si="2">+(AA24-S24)/S24</f>
        <v>#DIV/0!</v>
      </c>
    </row>
    <row r="25" spans="1:34" ht="15" customHeight="1" thickTop="1" x14ac:dyDescent="0.2">
      <c r="A25" s="314" t="s">
        <v>47</v>
      </c>
      <c r="B25" s="235" t="s">
        <v>25</v>
      </c>
      <c r="C25" s="236" t="s">
        <v>27</v>
      </c>
      <c r="D25" s="255" t="s">
        <v>25</v>
      </c>
      <c r="E25" s="238" t="s">
        <v>27</v>
      </c>
      <c r="F25" s="239" t="s">
        <v>25</v>
      </c>
      <c r="G25" s="240" t="s">
        <v>27</v>
      </c>
      <c r="H25" s="241" t="s">
        <v>25</v>
      </c>
      <c r="I25" s="242" t="s">
        <v>27</v>
      </c>
      <c r="J25" s="239" t="s">
        <v>25</v>
      </c>
      <c r="K25" s="242" t="s">
        <v>27</v>
      </c>
      <c r="L25" s="346" t="s">
        <v>25</v>
      </c>
      <c r="M25" s="347" t="s">
        <v>27</v>
      </c>
      <c r="N25" s="422" t="s">
        <v>25</v>
      </c>
      <c r="O25" s="423" t="s">
        <v>27</v>
      </c>
      <c r="P25" s="422" t="s">
        <v>25</v>
      </c>
      <c r="Q25" s="423" t="s">
        <v>27</v>
      </c>
      <c r="R25" s="422" t="s">
        <v>25</v>
      </c>
      <c r="S25" s="423" t="s">
        <v>27</v>
      </c>
      <c r="T25" s="422" t="s">
        <v>25</v>
      </c>
      <c r="U25" s="423" t="s">
        <v>27</v>
      </c>
      <c r="V25" s="422" t="s">
        <v>25</v>
      </c>
      <c r="W25" s="423" t="s">
        <v>27</v>
      </c>
      <c r="X25" s="424" t="s">
        <v>25</v>
      </c>
      <c r="Y25" s="425" t="s">
        <v>27</v>
      </c>
      <c r="Z25" s="424" t="s">
        <v>25</v>
      </c>
      <c r="AA25" s="425" t="s">
        <v>27</v>
      </c>
      <c r="AB25" s="424" t="s">
        <v>25</v>
      </c>
      <c r="AC25" s="426" t="s">
        <v>27</v>
      </c>
      <c r="AD25" s="427"/>
      <c r="AE25" s="428" t="s">
        <v>25</v>
      </c>
      <c r="AF25" s="429" t="s">
        <v>27</v>
      </c>
      <c r="AG25" s="330" t="s">
        <v>51</v>
      </c>
    </row>
    <row r="26" spans="1:34" ht="15" customHeight="1" x14ac:dyDescent="0.2">
      <c r="A26" s="118" t="s">
        <v>48</v>
      </c>
      <c r="B26" s="181">
        <v>1</v>
      </c>
      <c r="C26" s="164">
        <v>21429</v>
      </c>
      <c r="D26" s="181">
        <v>0</v>
      </c>
      <c r="E26" s="164">
        <v>0</v>
      </c>
      <c r="F26" s="181">
        <v>0</v>
      </c>
      <c r="G26" s="164">
        <v>0</v>
      </c>
      <c r="H26" s="181">
        <v>0</v>
      </c>
      <c r="I26" s="164">
        <v>0</v>
      </c>
      <c r="J26" s="181">
        <v>0</v>
      </c>
      <c r="K26" s="164">
        <v>0</v>
      </c>
      <c r="L26" s="348">
        <v>1</v>
      </c>
      <c r="M26" s="349">
        <v>2000</v>
      </c>
      <c r="N26" s="430">
        <v>0</v>
      </c>
      <c r="O26" s="431">
        <v>0</v>
      </c>
      <c r="P26" s="430">
        <v>0</v>
      </c>
      <c r="Q26" s="431">
        <v>0</v>
      </c>
      <c r="R26" s="430">
        <v>0</v>
      </c>
      <c r="S26" s="431">
        <v>0</v>
      </c>
      <c r="T26" s="430">
        <v>2</v>
      </c>
      <c r="U26" s="431">
        <v>89147</v>
      </c>
      <c r="V26" s="430">
        <v>2</v>
      </c>
      <c r="W26" s="431">
        <v>133620</v>
      </c>
      <c r="X26" s="430">
        <v>3</v>
      </c>
      <c r="Y26" s="431">
        <v>120706</v>
      </c>
      <c r="Z26" s="430">
        <v>2</v>
      </c>
      <c r="AA26" s="431">
        <v>4393</v>
      </c>
      <c r="AB26" s="432"/>
      <c r="AC26" s="433"/>
      <c r="AD26" s="383"/>
      <c r="AE26" s="434">
        <f>AVERAGE(V26,T26,R26,Z26,X26)</f>
        <v>1.8</v>
      </c>
      <c r="AF26" s="385">
        <f t="shared" ref="AF26:AF27" si="3">AVERAGE(W26,U26,S26,AA26,Y26)</f>
        <v>69573.2</v>
      </c>
      <c r="AG26" s="324" t="e">
        <f t="shared" ref="AG26:AG27" si="4">+(AA26-S26)/S26</f>
        <v>#DIV/0!</v>
      </c>
    </row>
    <row r="27" spans="1:34" ht="15" customHeight="1" thickBot="1" x14ac:dyDescent="0.25">
      <c r="A27" s="128" t="s">
        <v>49</v>
      </c>
      <c r="B27" s="243">
        <v>0</v>
      </c>
      <c r="C27" s="75">
        <v>0</v>
      </c>
      <c r="D27" s="243">
        <v>0</v>
      </c>
      <c r="E27" s="75">
        <v>0</v>
      </c>
      <c r="F27" s="243">
        <v>0</v>
      </c>
      <c r="G27" s="75">
        <v>0</v>
      </c>
      <c r="H27" s="243">
        <v>0</v>
      </c>
      <c r="I27" s="75">
        <v>0</v>
      </c>
      <c r="J27" s="243">
        <v>0</v>
      </c>
      <c r="K27" s="75">
        <v>0</v>
      </c>
      <c r="L27" s="350">
        <v>0</v>
      </c>
      <c r="M27" s="351">
        <v>0</v>
      </c>
      <c r="N27" s="435">
        <v>1</v>
      </c>
      <c r="O27" s="436">
        <v>8500</v>
      </c>
      <c r="P27" s="435">
        <v>1</v>
      </c>
      <c r="Q27" s="436">
        <v>4500</v>
      </c>
      <c r="R27" s="435">
        <v>1</v>
      </c>
      <c r="S27" s="436">
        <v>4500</v>
      </c>
      <c r="T27" s="435">
        <v>0</v>
      </c>
      <c r="U27" s="436">
        <v>0</v>
      </c>
      <c r="V27" s="435">
        <v>1</v>
      </c>
      <c r="W27" s="436">
        <v>500</v>
      </c>
      <c r="X27" s="435">
        <v>0</v>
      </c>
      <c r="Y27" s="436">
        <v>0</v>
      </c>
      <c r="Z27" s="437">
        <v>0</v>
      </c>
      <c r="AA27" s="438">
        <v>0</v>
      </c>
      <c r="AB27" s="439"/>
      <c r="AC27" s="420"/>
      <c r="AD27" s="383"/>
      <c r="AE27" s="440">
        <f>AVERAGE(V27,T27,R27,Z27,X27)</f>
        <v>0.4</v>
      </c>
      <c r="AF27" s="385">
        <f t="shared" si="3"/>
        <v>1000</v>
      </c>
      <c r="AG27" s="325">
        <f t="shared" si="4"/>
        <v>-1</v>
      </c>
    </row>
    <row r="28" spans="1:34" ht="15" customHeight="1" thickTop="1" thickBot="1" x14ac:dyDescent="0.25">
      <c r="A28" s="247" t="s">
        <v>21</v>
      </c>
      <c r="B28" s="482" t="s">
        <v>8</v>
      </c>
      <c r="C28" s="483"/>
      <c r="D28" s="493"/>
      <c r="E28" s="494"/>
      <c r="F28" s="478"/>
      <c r="G28" s="479"/>
      <c r="H28" s="478"/>
      <c r="I28" s="481"/>
      <c r="J28" s="478"/>
      <c r="K28" s="481"/>
      <c r="L28" s="478"/>
      <c r="M28" s="479"/>
      <c r="N28" s="460"/>
      <c r="O28" s="472"/>
      <c r="P28" s="460"/>
      <c r="Q28" s="472"/>
      <c r="R28" s="460"/>
      <c r="S28" s="472"/>
      <c r="T28" s="460"/>
      <c r="U28" s="472"/>
      <c r="V28" s="460"/>
      <c r="W28" s="472"/>
      <c r="X28" s="460"/>
      <c r="Y28" s="472"/>
      <c r="Z28" s="460"/>
      <c r="AA28" s="472"/>
      <c r="AB28" s="460"/>
      <c r="AC28" s="461"/>
      <c r="AD28" s="383"/>
      <c r="AE28" s="469"/>
      <c r="AF28" s="470"/>
      <c r="AG28" s="331"/>
    </row>
    <row r="29" spans="1:34" ht="15" customHeight="1" x14ac:dyDescent="0.2">
      <c r="A29" s="127" t="s">
        <v>23</v>
      </c>
      <c r="B29" s="63"/>
      <c r="C29" s="74">
        <v>0</v>
      </c>
      <c r="D29" s="63"/>
      <c r="E29" s="103">
        <v>0</v>
      </c>
      <c r="F29" s="113"/>
      <c r="G29" s="141">
        <v>133.33000000000001</v>
      </c>
      <c r="H29" s="138"/>
      <c r="I29" s="152">
        <v>150</v>
      </c>
      <c r="J29" s="113"/>
      <c r="K29" s="152">
        <v>500</v>
      </c>
      <c r="L29" s="113"/>
      <c r="M29" s="141">
        <v>100</v>
      </c>
      <c r="N29" s="380"/>
      <c r="O29" s="441">
        <v>430</v>
      </c>
      <c r="P29" s="380"/>
      <c r="Q29" s="441">
        <v>65</v>
      </c>
      <c r="R29" s="380"/>
      <c r="S29" s="441">
        <v>95</v>
      </c>
      <c r="T29" s="380"/>
      <c r="U29" s="441">
        <v>260</v>
      </c>
      <c r="V29" s="380"/>
      <c r="W29" s="441">
        <v>440</v>
      </c>
      <c r="X29" s="408"/>
      <c r="Y29" s="442">
        <v>305</v>
      </c>
      <c r="Z29" s="408"/>
      <c r="AA29" s="442">
        <v>270</v>
      </c>
      <c r="AB29" s="408"/>
      <c r="AC29" s="443"/>
      <c r="AD29" s="383"/>
      <c r="AE29" s="384"/>
      <c r="AF29" s="385">
        <f t="shared" ref="AF29:AF30" si="5">AVERAGE(W29,U29,S29,AA29,Y29)</f>
        <v>274</v>
      </c>
      <c r="AG29" s="324">
        <f t="shared" ref="AG29" si="6">+(AA29-S29)/S29</f>
        <v>1.8421052631578947</v>
      </c>
    </row>
    <row r="30" spans="1:34" ht="15" customHeight="1" thickBot="1" x14ac:dyDescent="0.25">
      <c r="A30" s="128" t="s">
        <v>24</v>
      </c>
      <c r="B30" s="64"/>
      <c r="C30" s="75">
        <v>0</v>
      </c>
      <c r="D30" s="64"/>
      <c r="E30" s="104">
        <v>0</v>
      </c>
      <c r="F30" s="114"/>
      <c r="G30" s="172">
        <v>0</v>
      </c>
      <c r="H30" s="96"/>
      <c r="I30" s="150">
        <v>0</v>
      </c>
      <c r="J30" s="114"/>
      <c r="K30" s="150">
        <v>0</v>
      </c>
      <c r="L30" s="114"/>
      <c r="M30" s="145">
        <v>0</v>
      </c>
      <c r="N30" s="416"/>
      <c r="O30" s="436">
        <v>0</v>
      </c>
      <c r="P30" s="416"/>
      <c r="Q30" s="436">
        <v>0</v>
      </c>
      <c r="R30" s="416"/>
      <c r="S30" s="436">
        <v>0</v>
      </c>
      <c r="T30" s="416"/>
      <c r="U30" s="436">
        <v>0</v>
      </c>
      <c r="V30" s="416"/>
      <c r="W30" s="436">
        <v>0</v>
      </c>
      <c r="X30" s="418"/>
      <c r="Y30" s="444">
        <v>0</v>
      </c>
      <c r="Z30" s="418"/>
      <c r="AA30" s="444">
        <v>0</v>
      </c>
      <c r="AB30" s="418"/>
      <c r="AC30" s="445"/>
      <c r="AD30" s="383"/>
      <c r="AE30" s="446"/>
      <c r="AF30" s="447">
        <f t="shared" si="5"/>
        <v>0</v>
      </c>
      <c r="AG30" s="328"/>
      <c r="AH30" s="3"/>
    </row>
    <row r="31" spans="1:34" ht="13.5" thickTop="1" x14ac:dyDescent="0.2">
      <c r="N31" s="448"/>
      <c r="O31" s="449"/>
      <c r="P31" s="448"/>
      <c r="Q31" s="449"/>
      <c r="R31" s="448"/>
      <c r="S31" s="449"/>
      <c r="T31" s="448"/>
      <c r="U31" s="449"/>
      <c r="V31" s="448"/>
      <c r="W31" s="449"/>
      <c r="X31" s="448"/>
      <c r="Y31" s="449"/>
      <c r="Z31" s="448"/>
      <c r="AA31" s="449"/>
      <c r="AB31" s="448"/>
      <c r="AC31" s="449"/>
      <c r="AD31" s="450"/>
      <c r="AE31" s="451"/>
      <c r="AF31" s="451"/>
      <c r="AG31" s="329"/>
    </row>
    <row r="32" spans="1:34" x14ac:dyDescent="0.2"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</row>
    <row r="33" spans="14:32" x14ac:dyDescent="0.2"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</row>
    <row r="34" spans="14:32" x14ac:dyDescent="0.2"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</row>
  </sheetData>
  <mergeCells count="54">
    <mergeCell ref="AE21:AF21"/>
    <mergeCell ref="AE28:AF28"/>
    <mergeCell ref="V21:W21"/>
    <mergeCell ref="X21:Y21"/>
    <mergeCell ref="Z21:AA21"/>
    <mergeCell ref="V28:W28"/>
    <mergeCell ref="X28:Y28"/>
    <mergeCell ref="Z28:AA28"/>
    <mergeCell ref="AB21:AC21"/>
    <mergeCell ref="AB28:AC28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L21:M21"/>
    <mergeCell ref="N21:O21"/>
    <mergeCell ref="P21:Q21"/>
    <mergeCell ref="R21:S21"/>
    <mergeCell ref="T21:U21"/>
    <mergeCell ref="B21:C21"/>
    <mergeCell ref="D21:E21"/>
    <mergeCell ref="F21:G21"/>
    <mergeCell ref="H21:I21"/>
    <mergeCell ref="J21:K21"/>
    <mergeCell ref="L9:M9"/>
    <mergeCell ref="J9:K9"/>
    <mergeCell ref="H9:I9"/>
    <mergeCell ref="B9:C9"/>
    <mergeCell ref="D9:E9"/>
    <mergeCell ref="F9:G9"/>
    <mergeCell ref="AE9:AF9"/>
    <mergeCell ref="T9:U9"/>
    <mergeCell ref="X9:Y9"/>
    <mergeCell ref="N9:O9"/>
    <mergeCell ref="R9:S9"/>
    <mergeCell ref="P9:Q9"/>
    <mergeCell ref="Z9:AA9"/>
    <mergeCell ref="V9:W9"/>
    <mergeCell ref="AB9:AC9"/>
    <mergeCell ref="X4:Y4"/>
    <mergeCell ref="Z4:AA4"/>
    <mergeCell ref="AB4:AC4"/>
    <mergeCell ref="AE4:AF4"/>
    <mergeCell ref="N4:O4"/>
    <mergeCell ref="P4:Q4"/>
    <mergeCell ref="R4:S4"/>
    <mergeCell ref="T4:U4"/>
    <mergeCell ref="V4:W4"/>
  </mergeCells>
  <phoneticPr fontId="0" type="noConversion"/>
  <printOptions horizontalCentered="1" verticalCentered="1"/>
  <pageMargins left="0.5" right="0.5" top="0.5" bottom="0.88" header="0.5" footer="0.25"/>
  <pageSetup scale="80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opLeftCell="A16" zoomScaleNormal="100" zoomScaleSheetLayoutView="95" workbookViewId="0">
      <pane xSplit="5" topLeftCell="F1" activePane="topRight" state="frozen"/>
      <selection activeCell="AA25" sqref="AA25"/>
      <selection pane="topRight" activeCell="AA25" sqref="AA25"/>
    </sheetView>
  </sheetViews>
  <sheetFormatPr defaultColWidth="10.28515625" defaultRowHeight="12.75" x14ac:dyDescent="0.2"/>
  <cols>
    <col min="1" max="1" width="38.85546875" style="1" bestFit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89" hidden="1" customWidth="1"/>
    <col min="7" max="7" width="10.7109375" style="89" hidden="1" customWidth="1"/>
    <col min="8" max="8" width="4.7109375" style="89" hidden="1" customWidth="1"/>
    <col min="9" max="9" width="10.7109375" style="163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28515625" style="1" customWidth="1"/>
    <col min="31" max="31" width="5" style="1" customWidth="1"/>
    <col min="32" max="32" width="11" style="1" customWidth="1"/>
    <col min="33" max="33" width="8.7109375" style="1" customWidth="1"/>
    <col min="34" max="16384" width="10.28515625" style="1"/>
  </cols>
  <sheetData>
    <row r="1" spans="1:33" ht="16.5" customHeight="1" x14ac:dyDescent="0.25">
      <c r="A1" s="333" t="s">
        <v>53</v>
      </c>
      <c r="B1" s="201"/>
      <c r="C1" s="201"/>
      <c r="D1" s="201"/>
      <c r="E1" s="201"/>
      <c r="F1" s="201"/>
      <c r="G1" s="201"/>
      <c r="H1" s="202"/>
      <c r="I1" s="202"/>
      <c r="J1" s="203"/>
      <c r="K1" s="203"/>
      <c r="L1" s="203"/>
      <c r="M1" s="203"/>
    </row>
    <row r="2" spans="1:33" s="5" customFormat="1" ht="15.75" x14ac:dyDescent="0.25">
      <c r="A2" s="333" t="s">
        <v>54</v>
      </c>
      <c r="E2" s="79"/>
      <c r="F2" s="79"/>
      <c r="G2" s="79"/>
      <c r="H2" s="79"/>
      <c r="I2" s="79"/>
      <c r="L2" s="79"/>
      <c r="M2" s="7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5" customFormat="1" ht="15.75" x14ac:dyDescent="0.25">
      <c r="A3" s="333"/>
      <c r="E3" s="79"/>
      <c r="F3" s="79"/>
      <c r="G3" s="79"/>
      <c r="H3" s="79"/>
      <c r="I3" s="79"/>
      <c r="L3" s="79"/>
      <c r="M3" s="79"/>
      <c r="N3" s="24"/>
      <c r="O3" s="80"/>
      <c r="P3" s="24"/>
      <c r="Q3" s="80"/>
      <c r="R3" s="24"/>
      <c r="S3" s="80"/>
      <c r="T3" s="24"/>
      <c r="U3" s="80"/>
      <c r="V3" s="24"/>
      <c r="W3" s="80"/>
      <c r="X3" s="24"/>
      <c r="Y3" s="80"/>
      <c r="Z3" s="24"/>
      <c r="AA3" s="80"/>
      <c r="AB3" s="24"/>
      <c r="AC3" s="80"/>
      <c r="AD3" s="1"/>
      <c r="AG3" s="1"/>
    </row>
    <row r="4" spans="1:33" s="5" customFormat="1" ht="15.75" x14ac:dyDescent="0.25">
      <c r="A4" s="334" t="s">
        <v>56</v>
      </c>
      <c r="E4" s="79"/>
      <c r="F4" s="79"/>
      <c r="G4" s="79"/>
      <c r="H4" s="79"/>
      <c r="I4" s="79"/>
      <c r="L4" s="79"/>
      <c r="M4" s="79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79"/>
      <c r="AE4" s="455"/>
      <c r="AF4" s="464"/>
      <c r="AG4" s="1"/>
    </row>
    <row r="5" spans="1:33" s="5" customFormat="1" ht="12" x14ac:dyDescent="0.2">
      <c r="A5" s="1"/>
      <c r="E5" s="79"/>
      <c r="F5" s="79"/>
      <c r="G5" s="79"/>
      <c r="H5" s="79"/>
      <c r="I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1"/>
    </row>
    <row r="6" spans="1:33" x14ac:dyDescent="0.2">
      <c r="A6" s="2" t="s">
        <v>58</v>
      </c>
      <c r="B6" s="6"/>
      <c r="C6" s="257"/>
      <c r="D6" s="6"/>
      <c r="E6" s="257"/>
      <c r="F6" s="88"/>
      <c r="G6" s="87"/>
      <c r="H6" s="88"/>
      <c r="I6" s="258"/>
      <c r="J6" s="88"/>
      <c r="K6" s="87"/>
      <c r="L6" s="88"/>
      <c r="M6" s="87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3" ht="12" x14ac:dyDescent="0.2">
      <c r="A7" s="337">
        <v>3670085040</v>
      </c>
      <c r="B7" s="5"/>
      <c r="C7" s="5"/>
      <c r="D7" s="5"/>
      <c r="E7" s="5"/>
      <c r="F7" s="79"/>
      <c r="G7" s="79"/>
      <c r="H7" s="79"/>
      <c r="I7" s="81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3" ht="9" customHeight="1" thickBot="1" x14ac:dyDescent="0.25">
      <c r="A8" s="6"/>
      <c r="B8" s="5"/>
      <c r="C8" s="5"/>
      <c r="D8" s="5"/>
      <c r="E8" s="5"/>
      <c r="F8" s="79"/>
      <c r="G8" s="79"/>
      <c r="H8" s="79"/>
      <c r="I8" s="81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E8" s="5"/>
      <c r="AF8" s="5"/>
    </row>
    <row r="9" spans="1:33" ht="15" customHeight="1" thickTop="1" thickBot="1" x14ac:dyDescent="0.25">
      <c r="A9" s="215"/>
      <c r="B9" s="482" t="s">
        <v>8</v>
      </c>
      <c r="C9" s="483"/>
      <c r="D9" s="484" t="s">
        <v>9</v>
      </c>
      <c r="E9" s="484"/>
      <c r="F9" s="463" t="s">
        <v>28</v>
      </c>
      <c r="G9" s="456"/>
      <c r="H9" s="463" t="s">
        <v>29</v>
      </c>
      <c r="I9" s="456"/>
      <c r="J9" s="463" t="s">
        <v>30</v>
      </c>
      <c r="K9" s="456"/>
      <c r="L9" s="463" t="s">
        <v>32</v>
      </c>
      <c r="M9" s="462"/>
      <c r="N9" s="456" t="s">
        <v>34</v>
      </c>
      <c r="O9" s="462"/>
      <c r="P9" s="456" t="s">
        <v>35</v>
      </c>
      <c r="Q9" s="462"/>
      <c r="R9" s="456" t="s">
        <v>39</v>
      </c>
      <c r="S9" s="462"/>
      <c r="T9" s="456" t="s">
        <v>40</v>
      </c>
      <c r="U9" s="462"/>
      <c r="V9" s="456" t="s">
        <v>41</v>
      </c>
      <c r="W9" s="462"/>
      <c r="X9" s="456" t="s">
        <v>42</v>
      </c>
      <c r="Y9" s="462"/>
      <c r="Z9" s="456" t="s">
        <v>43</v>
      </c>
      <c r="AA9" s="462"/>
      <c r="AB9" s="456" t="s">
        <v>59</v>
      </c>
      <c r="AC9" s="457"/>
      <c r="AE9" s="465" t="s">
        <v>33</v>
      </c>
      <c r="AF9" s="466"/>
      <c r="AG9" s="318" t="s">
        <v>50</v>
      </c>
    </row>
    <row r="10" spans="1:33" ht="15" customHeight="1" thickBot="1" x14ac:dyDescent="0.25">
      <c r="A10" s="248" t="s">
        <v>12</v>
      </c>
      <c r="B10" s="277"/>
      <c r="C10" s="278"/>
      <c r="D10" s="4"/>
      <c r="E10" s="4"/>
      <c r="F10" s="279"/>
      <c r="G10" s="280"/>
      <c r="H10" s="280"/>
      <c r="I10" s="280"/>
      <c r="J10" s="279"/>
      <c r="K10" s="280"/>
      <c r="L10" s="279"/>
      <c r="M10" s="281"/>
      <c r="N10" s="378"/>
      <c r="O10" s="281"/>
      <c r="P10" s="378"/>
      <c r="Q10" s="281"/>
      <c r="R10" s="378"/>
      <c r="S10" s="281"/>
      <c r="T10" s="378"/>
      <c r="U10" s="281"/>
      <c r="V10" s="378"/>
      <c r="W10" s="281"/>
      <c r="X10" s="378"/>
      <c r="Y10" s="281"/>
      <c r="Z10" s="378"/>
      <c r="AA10" s="281"/>
      <c r="AB10" s="378"/>
      <c r="AC10" s="282"/>
      <c r="AE10" s="339"/>
      <c r="AF10" s="340"/>
      <c r="AG10" s="319"/>
    </row>
    <row r="11" spans="1:33" ht="15" customHeight="1" x14ac:dyDescent="0.2">
      <c r="A11" s="121" t="s">
        <v>13</v>
      </c>
      <c r="B11" s="40"/>
      <c r="C11" s="41"/>
      <c r="D11" s="13"/>
      <c r="E11" s="13"/>
      <c r="F11" s="78"/>
      <c r="G11" s="129"/>
      <c r="H11" s="82"/>
      <c r="I11" s="153"/>
      <c r="J11" s="83"/>
      <c r="K11" s="82"/>
      <c r="L11" s="83"/>
      <c r="M11" s="84"/>
      <c r="N11" s="34"/>
      <c r="O11" s="85"/>
      <c r="P11" s="34"/>
      <c r="Q11" s="85"/>
      <c r="R11" s="34"/>
      <c r="S11" s="85"/>
      <c r="T11" s="34"/>
      <c r="U11" s="85"/>
      <c r="V11" s="34"/>
      <c r="W11" s="85"/>
      <c r="X11" s="34"/>
      <c r="Y11" s="85"/>
      <c r="Z11" s="34"/>
      <c r="AA11" s="85"/>
      <c r="AB11" s="34"/>
      <c r="AC11" s="86"/>
      <c r="AD11" s="180"/>
      <c r="AE11" s="185"/>
      <c r="AF11" s="294"/>
      <c r="AG11" s="186"/>
    </row>
    <row r="12" spans="1:33" ht="15" customHeight="1" x14ac:dyDescent="0.2">
      <c r="A12" s="118" t="s">
        <v>14</v>
      </c>
      <c r="B12" s="39"/>
      <c r="C12" s="42">
        <v>1511922</v>
      </c>
      <c r="D12" s="12"/>
      <c r="E12" s="66">
        <v>1621136</v>
      </c>
      <c r="F12" s="83"/>
      <c r="G12" s="130">
        <v>1686064</v>
      </c>
      <c r="H12" s="82"/>
      <c r="I12" s="154">
        <v>1652035</v>
      </c>
      <c r="J12" s="83"/>
      <c r="K12" s="99">
        <v>1690740</v>
      </c>
      <c r="L12" s="83"/>
      <c r="M12" s="130">
        <v>1559750</v>
      </c>
      <c r="N12" s="380"/>
      <c r="O12" s="381">
        <v>1457954</v>
      </c>
      <c r="P12" s="380"/>
      <c r="Q12" s="381">
        <v>1314066</v>
      </c>
      <c r="R12" s="380"/>
      <c r="S12" s="381">
        <v>1232535</v>
      </c>
      <c r="T12" s="380"/>
      <c r="U12" s="381">
        <v>1373774</v>
      </c>
      <c r="V12" s="380"/>
      <c r="W12" s="381">
        <v>1448888</v>
      </c>
      <c r="X12" s="380"/>
      <c r="Y12" s="381">
        <v>1501768</v>
      </c>
      <c r="Z12" s="380"/>
      <c r="AA12" s="381">
        <v>1350114</v>
      </c>
      <c r="AB12" s="380"/>
      <c r="AC12" s="382">
        <v>1335231</v>
      </c>
      <c r="AD12" s="383"/>
      <c r="AE12" s="384"/>
      <c r="AF12" s="385">
        <f>AVERAGE(W12,U12,AC12,AA12,Y12)</f>
        <v>1401955</v>
      </c>
      <c r="AG12" s="320">
        <f>+(AA12-S12)/S12</f>
        <v>9.5396073945161794E-2</v>
      </c>
    </row>
    <row r="13" spans="1:33" ht="15" customHeight="1" x14ac:dyDescent="0.2">
      <c r="A13" s="118" t="s">
        <v>36</v>
      </c>
      <c r="B13" s="39"/>
      <c r="C13" s="42"/>
      <c r="D13" s="12"/>
      <c r="E13" s="66"/>
      <c r="F13" s="83"/>
      <c r="G13" s="130"/>
      <c r="H13" s="82"/>
      <c r="I13" s="154"/>
      <c r="J13" s="83"/>
      <c r="K13" s="99"/>
      <c r="L13" s="83"/>
      <c r="M13" s="130"/>
      <c r="N13" s="380"/>
      <c r="O13" s="381"/>
      <c r="P13" s="380"/>
      <c r="Q13" s="381"/>
      <c r="R13" s="380"/>
      <c r="S13" s="381"/>
      <c r="T13" s="380"/>
      <c r="U13" s="381"/>
      <c r="V13" s="380"/>
      <c r="W13" s="381"/>
      <c r="X13" s="380"/>
      <c r="Y13" s="381"/>
      <c r="Z13" s="380"/>
      <c r="AA13" s="381"/>
      <c r="AB13" s="380"/>
      <c r="AC13" s="382"/>
      <c r="AD13" s="383"/>
      <c r="AE13" s="384"/>
      <c r="AF13" s="385"/>
      <c r="AG13" s="320"/>
    </row>
    <row r="14" spans="1:33" ht="24.75" thickBot="1" x14ac:dyDescent="0.25">
      <c r="A14" s="286" t="s">
        <v>37</v>
      </c>
      <c r="B14" s="46"/>
      <c r="C14" s="287">
        <v>2500</v>
      </c>
      <c r="D14" s="288"/>
      <c r="E14" s="289">
        <v>5542</v>
      </c>
      <c r="F14" s="290"/>
      <c r="G14" s="291">
        <v>5546</v>
      </c>
      <c r="H14" s="292"/>
      <c r="I14" s="352">
        <v>5549</v>
      </c>
      <c r="J14" s="290"/>
      <c r="K14" s="293">
        <v>3946</v>
      </c>
      <c r="L14" s="290"/>
      <c r="M14" s="291">
        <v>79966</v>
      </c>
      <c r="N14" s="386"/>
      <c r="O14" s="387">
        <v>3947</v>
      </c>
      <c r="P14" s="386"/>
      <c r="Q14" s="387">
        <v>3939</v>
      </c>
      <c r="R14" s="386"/>
      <c r="S14" s="387">
        <v>3938</v>
      </c>
      <c r="T14" s="386"/>
      <c r="U14" s="387">
        <v>3938</v>
      </c>
      <c r="V14" s="386"/>
      <c r="W14" s="387">
        <v>3930</v>
      </c>
      <c r="X14" s="386"/>
      <c r="Y14" s="387">
        <v>3929</v>
      </c>
      <c r="Z14" s="386"/>
      <c r="AA14" s="387">
        <v>3032</v>
      </c>
      <c r="AB14" s="386"/>
      <c r="AC14" s="388">
        <v>3035</v>
      </c>
      <c r="AD14" s="383"/>
      <c r="AE14" s="389"/>
      <c r="AF14" s="390">
        <f>AVERAGE(W14,U14,AC14,AA14,Y14)</f>
        <v>3572.8</v>
      </c>
      <c r="AG14" s="320">
        <f t="shared" ref="AG14" si="0">+(AA14-S14)/S14</f>
        <v>-0.23006602336211274</v>
      </c>
    </row>
    <row r="15" spans="1:33" ht="18.75" customHeight="1" thickBot="1" x14ac:dyDescent="0.25">
      <c r="A15" s="295" t="s">
        <v>15</v>
      </c>
      <c r="B15" s="296"/>
      <c r="C15" s="297">
        <f>SUM(C12:C14)</f>
        <v>1514422</v>
      </c>
      <c r="D15" s="298"/>
      <c r="E15" s="299">
        <f>SUM(E12:E14)</f>
        <v>1626678</v>
      </c>
      <c r="F15" s="300"/>
      <c r="G15" s="301">
        <f>SUM(G12:G14)</f>
        <v>1691610</v>
      </c>
      <c r="H15" s="302"/>
      <c r="I15" s="363">
        <f>SUM(I12:I14)</f>
        <v>1657584</v>
      </c>
      <c r="J15" s="300"/>
      <c r="K15" s="303">
        <f>SUM(K12:K14)</f>
        <v>1694686</v>
      </c>
      <c r="L15" s="300"/>
      <c r="M15" s="301">
        <f>SUM(M12:M14)</f>
        <v>1639716</v>
      </c>
      <c r="N15" s="391"/>
      <c r="O15" s="392">
        <f>SUM(O12:O14)</f>
        <v>1461901</v>
      </c>
      <c r="P15" s="391"/>
      <c r="Q15" s="392">
        <f>SUM(Q12:Q14)</f>
        <v>1318005</v>
      </c>
      <c r="R15" s="391"/>
      <c r="S15" s="392">
        <f>SUM(S12:S14)</f>
        <v>1236473</v>
      </c>
      <c r="T15" s="391"/>
      <c r="U15" s="392">
        <f>SUM(U12:U14)</f>
        <v>1377712</v>
      </c>
      <c r="V15" s="391"/>
      <c r="W15" s="392">
        <f>SUM(W12:W14)</f>
        <v>1452818</v>
      </c>
      <c r="X15" s="391"/>
      <c r="Y15" s="392">
        <f>SUM(Y12:Y14)</f>
        <v>1505697</v>
      </c>
      <c r="Z15" s="391"/>
      <c r="AA15" s="392">
        <f>SUM(AA12:AA14)</f>
        <v>1353146</v>
      </c>
      <c r="AB15" s="391"/>
      <c r="AC15" s="393">
        <f>SUM(AC12:AC14)</f>
        <v>1338266</v>
      </c>
      <c r="AD15" s="383"/>
      <c r="AE15" s="394"/>
      <c r="AF15" s="395">
        <f>AVERAGE(W15,U15,AC15,AA15,Y15)</f>
        <v>1405527.8</v>
      </c>
      <c r="AG15" s="321">
        <f>+(AA15-S15)/S15</f>
        <v>9.4359520992371049E-2</v>
      </c>
    </row>
    <row r="16" spans="1:33" ht="15" customHeight="1" x14ac:dyDescent="0.2">
      <c r="A16" s="216" t="s">
        <v>16</v>
      </c>
      <c r="B16" s="39"/>
      <c r="C16" s="42"/>
      <c r="D16" s="12"/>
      <c r="E16" s="66"/>
      <c r="F16" s="83"/>
      <c r="G16" s="130"/>
      <c r="H16" s="82"/>
      <c r="I16" s="154"/>
      <c r="J16" s="83"/>
      <c r="K16" s="99"/>
      <c r="L16" s="83"/>
      <c r="M16" s="130"/>
      <c r="N16" s="380"/>
      <c r="O16" s="381"/>
      <c r="P16" s="380"/>
      <c r="Q16" s="381"/>
      <c r="R16" s="380"/>
      <c r="S16" s="381"/>
      <c r="T16" s="380"/>
      <c r="U16" s="381"/>
      <c r="V16" s="380"/>
      <c r="W16" s="381"/>
      <c r="X16" s="380"/>
      <c r="Y16" s="381"/>
      <c r="Z16" s="380"/>
      <c r="AA16" s="381"/>
      <c r="AB16" s="380"/>
      <c r="AC16" s="382"/>
      <c r="AD16" s="383"/>
      <c r="AE16" s="396"/>
      <c r="AF16" s="397"/>
      <c r="AG16" s="294"/>
    </row>
    <row r="17" spans="1:33" ht="15" customHeight="1" x14ac:dyDescent="0.2">
      <c r="A17" s="118" t="s">
        <v>14</v>
      </c>
      <c r="B17" s="40"/>
      <c r="C17" s="43"/>
      <c r="D17" s="13"/>
      <c r="E17" s="67"/>
      <c r="F17" s="78"/>
      <c r="G17" s="132"/>
      <c r="H17" s="34"/>
      <c r="I17" s="155"/>
      <c r="J17" s="78"/>
      <c r="K17" s="146"/>
      <c r="L17" s="78"/>
      <c r="M17" s="132"/>
      <c r="N17" s="398"/>
      <c r="O17" s="399"/>
      <c r="P17" s="398"/>
      <c r="Q17" s="399"/>
      <c r="R17" s="398"/>
      <c r="S17" s="399"/>
      <c r="T17" s="398"/>
      <c r="U17" s="399"/>
      <c r="V17" s="398"/>
      <c r="W17" s="399"/>
      <c r="X17" s="398"/>
      <c r="Y17" s="399"/>
      <c r="Z17" s="398"/>
      <c r="AA17" s="399"/>
      <c r="AB17" s="398"/>
      <c r="AC17" s="400"/>
      <c r="AD17" s="383"/>
      <c r="AE17" s="384"/>
      <c r="AF17" s="385"/>
      <c r="AG17" s="320"/>
    </row>
    <row r="18" spans="1:33" ht="24.75" thickBot="1" x14ac:dyDescent="0.25">
      <c r="A18" s="286" t="s">
        <v>20</v>
      </c>
      <c r="B18" s="46"/>
      <c r="C18" s="287"/>
      <c r="D18" s="288"/>
      <c r="E18" s="289"/>
      <c r="F18" s="290"/>
      <c r="G18" s="291"/>
      <c r="H18" s="292"/>
      <c r="I18" s="352"/>
      <c r="J18" s="290"/>
      <c r="K18" s="293"/>
      <c r="L18" s="290"/>
      <c r="M18" s="291"/>
      <c r="N18" s="386"/>
      <c r="O18" s="387"/>
      <c r="P18" s="386"/>
      <c r="Q18" s="387"/>
      <c r="R18" s="386"/>
      <c r="S18" s="387"/>
      <c r="T18" s="386"/>
      <c r="U18" s="387"/>
      <c r="V18" s="386"/>
      <c r="W18" s="387"/>
      <c r="X18" s="386"/>
      <c r="Y18" s="387"/>
      <c r="Z18" s="386"/>
      <c r="AA18" s="387"/>
      <c r="AB18" s="386"/>
      <c r="AC18" s="388"/>
      <c r="AD18" s="383"/>
      <c r="AE18" s="401"/>
      <c r="AF18" s="402"/>
      <c r="AG18" s="322"/>
    </row>
    <row r="19" spans="1:33" ht="18.75" customHeight="1" thickBot="1" x14ac:dyDescent="0.25">
      <c r="A19" s="295" t="s">
        <v>17</v>
      </c>
      <c r="B19" s="296"/>
      <c r="C19" s="297">
        <f>SUM(C17:C18)</f>
        <v>0</v>
      </c>
      <c r="D19" s="298"/>
      <c r="E19" s="299">
        <f>SUM(E17:E18)</f>
        <v>0</v>
      </c>
      <c r="F19" s="300"/>
      <c r="G19" s="301">
        <f>SUM(G17:G18)</f>
        <v>0</v>
      </c>
      <c r="H19" s="302"/>
      <c r="I19" s="363">
        <f>SUM(I17:I18)</f>
        <v>0</v>
      </c>
      <c r="J19" s="300"/>
      <c r="K19" s="303">
        <f>SUM(K17:K18)</f>
        <v>0</v>
      </c>
      <c r="L19" s="300"/>
      <c r="M19" s="301">
        <f>SUM(M17:M18)</f>
        <v>0</v>
      </c>
      <c r="N19" s="391"/>
      <c r="O19" s="392">
        <f>SUM(O17:O18)</f>
        <v>0</v>
      </c>
      <c r="P19" s="391"/>
      <c r="Q19" s="392">
        <f>SUM(Q17:Q18)</f>
        <v>0</v>
      </c>
      <c r="R19" s="391"/>
      <c r="S19" s="392">
        <f>SUM(S17:S18)</f>
        <v>0</v>
      </c>
      <c r="T19" s="391"/>
      <c r="U19" s="392">
        <f>SUM(U17:U18)</f>
        <v>0</v>
      </c>
      <c r="V19" s="391"/>
      <c r="W19" s="392">
        <f>SUM(W17:W18)</f>
        <v>0</v>
      </c>
      <c r="X19" s="391"/>
      <c r="Y19" s="392">
        <f>SUM(Y17:Y18)</f>
        <v>0</v>
      </c>
      <c r="Z19" s="391"/>
      <c r="AA19" s="392">
        <f>SUM(AA17:AA18)</f>
        <v>0</v>
      </c>
      <c r="AB19" s="391"/>
      <c r="AC19" s="393">
        <f>SUM(AC17:AC18)</f>
        <v>0</v>
      </c>
      <c r="AD19" s="383"/>
      <c r="AE19" s="394"/>
      <c r="AF19" s="395"/>
      <c r="AG19" s="326"/>
    </row>
    <row r="20" spans="1:33" ht="18.75" customHeight="1" thickBot="1" x14ac:dyDescent="0.25">
      <c r="A20" s="353" t="s">
        <v>18</v>
      </c>
      <c r="B20" s="354"/>
      <c r="C20" s="355">
        <f>SUM(C15,C19)</f>
        <v>1514422</v>
      </c>
      <c r="D20" s="356"/>
      <c r="E20" s="357">
        <f>SUM(E15,E19)</f>
        <v>1626678</v>
      </c>
      <c r="F20" s="358"/>
      <c r="G20" s="359">
        <f>SUM(G15,G19)</f>
        <v>1691610</v>
      </c>
      <c r="H20" s="360"/>
      <c r="I20" s="361">
        <f>SUM(I15,I19)</f>
        <v>1657584</v>
      </c>
      <c r="J20" s="358"/>
      <c r="K20" s="362">
        <f>SUM(K15,K19)</f>
        <v>1694686</v>
      </c>
      <c r="L20" s="358"/>
      <c r="M20" s="359">
        <f>SUM(M15,M19)</f>
        <v>1639716</v>
      </c>
      <c r="N20" s="403"/>
      <c r="O20" s="404">
        <f>SUM(O15,O19)</f>
        <v>1461901</v>
      </c>
      <c r="P20" s="403"/>
      <c r="Q20" s="404">
        <f>SUM(Q15,Q19)</f>
        <v>1318005</v>
      </c>
      <c r="R20" s="403"/>
      <c r="S20" s="404">
        <f>SUM(S15,S19)</f>
        <v>1236473</v>
      </c>
      <c r="T20" s="403"/>
      <c r="U20" s="404">
        <f>SUM(U15,U19)</f>
        <v>1377712</v>
      </c>
      <c r="V20" s="403"/>
      <c r="W20" s="404">
        <f>SUM(W15,W19)</f>
        <v>1452818</v>
      </c>
      <c r="X20" s="403"/>
      <c r="Y20" s="404">
        <f>SUM(Y15,Y19)</f>
        <v>1505697</v>
      </c>
      <c r="Z20" s="403"/>
      <c r="AA20" s="404">
        <f>SUM(AA15,AA19)</f>
        <v>1353146</v>
      </c>
      <c r="AB20" s="403"/>
      <c r="AC20" s="405">
        <f>SUM(AC15,AC19)</f>
        <v>1338266</v>
      </c>
      <c r="AD20" s="383"/>
      <c r="AE20" s="406"/>
      <c r="AF20" s="385">
        <f>AVERAGE(W20,U20,AC20,AA20,Y20)</f>
        <v>1405527.8</v>
      </c>
      <c r="AG20" s="323">
        <f>+(AA20-S20)/S20</f>
        <v>9.4359520992371049E-2</v>
      </c>
    </row>
    <row r="21" spans="1:33" ht="18" customHeight="1" thickBot="1" x14ac:dyDescent="0.25">
      <c r="A21" s="19" t="s">
        <v>44</v>
      </c>
      <c r="B21" s="485" t="s">
        <v>8</v>
      </c>
      <c r="C21" s="486"/>
      <c r="D21" s="487" t="s">
        <v>9</v>
      </c>
      <c r="E21" s="487"/>
      <c r="F21" s="473" t="s">
        <v>28</v>
      </c>
      <c r="G21" s="475"/>
      <c r="H21" s="473" t="s">
        <v>29</v>
      </c>
      <c r="I21" s="475"/>
      <c r="J21" s="473" t="s">
        <v>30</v>
      </c>
      <c r="K21" s="475"/>
      <c r="L21" s="490"/>
      <c r="M21" s="491"/>
      <c r="N21" s="458"/>
      <c r="O21" s="471"/>
      <c r="P21" s="458"/>
      <c r="Q21" s="471"/>
      <c r="R21" s="458"/>
      <c r="S21" s="471"/>
      <c r="T21" s="458"/>
      <c r="U21" s="471"/>
      <c r="V21" s="458"/>
      <c r="W21" s="471"/>
      <c r="X21" s="458"/>
      <c r="Y21" s="471"/>
      <c r="Z21" s="458"/>
      <c r="AA21" s="471"/>
      <c r="AB21" s="458"/>
      <c r="AC21" s="459"/>
      <c r="AD21" s="383"/>
      <c r="AE21" s="467"/>
      <c r="AF21" s="468"/>
      <c r="AG21" s="327"/>
    </row>
    <row r="22" spans="1:33" ht="15" customHeight="1" x14ac:dyDescent="0.2">
      <c r="A22" s="118" t="s">
        <v>61</v>
      </c>
      <c r="B22" s="49"/>
      <c r="C22" s="50">
        <f>1369502+249293</f>
        <v>1618795</v>
      </c>
      <c r="D22" s="11"/>
      <c r="E22" s="14">
        <f>1462709+214789</f>
        <v>1677498</v>
      </c>
      <c r="F22" s="107"/>
      <c r="G22" s="98">
        <f>1444056+183239</f>
        <v>1627295</v>
      </c>
      <c r="H22" s="35"/>
      <c r="I22" s="158">
        <f>1440725+174724</f>
        <v>1615449</v>
      </c>
      <c r="J22" s="107"/>
      <c r="K22" s="143">
        <f>1369383+209224+4568</f>
        <v>1583175</v>
      </c>
      <c r="L22" s="113"/>
      <c r="M22" s="273">
        <v>1459001</v>
      </c>
      <c r="N22" s="380"/>
      <c r="O22" s="407">
        <v>1433101</v>
      </c>
      <c r="P22" s="380"/>
      <c r="Q22" s="407">
        <v>1389751</v>
      </c>
      <c r="R22" s="380"/>
      <c r="S22" s="407">
        <v>1408321</v>
      </c>
      <c r="T22" s="380"/>
      <c r="U22" s="407">
        <v>1551724</v>
      </c>
      <c r="V22" s="380"/>
      <c r="W22" s="407">
        <v>1628952.55</v>
      </c>
      <c r="X22" s="408"/>
      <c r="Y22" s="409">
        <v>1699676</v>
      </c>
      <c r="Z22" s="408"/>
      <c r="AA22" s="409">
        <v>1536638</v>
      </c>
      <c r="AB22" s="408"/>
      <c r="AC22" s="410"/>
      <c r="AD22" s="383"/>
      <c r="AE22" s="411"/>
      <c r="AF22" s="385">
        <f>AVERAGE(W22,U22,S22,AA22,Y22)</f>
        <v>1565062.31</v>
      </c>
      <c r="AG22" s="324">
        <f>+(AA22-S22)/S22</f>
        <v>9.1113460638590202E-2</v>
      </c>
    </row>
    <row r="23" spans="1:33" ht="15" customHeight="1" x14ac:dyDescent="0.2">
      <c r="A23" s="118" t="s">
        <v>45</v>
      </c>
      <c r="B23" s="56"/>
      <c r="C23" s="230"/>
      <c r="D23" s="28"/>
      <c r="E23" s="183"/>
      <c r="F23" s="110"/>
      <c r="G23" s="259"/>
      <c r="H23" s="251"/>
      <c r="I23" s="250">
        <v>7947.32</v>
      </c>
      <c r="J23" s="251"/>
      <c r="K23" s="250">
        <v>99643.93</v>
      </c>
      <c r="L23" s="251"/>
      <c r="M23" s="250">
        <v>115199.03</v>
      </c>
      <c r="N23" s="386"/>
      <c r="O23" s="412">
        <v>92752.69</v>
      </c>
      <c r="P23" s="386"/>
      <c r="Q23" s="412">
        <v>100988.43</v>
      </c>
      <c r="R23" s="386"/>
      <c r="S23" s="412">
        <v>76346.55</v>
      </c>
      <c r="T23" s="386"/>
      <c r="U23" s="412">
        <v>0</v>
      </c>
      <c r="V23" s="386"/>
      <c r="W23" s="412">
        <v>0</v>
      </c>
      <c r="X23" s="413"/>
      <c r="Y23" s="414">
        <v>0</v>
      </c>
      <c r="Z23" s="413"/>
      <c r="AA23" s="414">
        <v>0</v>
      </c>
      <c r="AB23" s="413"/>
      <c r="AC23" s="415"/>
      <c r="AD23" s="383"/>
      <c r="AE23" s="411"/>
      <c r="AF23" s="385">
        <f t="shared" ref="AF23:AF24" si="1">AVERAGE(W23,U23,S23,AA23,Y23)</f>
        <v>15269.310000000001</v>
      </c>
      <c r="AG23" s="324">
        <f t="shared" ref="AG23" si="2">+(AA23-S23)/S23</f>
        <v>-1</v>
      </c>
    </row>
    <row r="24" spans="1:33" ht="15" customHeight="1" thickBot="1" x14ac:dyDescent="0.25">
      <c r="A24" s="128" t="s">
        <v>46</v>
      </c>
      <c r="B24" s="260"/>
      <c r="C24" s="65">
        <v>0</v>
      </c>
      <c r="D24" s="233"/>
      <c r="E24" s="233">
        <v>0</v>
      </c>
      <c r="F24" s="261"/>
      <c r="G24" s="252">
        <v>0</v>
      </c>
      <c r="H24" s="262"/>
      <c r="I24" s="254">
        <v>0</v>
      </c>
      <c r="J24" s="262"/>
      <c r="K24" s="254">
        <v>0</v>
      </c>
      <c r="L24" s="262"/>
      <c r="M24" s="254">
        <v>0</v>
      </c>
      <c r="N24" s="416"/>
      <c r="O24" s="417">
        <v>0</v>
      </c>
      <c r="P24" s="416"/>
      <c r="Q24" s="417">
        <v>0</v>
      </c>
      <c r="R24" s="416"/>
      <c r="S24" s="417">
        <v>0</v>
      </c>
      <c r="T24" s="416"/>
      <c r="U24" s="417">
        <v>0</v>
      </c>
      <c r="V24" s="416"/>
      <c r="W24" s="417">
        <v>0</v>
      </c>
      <c r="X24" s="418"/>
      <c r="Y24" s="419">
        <v>0</v>
      </c>
      <c r="Z24" s="418"/>
      <c r="AA24" s="419">
        <v>0</v>
      </c>
      <c r="AB24" s="418"/>
      <c r="AC24" s="420"/>
      <c r="AD24" s="383"/>
      <c r="AE24" s="421"/>
      <c r="AF24" s="385">
        <f t="shared" si="1"/>
        <v>0</v>
      </c>
      <c r="AG24" s="325"/>
    </row>
    <row r="25" spans="1:33" ht="18" customHeight="1" thickTop="1" x14ac:dyDescent="0.2">
      <c r="A25" s="314" t="s">
        <v>47</v>
      </c>
      <c r="B25" s="235" t="s">
        <v>25</v>
      </c>
      <c r="C25" s="236" t="s">
        <v>27</v>
      </c>
      <c r="D25" s="237" t="s">
        <v>25</v>
      </c>
      <c r="E25" s="238" t="s">
        <v>27</v>
      </c>
      <c r="F25" s="239" t="s">
        <v>25</v>
      </c>
      <c r="G25" s="240" t="s">
        <v>27</v>
      </c>
      <c r="H25" s="241" t="s">
        <v>25</v>
      </c>
      <c r="I25" s="263" t="s">
        <v>27</v>
      </c>
      <c r="J25" s="239" t="s">
        <v>25</v>
      </c>
      <c r="K25" s="242" t="s">
        <v>27</v>
      </c>
      <c r="L25" s="366" t="s">
        <v>25</v>
      </c>
      <c r="M25" s="347" t="s">
        <v>27</v>
      </c>
      <c r="N25" s="422" t="s">
        <v>25</v>
      </c>
      <c r="O25" s="423" t="s">
        <v>27</v>
      </c>
      <c r="P25" s="422" t="s">
        <v>25</v>
      </c>
      <c r="Q25" s="423" t="s">
        <v>27</v>
      </c>
      <c r="R25" s="422" t="s">
        <v>25</v>
      </c>
      <c r="S25" s="423" t="s">
        <v>27</v>
      </c>
      <c r="T25" s="422" t="s">
        <v>25</v>
      </c>
      <c r="U25" s="423" t="s">
        <v>27</v>
      </c>
      <c r="V25" s="422" t="s">
        <v>25</v>
      </c>
      <c r="W25" s="423" t="s">
        <v>27</v>
      </c>
      <c r="X25" s="424" t="s">
        <v>25</v>
      </c>
      <c r="Y25" s="425" t="s">
        <v>27</v>
      </c>
      <c r="Z25" s="424" t="s">
        <v>25</v>
      </c>
      <c r="AA25" s="425" t="s">
        <v>27</v>
      </c>
      <c r="AB25" s="424" t="s">
        <v>25</v>
      </c>
      <c r="AC25" s="426" t="s">
        <v>27</v>
      </c>
      <c r="AD25" s="427"/>
      <c r="AE25" s="428" t="s">
        <v>25</v>
      </c>
      <c r="AF25" s="429" t="s">
        <v>27</v>
      </c>
      <c r="AG25" s="330" t="s">
        <v>51</v>
      </c>
    </row>
    <row r="26" spans="1:33" ht="15" customHeight="1" x14ac:dyDescent="0.2">
      <c r="A26" s="118" t="s">
        <v>48</v>
      </c>
      <c r="B26" s="181">
        <v>2</v>
      </c>
      <c r="C26" s="55">
        <v>101876</v>
      </c>
      <c r="D26" s="182">
        <v>1</v>
      </c>
      <c r="E26" s="166">
        <v>21845</v>
      </c>
      <c r="F26" s="175">
        <v>1</v>
      </c>
      <c r="G26" s="168">
        <v>12912</v>
      </c>
      <c r="H26" s="177">
        <v>2</v>
      </c>
      <c r="I26" s="168">
        <v>647721</v>
      </c>
      <c r="J26" s="177">
        <v>3</v>
      </c>
      <c r="K26" s="169">
        <v>1618590</v>
      </c>
      <c r="L26" s="364">
        <v>3</v>
      </c>
      <c r="M26" s="365">
        <v>1030537</v>
      </c>
      <c r="N26" s="430">
        <v>1</v>
      </c>
      <c r="O26" s="431">
        <v>365892</v>
      </c>
      <c r="P26" s="430">
        <v>0</v>
      </c>
      <c r="Q26" s="431">
        <v>0</v>
      </c>
      <c r="R26" s="430">
        <v>1</v>
      </c>
      <c r="S26" s="431">
        <v>296994</v>
      </c>
      <c r="T26" s="430">
        <v>1</v>
      </c>
      <c r="U26" s="431">
        <v>24000</v>
      </c>
      <c r="V26" s="430">
        <v>0</v>
      </c>
      <c r="W26" s="431">
        <v>0</v>
      </c>
      <c r="X26" s="430">
        <v>0</v>
      </c>
      <c r="Y26" s="431">
        <v>0</v>
      </c>
      <c r="Z26" s="430">
        <v>0</v>
      </c>
      <c r="AA26" s="431">
        <v>0</v>
      </c>
      <c r="AB26" s="432"/>
      <c r="AC26" s="433"/>
      <c r="AD26" s="383"/>
      <c r="AE26" s="434">
        <f>AVERAGE(V26,T26,R26,Z26,X26)</f>
        <v>0.4</v>
      </c>
      <c r="AF26" s="385">
        <f t="shared" ref="AF26:AF27" si="3">AVERAGE(W26,U26,S26,AA26,Y26)</f>
        <v>64198.8</v>
      </c>
      <c r="AG26" s="324">
        <f t="shared" ref="AG26" si="4">+(AA26-S26)/S26</f>
        <v>-1</v>
      </c>
    </row>
    <row r="27" spans="1:33" ht="15" customHeight="1" thickBot="1" x14ac:dyDescent="0.25">
      <c r="A27" s="128" t="s">
        <v>49</v>
      </c>
      <c r="B27" s="243">
        <v>2</v>
      </c>
      <c r="C27" s="75">
        <v>7578</v>
      </c>
      <c r="D27" s="244">
        <v>0</v>
      </c>
      <c r="E27" s="245">
        <v>0</v>
      </c>
      <c r="F27" s="246">
        <v>1</v>
      </c>
      <c r="G27" s="234">
        <v>10190</v>
      </c>
      <c r="H27" s="264">
        <v>1</v>
      </c>
      <c r="I27" s="234">
        <v>500000</v>
      </c>
      <c r="J27" s="264">
        <v>1</v>
      </c>
      <c r="K27" s="265">
        <v>8195</v>
      </c>
      <c r="L27" s="350">
        <v>0</v>
      </c>
      <c r="M27" s="351">
        <v>0</v>
      </c>
      <c r="N27" s="435">
        <v>0</v>
      </c>
      <c r="O27" s="436">
        <v>0</v>
      </c>
      <c r="P27" s="435">
        <v>0</v>
      </c>
      <c r="Q27" s="436">
        <v>0</v>
      </c>
      <c r="R27" s="435">
        <v>0</v>
      </c>
      <c r="S27" s="436">
        <v>0</v>
      </c>
      <c r="T27" s="435">
        <v>0</v>
      </c>
      <c r="U27" s="436">
        <v>0</v>
      </c>
      <c r="V27" s="435">
        <v>0</v>
      </c>
      <c r="W27" s="436">
        <v>0</v>
      </c>
      <c r="X27" s="435">
        <v>0</v>
      </c>
      <c r="Y27" s="436">
        <v>0</v>
      </c>
      <c r="Z27" s="437">
        <v>0</v>
      </c>
      <c r="AA27" s="438">
        <v>0</v>
      </c>
      <c r="AB27" s="439"/>
      <c r="AC27" s="420"/>
      <c r="AD27" s="383"/>
      <c r="AE27" s="440">
        <f>AVERAGE(V27,T27,R27,Z27,X27)</f>
        <v>0</v>
      </c>
      <c r="AF27" s="385">
        <f t="shared" si="3"/>
        <v>0</v>
      </c>
      <c r="AG27" s="325"/>
    </row>
    <row r="28" spans="1:33" ht="18" customHeight="1" thickTop="1" thickBot="1" x14ac:dyDescent="0.25">
      <c r="A28" s="247" t="s">
        <v>21</v>
      </c>
      <c r="B28" s="482" t="s">
        <v>8</v>
      </c>
      <c r="C28" s="483"/>
      <c r="D28" s="484" t="s">
        <v>9</v>
      </c>
      <c r="E28" s="484"/>
      <c r="F28" s="463" t="s">
        <v>28</v>
      </c>
      <c r="G28" s="456"/>
      <c r="H28" s="463" t="s">
        <v>29</v>
      </c>
      <c r="I28" s="456"/>
      <c r="J28" s="463" t="s">
        <v>30</v>
      </c>
      <c r="K28" s="456"/>
      <c r="L28" s="478"/>
      <c r="M28" s="479"/>
      <c r="N28" s="460"/>
      <c r="O28" s="472"/>
      <c r="P28" s="460"/>
      <c r="Q28" s="472"/>
      <c r="R28" s="460"/>
      <c r="S28" s="472"/>
      <c r="T28" s="460"/>
      <c r="U28" s="472"/>
      <c r="V28" s="460"/>
      <c r="W28" s="472"/>
      <c r="X28" s="460"/>
      <c r="Y28" s="472"/>
      <c r="Z28" s="460"/>
      <c r="AA28" s="472"/>
      <c r="AB28" s="460"/>
      <c r="AC28" s="461"/>
      <c r="AD28" s="383"/>
      <c r="AE28" s="469"/>
      <c r="AF28" s="470"/>
      <c r="AG28" s="331"/>
    </row>
    <row r="29" spans="1:33" ht="15" customHeight="1" x14ac:dyDescent="0.2">
      <c r="A29" s="127" t="s">
        <v>23</v>
      </c>
      <c r="B29" s="49"/>
      <c r="C29" s="77">
        <v>5045</v>
      </c>
      <c r="D29" s="11"/>
      <c r="E29" s="115">
        <v>4000</v>
      </c>
      <c r="F29" s="107"/>
      <c r="G29" s="170">
        <v>4363</v>
      </c>
      <c r="H29" s="35"/>
      <c r="I29" s="149">
        <v>630</v>
      </c>
      <c r="J29" s="107"/>
      <c r="K29" s="149">
        <v>6916.54</v>
      </c>
      <c r="L29" s="113"/>
      <c r="M29" s="141">
        <v>5910</v>
      </c>
      <c r="N29" s="380"/>
      <c r="O29" s="441">
        <v>12915</v>
      </c>
      <c r="P29" s="380"/>
      <c r="Q29" s="441">
        <v>21543.75</v>
      </c>
      <c r="R29" s="380"/>
      <c r="S29" s="441">
        <v>10545</v>
      </c>
      <c r="T29" s="380"/>
      <c r="U29" s="441">
        <v>17276.62</v>
      </c>
      <c r="V29" s="380"/>
      <c r="W29" s="441">
        <v>3962.28</v>
      </c>
      <c r="X29" s="408"/>
      <c r="Y29" s="442">
        <v>8472.66</v>
      </c>
      <c r="Z29" s="408"/>
      <c r="AA29" s="442">
        <v>8589</v>
      </c>
      <c r="AB29" s="408"/>
      <c r="AC29" s="443"/>
      <c r="AD29" s="383"/>
      <c r="AE29" s="384"/>
      <c r="AF29" s="385">
        <f t="shared" ref="AF29:AF30" si="5">AVERAGE(W29,U29,S29,AA29,Y29)</f>
        <v>9769.1119999999992</v>
      </c>
      <c r="AG29" s="324">
        <f t="shared" ref="AG29" si="6">+(AA29-S29)/S29</f>
        <v>-0.18549075391180656</v>
      </c>
    </row>
    <row r="30" spans="1:33" ht="15" customHeight="1" thickBot="1" x14ac:dyDescent="0.25">
      <c r="A30" s="128" t="s">
        <v>24</v>
      </c>
      <c r="B30" s="64"/>
      <c r="C30" s="75">
        <v>0</v>
      </c>
      <c r="D30" s="9"/>
      <c r="E30" s="104">
        <v>0</v>
      </c>
      <c r="F30" s="114"/>
      <c r="G30" s="145">
        <v>0</v>
      </c>
      <c r="H30" s="96"/>
      <c r="I30" s="150">
        <v>0</v>
      </c>
      <c r="J30" s="114"/>
      <c r="K30" s="150">
        <v>0</v>
      </c>
      <c r="L30" s="114"/>
      <c r="M30" s="145">
        <v>0</v>
      </c>
      <c r="N30" s="416"/>
      <c r="O30" s="436">
        <v>0</v>
      </c>
      <c r="P30" s="416"/>
      <c r="Q30" s="436">
        <v>0</v>
      </c>
      <c r="R30" s="416"/>
      <c r="S30" s="436">
        <v>0</v>
      </c>
      <c r="T30" s="416"/>
      <c r="U30" s="436">
        <v>0</v>
      </c>
      <c r="V30" s="416"/>
      <c r="W30" s="436">
        <v>0</v>
      </c>
      <c r="X30" s="418"/>
      <c r="Y30" s="444">
        <v>0</v>
      </c>
      <c r="Z30" s="418"/>
      <c r="AA30" s="444">
        <v>0</v>
      </c>
      <c r="AB30" s="418"/>
      <c r="AC30" s="445"/>
      <c r="AD30" s="383"/>
      <c r="AE30" s="446"/>
      <c r="AF30" s="447">
        <f t="shared" si="5"/>
        <v>0</v>
      </c>
      <c r="AG30" s="328"/>
    </row>
    <row r="31" spans="1:33" ht="15" customHeight="1" thickTop="1" x14ac:dyDescent="0.2">
      <c r="A31" s="6"/>
      <c r="B31" s="25"/>
      <c r="C31" s="26"/>
      <c r="D31" s="25"/>
      <c r="E31" s="27"/>
      <c r="F31" s="95"/>
      <c r="G31" s="92"/>
      <c r="H31" s="95"/>
      <c r="I31" s="97"/>
      <c r="J31" s="95"/>
      <c r="K31" s="92"/>
      <c r="L31" s="95"/>
      <c r="M31" s="92"/>
      <c r="N31" s="448"/>
      <c r="O31" s="449"/>
      <c r="P31" s="448"/>
      <c r="Q31" s="449"/>
      <c r="R31" s="448"/>
      <c r="S31" s="449"/>
      <c r="T31" s="448"/>
      <c r="U31" s="449"/>
      <c r="V31" s="448"/>
      <c r="W31" s="449"/>
      <c r="X31" s="448"/>
      <c r="Y31" s="449"/>
      <c r="Z31" s="448"/>
      <c r="AA31" s="449"/>
      <c r="AB31" s="448"/>
      <c r="AC31" s="449"/>
      <c r="AD31" s="450"/>
      <c r="AE31" s="451"/>
      <c r="AF31" s="451"/>
      <c r="AG31" s="329"/>
    </row>
    <row r="32" spans="1:33" x14ac:dyDescent="0.2"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</row>
  </sheetData>
  <mergeCells count="54">
    <mergeCell ref="AE21:AF21"/>
    <mergeCell ref="AE28:AF28"/>
    <mergeCell ref="L28:M28"/>
    <mergeCell ref="N28:O28"/>
    <mergeCell ref="P28:Q28"/>
    <mergeCell ref="R28:S28"/>
    <mergeCell ref="T28:U28"/>
    <mergeCell ref="B28:C28"/>
    <mergeCell ref="D28:E28"/>
    <mergeCell ref="F28:G28"/>
    <mergeCell ref="H28:I28"/>
    <mergeCell ref="J28:K28"/>
    <mergeCell ref="AE9:AF9"/>
    <mergeCell ref="T9:U9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X9:Y9"/>
    <mergeCell ref="D9:E9"/>
    <mergeCell ref="B9:C9"/>
    <mergeCell ref="L9:M9"/>
    <mergeCell ref="N9:O9"/>
    <mergeCell ref="R9:S9"/>
    <mergeCell ref="P9:Q9"/>
    <mergeCell ref="J9:K9"/>
    <mergeCell ref="F9:G9"/>
    <mergeCell ref="H9:I9"/>
    <mergeCell ref="AB9:AC9"/>
    <mergeCell ref="AB21:AC21"/>
    <mergeCell ref="AB28:AC28"/>
    <mergeCell ref="V9:W9"/>
    <mergeCell ref="Z9:AA9"/>
    <mergeCell ref="V28:W28"/>
    <mergeCell ref="X28:Y28"/>
    <mergeCell ref="Z28:AA28"/>
    <mergeCell ref="X4:Y4"/>
    <mergeCell ref="Z4:AA4"/>
    <mergeCell ref="AB4:AC4"/>
    <mergeCell ref="AE4:AF4"/>
    <mergeCell ref="N4:O4"/>
    <mergeCell ref="P4:Q4"/>
    <mergeCell ref="R4:S4"/>
    <mergeCell ref="T4:U4"/>
    <mergeCell ref="V4:W4"/>
  </mergeCells>
  <phoneticPr fontId="0" type="noConversion"/>
  <printOptions horizontalCentered="1" verticalCentered="1"/>
  <pageMargins left="0.5" right="0.5" top="0.5" bottom="0.5" header="0.5" footer="0.27"/>
  <pageSetup scale="80" orientation="landscape" horizontalDpi="4294967292" verticalDpi="4294967292" r:id="rId1"/>
  <headerFooter alignWithMargins="0">
    <oddFooter>&amp;LPrepared by Planning and Analysis&amp;C&amp;P of &amp;N&amp;RUdpated &amp;D</oddFooter>
  </headerFooter>
  <rowBreaks count="1" manualBreakCount="1">
    <brk id="31" max="35" man="1"/>
  </rowBreaks>
  <colBreaks count="1" manualBreakCount="1">
    <brk id="29" min="8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tabSelected="1" zoomScale="85" zoomScaleNormal="85" zoomScaleSheetLayoutView="95" workbookViewId="0">
      <pane xSplit="5" topLeftCell="N1" activePane="topRight" state="frozen"/>
      <selection activeCell="A2" sqref="A2"/>
      <selection pane="topRight" activeCell="A2" sqref="A2"/>
    </sheetView>
  </sheetViews>
  <sheetFormatPr defaultColWidth="10.28515625" defaultRowHeight="12.75" x14ac:dyDescent="0.2"/>
  <cols>
    <col min="1" max="1" width="38.85546875" style="1" bestFit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89" hidden="1" customWidth="1"/>
    <col min="7" max="7" width="10.7109375" style="89" hidden="1" customWidth="1"/>
    <col min="8" max="8" width="4.7109375" style="89" hidden="1" customWidth="1"/>
    <col min="9" max="9" width="10.7109375" style="163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hidden="1" customWidth="1"/>
    <col min="15" max="15" width="10.7109375" style="1" hidden="1" customWidth="1"/>
    <col min="16" max="16" width="4.7109375" style="1" hidden="1" customWidth="1"/>
    <col min="17" max="17" width="10.7109375" style="1" hidden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1.7109375" style="1" customWidth="1"/>
    <col min="28" max="28" width="4.7109375" style="1" customWidth="1"/>
    <col min="29" max="29" width="11.85546875" style="1" customWidth="1"/>
    <col min="30" max="30" width="3.28515625" style="1" customWidth="1"/>
    <col min="31" max="31" width="5" style="1" customWidth="1"/>
    <col min="32" max="32" width="12.140625" style="1" customWidth="1"/>
    <col min="33" max="33" width="8" style="1" bestFit="1" customWidth="1"/>
    <col min="34" max="16384" width="10.28515625" style="1"/>
  </cols>
  <sheetData>
    <row r="1" spans="1:33" ht="16.5" customHeight="1" x14ac:dyDescent="0.25">
      <c r="A1" s="333" t="s">
        <v>53</v>
      </c>
      <c r="B1" s="201"/>
      <c r="C1" s="201"/>
      <c r="D1" s="201"/>
      <c r="E1" s="201"/>
      <c r="F1" s="201"/>
      <c r="G1" s="201"/>
      <c r="H1" s="202"/>
      <c r="I1" s="202"/>
      <c r="J1" s="203"/>
      <c r="K1" s="203"/>
      <c r="L1" s="203"/>
      <c r="M1" s="203"/>
    </row>
    <row r="2" spans="1:33" s="5" customFormat="1" ht="15.75" x14ac:dyDescent="0.25">
      <c r="A2" s="333" t="s">
        <v>54</v>
      </c>
      <c r="E2" s="79"/>
      <c r="F2" s="79"/>
      <c r="G2" s="79"/>
      <c r="H2" s="79"/>
      <c r="I2" s="79"/>
      <c r="L2" s="79"/>
      <c r="M2" s="7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5" customFormat="1" ht="15.75" x14ac:dyDescent="0.25">
      <c r="A3" s="333"/>
      <c r="E3" s="79"/>
      <c r="F3" s="79"/>
      <c r="G3" s="79"/>
      <c r="H3" s="79"/>
      <c r="I3" s="79"/>
      <c r="L3" s="79"/>
      <c r="M3" s="79"/>
      <c r="N3" s="24"/>
      <c r="O3" s="80"/>
      <c r="P3" s="24"/>
      <c r="Q3" s="80"/>
      <c r="R3" s="24"/>
      <c r="S3" s="80"/>
      <c r="T3" s="24"/>
      <c r="U3" s="80"/>
      <c r="V3" s="24"/>
      <c r="W3" s="80"/>
      <c r="X3" s="24"/>
      <c r="Y3" s="80"/>
      <c r="Z3" s="24"/>
      <c r="AA3" s="80"/>
      <c r="AB3" s="24"/>
      <c r="AC3" s="80"/>
      <c r="AD3" s="1"/>
      <c r="AG3" s="1"/>
    </row>
    <row r="4" spans="1:33" s="5" customFormat="1" ht="15.75" x14ac:dyDescent="0.25">
      <c r="A4" s="334" t="s">
        <v>56</v>
      </c>
      <c r="E4" s="79"/>
      <c r="F4" s="79"/>
      <c r="G4" s="79"/>
      <c r="H4" s="79"/>
      <c r="I4" s="79"/>
      <c r="L4" s="79"/>
      <c r="M4" s="79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79"/>
      <c r="AE4" s="455"/>
      <c r="AF4" s="464"/>
      <c r="AG4" s="1"/>
    </row>
    <row r="5" spans="1:33" s="5" customFormat="1" ht="12" x14ac:dyDescent="0.2">
      <c r="A5" s="1"/>
      <c r="E5" s="79"/>
      <c r="F5" s="79"/>
      <c r="G5" s="79"/>
      <c r="H5" s="79"/>
      <c r="I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1"/>
    </row>
    <row r="6" spans="1:33" x14ac:dyDescent="0.2">
      <c r="A6" s="2" t="s">
        <v>60</v>
      </c>
      <c r="B6" s="6"/>
      <c r="C6" s="257"/>
      <c r="D6" s="6"/>
      <c r="E6" s="257"/>
      <c r="F6" s="88"/>
      <c r="G6" s="87"/>
      <c r="H6" s="88"/>
      <c r="I6" s="258"/>
      <c r="J6" s="88"/>
      <c r="K6" s="87"/>
      <c r="L6" s="88"/>
      <c r="M6" s="87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3" ht="12" x14ac:dyDescent="0.2">
      <c r="A7" s="337"/>
      <c r="B7" s="5"/>
      <c r="C7" s="5"/>
      <c r="D7" s="5"/>
      <c r="E7" s="5"/>
      <c r="F7" s="79"/>
      <c r="G7" s="79"/>
      <c r="H7" s="79"/>
      <c r="I7" s="81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3" ht="9" customHeight="1" thickBot="1" x14ac:dyDescent="0.25">
      <c r="A8" s="6"/>
      <c r="B8" s="5"/>
      <c r="C8" s="5"/>
      <c r="D8" s="5"/>
      <c r="E8" s="5"/>
      <c r="F8" s="79"/>
      <c r="G8" s="79"/>
      <c r="H8" s="79"/>
      <c r="I8" s="81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E8" s="5"/>
      <c r="AF8" s="5"/>
    </row>
    <row r="9" spans="1:33" ht="39" customHeight="1" thickTop="1" thickBot="1" x14ac:dyDescent="0.25">
      <c r="A9" s="215"/>
      <c r="B9" s="482" t="s">
        <v>8</v>
      </c>
      <c r="C9" s="483"/>
      <c r="D9" s="484" t="s">
        <v>9</v>
      </c>
      <c r="E9" s="484"/>
      <c r="F9" s="463" t="s">
        <v>28</v>
      </c>
      <c r="G9" s="456"/>
      <c r="H9" s="463" t="s">
        <v>29</v>
      </c>
      <c r="I9" s="456"/>
      <c r="J9" s="463" t="s">
        <v>30</v>
      </c>
      <c r="K9" s="456"/>
      <c r="L9" s="463" t="s">
        <v>32</v>
      </c>
      <c r="M9" s="462"/>
      <c r="N9" s="456" t="s">
        <v>34</v>
      </c>
      <c r="O9" s="462"/>
      <c r="P9" s="456" t="s">
        <v>35</v>
      </c>
      <c r="Q9" s="462"/>
      <c r="R9" s="456" t="s">
        <v>39</v>
      </c>
      <c r="S9" s="462"/>
      <c r="T9" s="456" t="s">
        <v>40</v>
      </c>
      <c r="U9" s="462"/>
      <c r="V9" s="456" t="s">
        <v>41</v>
      </c>
      <c r="W9" s="462"/>
      <c r="X9" s="456" t="s">
        <v>42</v>
      </c>
      <c r="Y9" s="462"/>
      <c r="Z9" s="456" t="s">
        <v>43</v>
      </c>
      <c r="AA9" s="462"/>
      <c r="AB9" s="456" t="s">
        <v>59</v>
      </c>
      <c r="AC9" s="457"/>
      <c r="AE9" s="465" t="s">
        <v>33</v>
      </c>
      <c r="AF9" s="466"/>
      <c r="AG9" s="318" t="s">
        <v>50</v>
      </c>
    </row>
    <row r="10" spans="1:33" ht="15" customHeight="1" thickBot="1" x14ac:dyDescent="0.25">
      <c r="A10" s="248" t="s">
        <v>12</v>
      </c>
      <c r="B10" s="277"/>
      <c r="C10" s="278"/>
      <c r="D10" s="4"/>
      <c r="E10" s="4"/>
      <c r="F10" s="279"/>
      <c r="G10" s="338"/>
      <c r="H10" s="338"/>
      <c r="I10" s="338"/>
      <c r="J10" s="279"/>
      <c r="K10" s="338"/>
      <c r="L10" s="279"/>
      <c r="M10" s="281"/>
      <c r="N10" s="378"/>
      <c r="O10" s="281"/>
      <c r="P10" s="378"/>
      <c r="Q10" s="281"/>
      <c r="R10" s="378"/>
      <c r="S10" s="281"/>
      <c r="T10" s="378"/>
      <c r="U10" s="281"/>
      <c r="V10" s="378"/>
      <c r="W10" s="281"/>
      <c r="X10" s="378"/>
      <c r="Y10" s="281"/>
      <c r="Z10" s="378"/>
      <c r="AA10" s="281"/>
      <c r="AB10" s="378"/>
      <c r="AC10" s="282"/>
      <c r="AE10" s="339"/>
      <c r="AF10" s="340"/>
      <c r="AG10" s="319"/>
    </row>
    <row r="11" spans="1:33" ht="15" customHeight="1" x14ac:dyDescent="0.2">
      <c r="A11" s="121" t="s">
        <v>13</v>
      </c>
      <c r="B11" s="40"/>
      <c r="C11" s="41"/>
      <c r="D11" s="13"/>
      <c r="E11" s="13"/>
      <c r="F11" s="78"/>
      <c r="G11" s="129"/>
      <c r="H11" s="82"/>
      <c r="I11" s="153"/>
      <c r="J11" s="83"/>
      <c r="K11" s="82"/>
      <c r="L11" s="78"/>
      <c r="M11" s="85"/>
      <c r="N11" s="398"/>
      <c r="O11" s="452"/>
      <c r="P11" s="398"/>
      <c r="Q11" s="452"/>
      <c r="R11" s="398"/>
      <c r="S11" s="452"/>
      <c r="T11" s="398"/>
      <c r="U11" s="452"/>
      <c r="V11" s="398"/>
      <c r="W11" s="452"/>
      <c r="X11" s="398"/>
      <c r="Y11" s="452"/>
      <c r="Z11" s="398"/>
      <c r="AA11" s="452"/>
      <c r="AB11" s="398"/>
      <c r="AC11" s="453"/>
      <c r="AD11" s="383"/>
      <c r="AE11" s="411"/>
      <c r="AF11" s="454"/>
      <c r="AG11" s="186"/>
    </row>
    <row r="12" spans="1:33" ht="15" customHeight="1" x14ac:dyDescent="0.2">
      <c r="A12" s="118" t="s">
        <v>14</v>
      </c>
      <c r="B12" s="39"/>
      <c r="C12" s="42"/>
      <c r="D12" s="12"/>
      <c r="E12" s="66"/>
      <c r="F12" s="83"/>
      <c r="G12" s="130"/>
      <c r="H12" s="82"/>
      <c r="I12" s="154"/>
      <c r="J12" s="83"/>
      <c r="K12" s="99"/>
      <c r="L12" s="83"/>
      <c r="M12" s="130">
        <f>Dean_Tech!I12+Aviation!M12+Arts_Sci_Bus!M12+'Eng Technology'!M12</f>
        <v>6075935</v>
      </c>
      <c r="N12" s="380"/>
      <c r="O12" s="381">
        <f>Dean_Tech!K12+Aviation!O12+Arts_Sci_Bus!O12+'Eng Technology'!O12</f>
        <v>5957193</v>
      </c>
      <c r="P12" s="380"/>
      <c r="Q12" s="381">
        <f>Dean_Tech!M12+Aviation!Q12+Arts_Sci_Bus!Q12+'Eng Technology'!Q12</f>
        <v>5973843</v>
      </c>
      <c r="R12" s="380"/>
      <c r="S12" s="381">
        <f>Dean_Tech!O12+Aviation!S12+Arts_Sci_Bus!S12+'Eng Technology'!S12</f>
        <v>6066828</v>
      </c>
      <c r="T12" s="380"/>
      <c r="U12" s="381">
        <f>Dean_Tech!Q12+Aviation!U12+Arts_Sci_Bus!U12+'Eng Technology'!U12</f>
        <v>6615585</v>
      </c>
      <c r="V12" s="380"/>
      <c r="W12" s="381">
        <f>Dean_Tech!S12+Aviation!W12+Arts_Sci_Bus!W12+'Eng Technology'!W12</f>
        <v>6986360</v>
      </c>
      <c r="X12" s="380"/>
      <c r="Y12" s="381">
        <f>Dean_Tech!U12+Aviation!Y12+Arts_Sci_Bus!Y12+'Eng Technology'!Y12</f>
        <v>7286805</v>
      </c>
      <c r="Z12" s="380"/>
      <c r="AA12" s="381">
        <f>Dean_Tech!W12+Aviation!AA12+Arts_Sci_Bus!AA12+'Eng Technology'!AA12</f>
        <v>7240321</v>
      </c>
      <c r="AB12" s="380"/>
      <c r="AC12" s="382">
        <f>Dean_Tech!Y12+Aviation!AC12+Arts_Sci_Bus!AC12+'Eng Technology'!AC12</f>
        <v>6945122</v>
      </c>
      <c r="AD12" s="383"/>
      <c r="AE12" s="384"/>
      <c r="AF12" s="385">
        <f>AVERAGE(W12,U12,AC12,AA12,Y12)</f>
        <v>7014838.5999999996</v>
      </c>
      <c r="AG12" s="320">
        <f>+(AA12-S12)/S12</f>
        <v>0.19342776818462629</v>
      </c>
    </row>
    <row r="13" spans="1:33" ht="15" customHeight="1" x14ac:dyDescent="0.2">
      <c r="A13" s="118" t="s">
        <v>36</v>
      </c>
      <c r="B13" s="39"/>
      <c r="C13" s="42"/>
      <c r="D13" s="12"/>
      <c r="E13" s="66"/>
      <c r="F13" s="83"/>
      <c r="G13" s="130"/>
      <c r="H13" s="82"/>
      <c r="I13" s="154"/>
      <c r="J13" s="83"/>
      <c r="K13" s="99"/>
      <c r="L13" s="83"/>
      <c r="M13" s="130">
        <f>Dean_Tech!I13+Aviation!M13+Arts_Sci_Bus!M13+'Eng Technology'!M13</f>
        <v>10000</v>
      </c>
      <c r="N13" s="380"/>
      <c r="O13" s="381">
        <f>Dean_Tech!K13+Aviation!O13+Arts_Sci_Bus!O13+'Eng Technology'!O13</f>
        <v>10000</v>
      </c>
      <c r="P13" s="380"/>
      <c r="Q13" s="381">
        <f>Dean_Tech!M13+Aviation!Q13+Arts_Sci_Bus!Q13+'Eng Technology'!Q13</f>
        <v>10000</v>
      </c>
      <c r="R13" s="380"/>
      <c r="S13" s="381">
        <f>Dean_Tech!O13+Aviation!S13+Arts_Sci_Bus!S13+'Eng Technology'!S13</f>
        <v>5000</v>
      </c>
      <c r="T13" s="380"/>
      <c r="U13" s="381">
        <f>Dean_Tech!Q13+Aviation!U13+Arts_Sci_Bus!U13+'Eng Technology'!U13</f>
        <v>5000</v>
      </c>
      <c r="V13" s="380"/>
      <c r="W13" s="381">
        <f>Dean_Tech!S13+Aviation!W13+Arts_Sci_Bus!W13+'Eng Technology'!W13</f>
        <v>5000</v>
      </c>
      <c r="X13" s="380"/>
      <c r="Y13" s="381">
        <f>Dean_Tech!U13+Aviation!Y13+Arts_Sci_Bus!Y13+'Eng Technology'!Y13</f>
        <v>5000</v>
      </c>
      <c r="Z13" s="380"/>
      <c r="AA13" s="381">
        <f>Dean_Tech!W13+Aviation!AA13+Arts_Sci_Bus!AA13+'Eng Technology'!AA13</f>
        <v>0</v>
      </c>
      <c r="AB13" s="380"/>
      <c r="AC13" s="382">
        <f>Dean_Tech!Y13+Aviation!AC13+Arts_Sci_Bus!AC13+'Eng Technology'!AC13</f>
        <v>0</v>
      </c>
      <c r="AD13" s="383"/>
      <c r="AE13" s="384"/>
      <c r="AF13" s="385">
        <f>AVERAGE(W13,U13,AC13,AA13,Y13)</f>
        <v>3000</v>
      </c>
      <c r="AG13" s="320"/>
    </row>
    <row r="14" spans="1:33" ht="24.75" thickBot="1" x14ac:dyDescent="0.25">
      <c r="A14" s="286" t="s">
        <v>37</v>
      </c>
      <c r="B14" s="46"/>
      <c r="C14" s="287"/>
      <c r="D14" s="271"/>
      <c r="E14" s="370"/>
      <c r="F14" s="290"/>
      <c r="G14" s="291"/>
      <c r="H14" s="371"/>
      <c r="I14" s="372"/>
      <c r="J14" s="290"/>
      <c r="K14" s="373"/>
      <c r="L14" s="290"/>
      <c r="M14" s="130">
        <f>Dean_Tech!I14+Aviation!M14+Arts_Sci_Bus!M14+'Eng Technology'!M14</f>
        <v>3694167</v>
      </c>
      <c r="N14" s="386"/>
      <c r="O14" s="387">
        <f>Dean_Tech!K14+Aviation!O14+Arts_Sci_Bus!O14+'Eng Technology'!O14</f>
        <v>3673474</v>
      </c>
      <c r="P14" s="386"/>
      <c r="Q14" s="387">
        <f>Dean_Tech!M14+Aviation!Q14+Arts_Sci_Bus!Q14+'Eng Technology'!Q14</f>
        <v>2745105</v>
      </c>
      <c r="R14" s="386"/>
      <c r="S14" s="387">
        <f>Dean_Tech!O14+Aviation!S14+Arts_Sci_Bus!S14+'Eng Technology'!S14</f>
        <v>2838134</v>
      </c>
      <c r="T14" s="386"/>
      <c r="U14" s="387">
        <f>Dean_Tech!Q14+Aviation!U14+Arts_Sci_Bus!U14+'Eng Technology'!U14</f>
        <v>2627268</v>
      </c>
      <c r="V14" s="386"/>
      <c r="W14" s="387">
        <f>Dean_Tech!S14+Aviation!W14+Arts_Sci_Bus!W14+'Eng Technology'!W14</f>
        <v>2635594</v>
      </c>
      <c r="X14" s="386"/>
      <c r="Y14" s="387">
        <f>Dean_Tech!U14+Aviation!Y14+Arts_Sci_Bus!Y14+'Eng Technology'!Y14</f>
        <v>2650116</v>
      </c>
      <c r="Z14" s="386"/>
      <c r="AA14" s="387">
        <f>Dean_Tech!W14+Aviation!AA14+Arts_Sci_Bus!AA14+'Eng Technology'!AA14</f>
        <v>3367368</v>
      </c>
      <c r="AB14" s="386"/>
      <c r="AC14" s="388">
        <f>Dean_Tech!Y14+Aviation!AC14+Arts_Sci_Bus!AC14+'Eng Technology'!AC14</f>
        <v>3789601</v>
      </c>
      <c r="AD14" s="383"/>
      <c r="AE14" s="389"/>
      <c r="AF14" s="390">
        <f>AVERAGE(W14,U14,AC14,AA14,Y14)</f>
        <v>3013989.4</v>
      </c>
      <c r="AG14" s="320">
        <f t="shared" ref="AG14" si="0">+(AA14-S14)/S14</f>
        <v>0.18647252032497408</v>
      </c>
    </row>
    <row r="15" spans="1:33" ht="18.75" customHeight="1" thickBot="1" x14ac:dyDescent="0.25">
      <c r="A15" s="295" t="s">
        <v>15</v>
      </c>
      <c r="B15" s="296"/>
      <c r="C15" s="297"/>
      <c r="D15" s="298"/>
      <c r="E15" s="299"/>
      <c r="F15" s="300"/>
      <c r="G15" s="301"/>
      <c r="H15" s="302"/>
      <c r="I15" s="363"/>
      <c r="J15" s="300"/>
      <c r="K15" s="303"/>
      <c r="L15" s="300"/>
      <c r="M15" s="301">
        <f>SUM(M12:M14)</f>
        <v>9780102</v>
      </c>
      <c r="N15" s="391"/>
      <c r="O15" s="392">
        <f>SUM(O12:O14)</f>
        <v>9640667</v>
      </c>
      <c r="P15" s="391"/>
      <c r="Q15" s="392">
        <f>SUM(Q12:Q14)</f>
        <v>8728948</v>
      </c>
      <c r="R15" s="391"/>
      <c r="S15" s="392">
        <f>SUM(S12:S14)</f>
        <v>8909962</v>
      </c>
      <c r="T15" s="391"/>
      <c r="U15" s="392">
        <f>SUM(U12:U14)</f>
        <v>9247853</v>
      </c>
      <c r="V15" s="391"/>
      <c r="W15" s="392">
        <f>SUM(W12:W14)</f>
        <v>9626954</v>
      </c>
      <c r="X15" s="391"/>
      <c r="Y15" s="392">
        <f>SUM(Y12:Y14)</f>
        <v>9941921</v>
      </c>
      <c r="Z15" s="391"/>
      <c r="AA15" s="392">
        <f>SUM(AA12:AA14)</f>
        <v>10607689</v>
      </c>
      <c r="AB15" s="391"/>
      <c r="AC15" s="393">
        <f>SUM(AC12:AC14)</f>
        <v>10734723</v>
      </c>
      <c r="AD15" s="383"/>
      <c r="AE15" s="394"/>
      <c r="AF15" s="395">
        <f>AVERAGE(W15,U15,AC15,AA15,Y15)</f>
        <v>10031828</v>
      </c>
      <c r="AG15" s="321">
        <f>+(AA15-S15)/S15</f>
        <v>0.19054256348119106</v>
      </c>
    </row>
    <row r="16" spans="1:33" ht="15" customHeight="1" x14ac:dyDescent="0.2">
      <c r="A16" s="216" t="s">
        <v>16</v>
      </c>
      <c r="B16" s="39"/>
      <c r="C16" s="42"/>
      <c r="D16" s="12"/>
      <c r="E16" s="66"/>
      <c r="F16" s="83"/>
      <c r="G16" s="130"/>
      <c r="H16" s="82"/>
      <c r="I16" s="154"/>
      <c r="J16" s="83"/>
      <c r="K16" s="99"/>
      <c r="L16" s="83"/>
      <c r="M16" s="130"/>
      <c r="N16" s="380"/>
      <c r="O16" s="381"/>
      <c r="P16" s="380"/>
      <c r="Q16" s="381"/>
      <c r="R16" s="380"/>
      <c r="S16" s="381"/>
      <c r="T16" s="380"/>
      <c r="U16" s="381"/>
      <c r="V16" s="380"/>
      <c r="W16" s="381"/>
      <c r="X16" s="380"/>
      <c r="Y16" s="381"/>
      <c r="Z16" s="380"/>
      <c r="AA16" s="381"/>
      <c r="AB16" s="380"/>
      <c r="AC16" s="382"/>
      <c r="AD16" s="383"/>
      <c r="AE16" s="396"/>
      <c r="AF16" s="397"/>
      <c r="AG16" s="294"/>
    </row>
    <row r="17" spans="1:33" ht="15" customHeight="1" x14ac:dyDescent="0.2">
      <c r="A17" s="118" t="s">
        <v>14</v>
      </c>
      <c r="B17" s="40"/>
      <c r="C17" s="43"/>
      <c r="D17" s="13"/>
      <c r="E17" s="67"/>
      <c r="F17" s="78"/>
      <c r="G17" s="132"/>
      <c r="H17" s="34"/>
      <c r="I17" s="155"/>
      <c r="J17" s="78"/>
      <c r="K17" s="146"/>
      <c r="L17" s="78"/>
      <c r="M17" s="132">
        <f>Dean_Tech!I17+Aviation!M17+Arts_Sci_Bus!M17+'Eng Technology'!M17</f>
        <v>0</v>
      </c>
      <c r="N17" s="398"/>
      <c r="O17" s="399">
        <f>Dean_Tech!K17+Aviation!O17+Arts_Sci_Bus!O17+'Eng Technology'!O17</f>
        <v>0</v>
      </c>
      <c r="P17" s="398"/>
      <c r="Q17" s="399">
        <f>Dean_Tech!M17+Aviation!Q17+Arts_Sci_Bus!Q17+'Eng Technology'!Q17</f>
        <v>0</v>
      </c>
      <c r="R17" s="398"/>
      <c r="S17" s="399">
        <f>Dean_Tech!O17+Aviation!S17+Arts_Sci_Bus!S17+'Eng Technology'!S17</f>
        <v>0</v>
      </c>
      <c r="T17" s="398"/>
      <c r="U17" s="399">
        <f>Dean_Tech!Q17+Aviation!U17+Arts_Sci_Bus!U17+'Eng Technology'!U17</f>
        <v>0</v>
      </c>
      <c r="V17" s="398"/>
      <c r="W17" s="399">
        <f>Dean_Tech!S17+Aviation!W17+Arts_Sci_Bus!W17+'Eng Technology'!W17</f>
        <v>0</v>
      </c>
      <c r="X17" s="398"/>
      <c r="Y17" s="399">
        <f>Dean_Tech!U17+Aviation!Y17+Arts_Sci_Bus!Y17+'Eng Technology'!Y17</f>
        <v>0</v>
      </c>
      <c r="Z17" s="398"/>
      <c r="AA17" s="399">
        <f>Dean_Tech!W17+Aviation!AA17+Arts_Sci_Bus!AA17+'Eng Technology'!AA17</f>
        <v>0</v>
      </c>
      <c r="AB17" s="398"/>
      <c r="AC17" s="400">
        <f>Dean_Tech!Y17+Aviation!AC17+Arts_Sci_Bus!AC17+'Eng Technology'!AC17</f>
        <v>0</v>
      </c>
      <c r="AD17" s="383"/>
      <c r="AE17" s="384"/>
      <c r="AF17" s="385"/>
      <c r="AG17" s="320"/>
    </row>
    <row r="18" spans="1:33" ht="24.75" thickBot="1" x14ac:dyDescent="0.25">
      <c r="A18" s="286" t="s">
        <v>20</v>
      </c>
      <c r="B18" s="46"/>
      <c r="C18" s="287"/>
      <c r="D18" s="271"/>
      <c r="E18" s="370"/>
      <c r="F18" s="290"/>
      <c r="G18" s="291"/>
      <c r="H18" s="371"/>
      <c r="I18" s="372"/>
      <c r="J18" s="290"/>
      <c r="K18" s="373"/>
      <c r="L18" s="290"/>
      <c r="M18" s="132">
        <f>Dean_Tech!I18+Aviation!M18+Arts_Sci_Bus!M18+'Eng Technology'!M18</f>
        <v>0</v>
      </c>
      <c r="N18" s="386"/>
      <c r="O18" s="387">
        <f>Dean_Tech!K18+Aviation!O18+Arts_Sci_Bus!O18+'Eng Technology'!O18</f>
        <v>0</v>
      </c>
      <c r="P18" s="386"/>
      <c r="Q18" s="387">
        <f>Dean_Tech!M18+Aviation!Q18+Arts_Sci_Bus!Q18+'Eng Technology'!Q18</f>
        <v>0</v>
      </c>
      <c r="R18" s="386"/>
      <c r="S18" s="387">
        <f>Dean_Tech!O18+Aviation!S18+Arts_Sci_Bus!S18+'Eng Technology'!S18</f>
        <v>0</v>
      </c>
      <c r="T18" s="386"/>
      <c r="U18" s="387">
        <f>Dean_Tech!Q18+Aviation!U18+Arts_Sci_Bus!U18+'Eng Technology'!U18</f>
        <v>0</v>
      </c>
      <c r="V18" s="386"/>
      <c r="W18" s="387">
        <f>Dean_Tech!S18+Aviation!W18+Arts_Sci_Bus!W18+'Eng Technology'!W18</f>
        <v>0</v>
      </c>
      <c r="X18" s="386"/>
      <c r="Y18" s="387">
        <f>Dean_Tech!U18+Aviation!Y18+Arts_Sci_Bus!Y18+'Eng Technology'!Y18</f>
        <v>0</v>
      </c>
      <c r="Z18" s="386"/>
      <c r="AA18" s="387">
        <f>Dean_Tech!W18+Aviation!AA18+Arts_Sci_Bus!AA18+'Eng Technology'!AA18</f>
        <v>0</v>
      </c>
      <c r="AB18" s="386"/>
      <c r="AC18" s="388">
        <f>Dean_Tech!Y18+Aviation!AC18+Arts_Sci_Bus!AC18+'Eng Technology'!AC18</f>
        <v>0</v>
      </c>
      <c r="AD18" s="383"/>
      <c r="AE18" s="401"/>
      <c r="AF18" s="402"/>
      <c r="AG18" s="322"/>
    </row>
    <row r="19" spans="1:33" ht="18.75" customHeight="1" thickBot="1" x14ac:dyDescent="0.25">
      <c r="A19" s="295" t="s">
        <v>17</v>
      </c>
      <c r="B19" s="296"/>
      <c r="C19" s="297"/>
      <c r="D19" s="298"/>
      <c r="E19" s="299"/>
      <c r="F19" s="300"/>
      <c r="G19" s="301"/>
      <c r="H19" s="302"/>
      <c r="I19" s="363"/>
      <c r="J19" s="300"/>
      <c r="K19" s="303"/>
      <c r="L19" s="300"/>
      <c r="M19" s="301">
        <f>SUM(M17:M18)</f>
        <v>0</v>
      </c>
      <c r="N19" s="391"/>
      <c r="O19" s="392">
        <f>SUM(O17:O18)</f>
        <v>0</v>
      </c>
      <c r="P19" s="391"/>
      <c r="Q19" s="392">
        <f>SUM(Q17:Q18)</f>
        <v>0</v>
      </c>
      <c r="R19" s="391"/>
      <c r="S19" s="392">
        <f>SUM(S17:S18)</f>
        <v>0</v>
      </c>
      <c r="T19" s="391"/>
      <c r="U19" s="392">
        <f>SUM(U17:U18)</f>
        <v>0</v>
      </c>
      <c r="V19" s="391"/>
      <c r="W19" s="392">
        <f>SUM(W17:W18)</f>
        <v>0</v>
      </c>
      <c r="X19" s="391"/>
      <c r="Y19" s="392">
        <f>SUM(Y17:Y18)</f>
        <v>0</v>
      </c>
      <c r="Z19" s="391"/>
      <c r="AA19" s="392">
        <f>SUM(AA17:AA18)</f>
        <v>0</v>
      </c>
      <c r="AB19" s="391"/>
      <c r="AC19" s="393">
        <f>SUM(AC17:AC18)</f>
        <v>0</v>
      </c>
      <c r="AD19" s="383"/>
      <c r="AE19" s="394"/>
      <c r="AF19" s="395"/>
      <c r="AG19" s="326"/>
    </row>
    <row r="20" spans="1:33" ht="18.75" customHeight="1" thickBot="1" x14ac:dyDescent="0.25">
      <c r="A20" s="353" t="s">
        <v>18</v>
      </c>
      <c r="B20" s="354"/>
      <c r="C20" s="355"/>
      <c r="D20" s="356"/>
      <c r="E20" s="357"/>
      <c r="F20" s="358"/>
      <c r="G20" s="359"/>
      <c r="H20" s="360"/>
      <c r="I20" s="361"/>
      <c r="J20" s="358"/>
      <c r="K20" s="362"/>
      <c r="L20" s="358"/>
      <c r="M20" s="359">
        <f>SUM(M15,M19)</f>
        <v>9780102</v>
      </c>
      <c r="N20" s="403"/>
      <c r="O20" s="404">
        <f>SUM(O15,O19)</f>
        <v>9640667</v>
      </c>
      <c r="P20" s="403"/>
      <c r="Q20" s="404">
        <f>SUM(Q15,Q19)</f>
        <v>8728948</v>
      </c>
      <c r="R20" s="403"/>
      <c r="S20" s="404">
        <f>SUM(S15,S19)</f>
        <v>8909962</v>
      </c>
      <c r="T20" s="403"/>
      <c r="U20" s="404">
        <f>SUM(U15,U19)</f>
        <v>9247853</v>
      </c>
      <c r="V20" s="403"/>
      <c r="W20" s="404">
        <f>SUM(W15,W19)</f>
        <v>9626954</v>
      </c>
      <c r="X20" s="403"/>
      <c r="Y20" s="404">
        <f>SUM(Y15,Y19)</f>
        <v>9941921</v>
      </c>
      <c r="Z20" s="403"/>
      <c r="AA20" s="404">
        <f>SUM(AA15,AA19)</f>
        <v>10607689</v>
      </c>
      <c r="AB20" s="403"/>
      <c r="AC20" s="405">
        <f>SUM(AC15,AC19)</f>
        <v>10734723</v>
      </c>
      <c r="AD20" s="383"/>
      <c r="AE20" s="406"/>
      <c r="AF20" s="385">
        <f>AVERAGE(W20,U20,AC20,AA20,Y20)</f>
        <v>10031828</v>
      </c>
      <c r="AG20" s="323">
        <f>+(AA20-S20)/S20</f>
        <v>0.19054256348119106</v>
      </c>
    </row>
    <row r="21" spans="1:33" ht="18" customHeight="1" thickBot="1" x14ac:dyDescent="0.25">
      <c r="A21" s="19" t="s">
        <v>44</v>
      </c>
      <c r="B21" s="485"/>
      <c r="C21" s="486"/>
      <c r="D21" s="487"/>
      <c r="E21" s="487"/>
      <c r="F21" s="473"/>
      <c r="G21" s="475"/>
      <c r="H21" s="473"/>
      <c r="I21" s="475"/>
      <c r="J21" s="473"/>
      <c r="K21" s="475"/>
      <c r="L21" s="490"/>
      <c r="M21" s="491"/>
      <c r="N21" s="458"/>
      <c r="O21" s="471"/>
      <c r="P21" s="458"/>
      <c r="Q21" s="471"/>
      <c r="R21" s="458"/>
      <c r="S21" s="471"/>
      <c r="T21" s="458"/>
      <c r="U21" s="471"/>
      <c r="V21" s="458"/>
      <c r="W21" s="471"/>
      <c r="X21" s="458"/>
      <c r="Y21" s="471"/>
      <c r="Z21" s="458"/>
      <c r="AA21" s="471"/>
      <c r="AB21" s="458"/>
      <c r="AC21" s="459"/>
      <c r="AD21" s="383"/>
      <c r="AE21" s="467"/>
      <c r="AF21" s="468"/>
      <c r="AG21" s="327"/>
    </row>
    <row r="22" spans="1:33" ht="15" customHeight="1" x14ac:dyDescent="0.2">
      <c r="A22" s="118" t="s">
        <v>61</v>
      </c>
      <c r="B22" s="49"/>
      <c r="C22" s="50"/>
      <c r="D22" s="11"/>
      <c r="E22" s="14"/>
      <c r="F22" s="107"/>
      <c r="G22" s="98"/>
      <c r="H22" s="35"/>
      <c r="I22" s="158"/>
      <c r="J22" s="107"/>
      <c r="K22" s="143"/>
      <c r="L22" s="113"/>
      <c r="M22" s="273">
        <f>Dean_Tech!I22+Aviation!M22+Arts_Sci_Bus!M22+'Eng Technology'!M22</f>
        <v>4632545</v>
      </c>
      <c r="N22" s="380"/>
      <c r="O22" s="407">
        <f>Dean_Tech!K22+Aviation!O22+Arts_Sci_Bus!O22+'Eng Technology'!O22</f>
        <v>4802696</v>
      </c>
      <c r="P22" s="380"/>
      <c r="Q22" s="407">
        <f>Dean_Tech!M22+Aviation!Q22+Arts_Sci_Bus!Q22+'Eng Technology'!Q22</f>
        <v>4881451</v>
      </c>
      <c r="R22" s="380"/>
      <c r="S22" s="407">
        <f>Dean_Tech!O22+Aviation!S22+Arts_Sci_Bus!S22+'Eng Technology'!S22</f>
        <v>5961515.6960642096</v>
      </c>
      <c r="T22" s="380"/>
      <c r="U22" s="407">
        <f>Dean_Tech!Q22+Aviation!U22+Arts_Sci_Bus!U22+'Eng Technology'!U22</f>
        <v>5946526</v>
      </c>
      <c r="V22" s="380"/>
      <c r="W22" s="407">
        <f>Dean_Tech!S22+Aviation!W22+Arts_Sci_Bus!W22+'Eng Technology'!W22</f>
        <v>6279733.7199999997</v>
      </c>
      <c r="X22" s="408"/>
      <c r="Y22" s="409">
        <f>Dean_Tech!U22+Aviation!Y22+Arts_Sci_Bus!Y22+'Eng Technology'!Y22</f>
        <v>6157457</v>
      </c>
      <c r="Z22" s="408"/>
      <c r="AA22" s="409">
        <f>Dean_Tech!W22+Aviation!AA22+Arts_Sci_Bus!AA22+'Eng Technology'!AA22</f>
        <v>5966180</v>
      </c>
      <c r="AB22" s="408"/>
      <c r="AC22" s="410"/>
      <c r="AD22" s="383"/>
      <c r="AE22" s="411"/>
      <c r="AF22" s="385">
        <f>AVERAGE(W22,U22,S22,AA22,Y22)</f>
        <v>6062282.4832128417</v>
      </c>
      <c r="AG22" s="324">
        <f>+(AA22-S22)/S22</f>
        <v>7.8240235765374339E-4</v>
      </c>
    </row>
    <row r="23" spans="1:33" ht="15" customHeight="1" x14ac:dyDescent="0.2">
      <c r="A23" s="118" t="s">
        <v>45</v>
      </c>
      <c r="B23" s="56"/>
      <c r="C23" s="230"/>
      <c r="D23" s="374"/>
      <c r="E23" s="375"/>
      <c r="F23" s="110"/>
      <c r="G23" s="259"/>
      <c r="H23" s="376"/>
      <c r="I23" s="250"/>
      <c r="J23" s="376"/>
      <c r="K23" s="250"/>
      <c r="L23" s="376"/>
      <c r="M23" s="273">
        <f>Dean_Tech!I23+Aviation!M23+Arts_Sci_Bus!M23+'Eng Technology'!M23</f>
        <v>245463.02000000002</v>
      </c>
      <c r="N23" s="386"/>
      <c r="O23" s="412">
        <f>Dean_Tech!K23+Aviation!O23+Arts_Sci_Bus!O23+'Eng Technology'!O23</f>
        <v>425519.66000000003</v>
      </c>
      <c r="P23" s="386"/>
      <c r="Q23" s="412">
        <f>Dean_Tech!M23+Aviation!Q23+Arts_Sci_Bus!Q23+'Eng Technology'!Q23</f>
        <v>915866.41000000015</v>
      </c>
      <c r="R23" s="386"/>
      <c r="S23" s="412">
        <f>Dean_Tech!O23+Aviation!S23+Arts_Sci_Bus!S23+'Eng Technology'!S23</f>
        <v>712389.8600000001</v>
      </c>
      <c r="T23" s="386"/>
      <c r="U23" s="412">
        <f>Dean_Tech!Q23+Aviation!U23+Arts_Sci_Bus!U23+'Eng Technology'!U23</f>
        <v>725690.5</v>
      </c>
      <c r="V23" s="386"/>
      <c r="W23" s="412">
        <f>Dean_Tech!S23+Aviation!W23+Arts_Sci_Bus!W23+'Eng Technology'!W23</f>
        <v>782073.68</v>
      </c>
      <c r="X23" s="413"/>
      <c r="Y23" s="414">
        <f>Dean_Tech!U23+Aviation!Y23+Arts_Sci_Bus!Y23+'Eng Technology'!Y23</f>
        <v>658152</v>
      </c>
      <c r="Z23" s="413"/>
      <c r="AA23" s="414">
        <f>Dean_Tech!W23+Aviation!AA23+Arts_Sci_Bus!AA23+'Eng Technology'!AA23</f>
        <v>1031866</v>
      </c>
      <c r="AB23" s="413"/>
      <c r="AC23" s="415"/>
      <c r="AD23" s="383"/>
      <c r="AE23" s="411"/>
      <c r="AF23" s="385">
        <f t="shared" ref="AF23" si="1">AVERAGE(W23,U23,S23,AA23,Y23)</f>
        <v>782034.40800000005</v>
      </c>
      <c r="AG23" s="324">
        <f t="shared" ref="AG23" si="2">+(AA23-S23)/S23</f>
        <v>0.44845688847957471</v>
      </c>
    </row>
    <row r="24" spans="1:33" ht="15" customHeight="1" thickBot="1" x14ac:dyDescent="0.25">
      <c r="A24" s="128" t="s">
        <v>46</v>
      </c>
      <c r="B24" s="260"/>
      <c r="C24" s="65"/>
      <c r="D24" s="233"/>
      <c r="E24" s="233"/>
      <c r="F24" s="261"/>
      <c r="G24" s="252"/>
      <c r="H24" s="262"/>
      <c r="I24" s="254"/>
      <c r="J24" s="262"/>
      <c r="K24" s="254"/>
      <c r="L24" s="262"/>
      <c r="M24" s="254"/>
      <c r="N24" s="416"/>
      <c r="O24" s="417">
        <f>Dean_Tech!K24+Aviation!O24+Arts_Sci_Bus!O24+'Eng Technology'!O24</f>
        <v>0</v>
      </c>
      <c r="P24" s="416"/>
      <c r="Q24" s="417">
        <f>Dean_Tech!M24+Aviation!Q24+Arts_Sci_Bus!Q24+'Eng Technology'!Q24</f>
        <v>0</v>
      </c>
      <c r="R24" s="416"/>
      <c r="S24" s="417">
        <f>Dean_Tech!O24+Aviation!S24+Arts_Sci_Bus!S24+'Eng Technology'!S24</f>
        <v>0</v>
      </c>
      <c r="T24" s="416"/>
      <c r="U24" s="417">
        <f>Dean_Tech!Q24+Aviation!U24+Arts_Sci_Bus!U24+'Eng Technology'!U24</f>
        <v>0</v>
      </c>
      <c r="V24" s="416"/>
      <c r="W24" s="417">
        <f>Dean_Tech!S24+Aviation!W24+Arts_Sci_Bus!W24+'Eng Technology'!W24</f>
        <v>0</v>
      </c>
      <c r="X24" s="416"/>
      <c r="Y24" s="417">
        <f>Dean_Tech!U24+Aviation!Y24+Arts_Sci_Bus!Y24+'Eng Technology'!Y24</f>
        <v>500</v>
      </c>
      <c r="Z24" s="416"/>
      <c r="AA24" s="417">
        <f>Dean_Tech!W24+Aviation!AA24+Arts_Sci_Bus!AA24+'Eng Technology'!AA24</f>
        <v>17085</v>
      </c>
      <c r="AB24" s="418"/>
      <c r="AC24" s="420"/>
      <c r="AD24" s="383"/>
      <c r="AE24" s="421"/>
      <c r="AF24" s="385">
        <f t="shared" ref="AF24" si="3">AVERAGE(W24,U24,S24,AA24,Y24)</f>
        <v>3517</v>
      </c>
      <c r="AG24" s="325">
        <v>1</v>
      </c>
    </row>
    <row r="25" spans="1:33" ht="18" customHeight="1" thickTop="1" x14ac:dyDescent="0.2">
      <c r="A25" s="314" t="s">
        <v>47</v>
      </c>
      <c r="B25" s="235"/>
      <c r="C25" s="236"/>
      <c r="D25" s="237"/>
      <c r="E25" s="238"/>
      <c r="F25" s="239"/>
      <c r="G25" s="240"/>
      <c r="H25" s="241"/>
      <c r="I25" s="263"/>
      <c r="J25" s="239"/>
      <c r="K25" s="242"/>
      <c r="L25" s="366" t="s">
        <v>25</v>
      </c>
      <c r="M25" s="347" t="s">
        <v>27</v>
      </c>
      <c r="N25" s="422" t="s">
        <v>25</v>
      </c>
      <c r="O25" s="423" t="s">
        <v>27</v>
      </c>
      <c r="P25" s="422" t="s">
        <v>25</v>
      </c>
      <c r="Q25" s="423" t="s">
        <v>27</v>
      </c>
      <c r="R25" s="422" t="s">
        <v>25</v>
      </c>
      <c r="S25" s="423" t="s">
        <v>27</v>
      </c>
      <c r="T25" s="422" t="s">
        <v>25</v>
      </c>
      <c r="U25" s="423" t="s">
        <v>27</v>
      </c>
      <c r="V25" s="422" t="s">
        <v>25</v>
      </c>
      <c r="W25" s="423" t="s">
        <v>27</v>
      </c>
      <c r="X25" s="424" t="s">
        <v>25</v>
      </c>
      <c r="Y25" s="425" t="s">
        <v>27</v>
      </c>
      <c r="Z25" s="424" t="s">
        <v>25</v>
      </c>
      <c r="AA25" s="425" t="s">
        <v>27</v>
      </c>
      <c r="AB25" s="424" t="s">
        <v>25</v>
      </c>
      <c r="AC25" s="426" t="s">
        <v>27</v>
      </c>
      <c r="AD25" s="427"/>
      <c r="AE25" s="428" t="s">
        <v>25</v>
      </c>
      <c r="AF25" s="429" t="s">
        <v>27</v>
      </c>
      <c r="AG25" s="330" t="s">
        <v>51</v>
      </c>
    </row>
    <row r="26" spans="1:33" ht="15" customHeight="1" x14ac:dyDescent="0.2">
      <c r="A26" s="118" t="s">
        <v>48</v>
      </c>
      <c r="B26" s="181"/>
      <c r="C26" s="55"/>
      <c r="D26" s="182"/>
      <c r="E26" s="166"/>
      <c r="F26" s="175"/>
      <c r="G26" s="168"/>
      <c r="H26" s="177"/>
      <c r="I26" s="168"/>
      <c r="J26" s="177"/>
      <c r="K26" s="169"/>
      <c r="L26" s="368">
        <f>Dean_Tech!H26+Aviation!L26+Arts_Sci_Bus!L26+'Eng Technology'!L26</f>
        <v>6</v>
      </c>
      <c r="M26" s="273">
        <f>Dean_Tech!I26+Aviation!M26+Arts_Sci_Bus!M26+'Eng Technology'!M26</f>
        <v>1065227</v>
      </c>
      <c r="N26" s="430">
        <f>Dean_Tech!J26+Aviation!N26+Arts_Sci_Bus!N26+'Eng Technology'!N26</f>
        <v>3</v>
      </c>
      <c r="O26" s="431">
        <f>Dean_Tech!K26+Aviation!O26+Arts_Sci_Bus!O26+'Eng Technology'!O26</f>
        <v>1997872</v>
      </c>
      <c r="P26" s="430">
        <f>Dean_Tech!L26+Aviation!P26+Arts_Sci_Bus!P26+'Eng Technology'!P26</f>
        <v>2</v>
      </c>
      <c r="Q26" s="431">
        <f>Dean_Tech!M26+Aviation!Q26+Arts_Sci_Bus!Q26+'Eng Technology'!Q26</f>
        <v>3528548</v>
      </c>
      <c r="R26" s="430">
        <f>Dean_Tech!N26+Aviation!R26+Arts_Sci_Bus!R26+'Eng Technology'!R26</f>
        <v>2</v>
      </c>
      <c r="S26" s="431">
        <f>Dean_Tech!O26+Aviation!S26+Arts_Sci_Bus!S26+'Eng Technology'!S26</f>
        <v>341994</v>
      </c>
      <c r="T26" s="430">
        <f>Dean_Tech!P26+Aviation!T26+Arts_Sci_Bus!T26+'Eng Technology'!T26</f>
        <v>6</v>
      </c>
      <c r="U26" s="431">
        <f>Dean_Tech!Q26+Aviation!U26+Arts_Sci_Bus!U26+'Eng Technology'!U26</f>
        <v>167737</v>
      </c>
      <c r="V26" s="430">
        <f>Dean_Tech!R26+Aviation!V26+Arts_Sci_Bus!V26+'Eng Technology'!V26</f>
        <v>3</v>
      </c>
      <c r="W26" s="431">
        <f>Dean_Tech!S26+Aviation!W26+Arts_Sci_Bus!W26+'Eng Technology'!W26</f>
        <v>362216</v>
      </c>
      <c r="X26" s="430">
        <f>Dean_Tech!T26+Aviation!X26+Arts_Sci_Bus!X26+'Eng Technology'!X26</f>
        <v>5</v>
      </c>
      <c r="Y26" s="431">
        <f>Dean_Tech!U26+Aviation!Y26+Arts_Sci_Bus!Y26+'Eng Technology'!Y26</f>
        <v>1107547</v>
      </c>
      <c r="Z26" s="430">
        <f>Dean_Tech!V26+Aviation!Z26+Arts_Sci_Bus!Z26+'Eng Technology'!Z26</f>
        <v>4</v>
      </c>
      <c r="AA26" s="431">
        <f>Dean_Tech!W26+Aviation!AA26+Arts_Sci_Bus!AA26+'Eng Technology'!AA26</f>
        <v>323412</v>
      </c>
      <c r="AB26" s="432"/>
      <c r="AC26" s="433"/>
      <c r="AD26" s="383"/>
      <c r="AE26" s="434">
        <f>AVERAGE(V26,T26,R26,Z26,X26)</f>
        <v>4</v>
      </c>
      <c r="AF26" s="385">
        <f t="shared" ref="AF26:AF27" si="4">AVERAGE(W26,U26,S26,AA26,Y26)</f>
        <v>460581.2</v>
      </c>
      <c r="AG26" s="324">
        <f t="shared" ref="AG26:AG27" si="5">+(AA26-S26)/S26</f>
        <v>-5.4334286566430988E-2</v>
      </c>
    </row>
    <row r="27" spans="1:33" ht="15" customHeight="1" thickBot="1" x14ac:dyDescent="0.25">
      <c r="A27" s="128" t="s">
        <v>49</v>
      </c>
      <c r="B27" s="243"/>
      <c r="C27" s="75"/>
      <c r="D27" s="244"/>
      <c r="E27" s="245"/>
      <c r="F27" s="246"/>
      <c r="G27" s="234"/>
      <c r="H27" s="264"/>
      <c r="I27" s="234"/>
      <c r="J27" s="264"/>
      <c r="K27" s="265"/>
      <c r="L27" s="369">
        <f>Dean_Tech!H27+Aviation!L27+Arts_Sci_Bus!L27+'Eng Technology'!L27</f>
        <v>1</v>
      </c>
      <c r="M27" s="273">
        <f>Dean_Tech!I27+Aviation!M27+Arts_Sci_Bus!M27+'Eng Technology'!M27</f>
        <v>580</v>
      </c>
      <c r="N27" s="435">
        <f>Dean_Tech!J27+Aviation!N27+Arts_Sci_Bus!N27+'Eng Technology'!N27</f>
        <v>4</v>
      </c>
      <c r="O27" s="436">
        <f>Dean_Tech!K27+Aviation!O27+Arts_Sci_Bus!O27+'Eng Technology'!O27</f>
        <v>54190</v>
      </c>
      <c r="P27" s="435">
        <f>Dean_Tech!L27+Aviation!P27+Arts_Sci_Bus!P27+'Eng Technology'!P27</f>
        <v>2</v>
      </c>
      <c r="Q27" s="436">
        <f>Dean_Tech!M27+Aviation!Q27+Arts_Sci_Bus!Q27+'Eng Technology'!Q27</f>
        <v>24788</v>
      </c>
      <c r="R27" s="435">
        <f>Dean_Tech!N27+Aviation!R27+Arts_Sci_Bus!R27+'Eng Technology'!R27</f>
        <v>2</v>
      </c>
      <c r="S27" s="436">
        <f>Dean_Tech!O27+Aviation!S27+Arts_Sci_Bus!S27+'Eng Technology'!S27</f>
        <v>18566</v>
      </c>
      <c r="T27" s="435">
        <f>Dean_Tech!P27+Aviation!T27+Arts_Sci_Bus!T27+'Eng Technology'!T27</f>
        <v>1</v>
      </c>
      <c r="U27" s="436">
        <f>Dean_Tech!Q27+Aviation!U27+Arts_Sci_Bus!U27+'Eng Technology'!U27</f>
        <v>12276</v>
      </c>
      <c r="V27" s="435">
        <f>Dean_Tech!R27+Aviation!V27+Arts_Sci_Bus!V27+'Eng Technology'!V27</f>
        <v>2</v>
      </c>
      <c r="W27" s="436">
        <f>Dean_Tech!S27+Aviation!W27+Arts_Sci_Bus!W27+'Eng Technology'!W27</f>
        <v>2000</v>
      </c>
      <c r="X27" s="435">
        <f>Dean_Tech!T27+Aviation!X27+Arts_Sci_Bus!X27+'Eng Technology'!X27</f>
        <v>1</v>
      </c>
      <c r="Y27" s="436">
        <f>Dean_Tech!U27+Aviation!Y27+Arts_Sci_Bus!Y27+'Eng Technology'!Y27</f>
        <v>68274</v>
      </c>
      <c r="Z27" s="437">
        <f>Dean_Tech!V27+Aviation!Z27+Arts_Sci_Bus!Z27+'Eng Technology'!Z27</f>
        <v>3</v>
      </c>
      <c r="AA27" s="438">
        <f>Dean_Tech!W27+Aviation!AA27+Arts_Sci_Bus!AA27+'Eng Technology'!AA27</f>
        <v>342269</v>
      </c>
      <c r="AB27" s="439"/>
      <c r="AC27" s="420"/>
      <c r="AD27" s="383"/>
      <c r="AE27" s="440">
        <f>AVERAGE(V27,T27,R27,Z27,X27)</f>
        <v>1.8</v>
      </c>
      <c r="AF27" s="385">
        <f t="shared" si="4"/>
        <v>88677</v>
      </c>
      <c r="AG27" s="325">
        <f t="shared" si="5"/>
        <v>17.435257998491867</v>
      </c>
    </row>
    <row r="28" spans="1:33" ht="18" customHeight="1" thickTop="1" thickBot="1" x14ac:dyDescent="0.25">
      <c r="A28" s="247" t="s">
        <v>21</v>
      </c>
      <c r="B28" s="482"/>
      <c r="C28" s="483"/>
      <c r="D28" s="484"/>
      <c r="E28" s="484"/>
      <c r="F28" s="463"/>
      <c r="G28" s="456"/>
      <c r="H28" s="463"/>
      <c r="I28" s="456"/>
      <c r="J28" s="463"/>
      <c r="K28" s="456"/>
      <c r="L28" s="478"/>
      <c r="M28" s="479"/>
      <c r="N28" s="460"/>
      <c r="O28" s="472"/>
      <c r="P28" s="460"/>
      <c r="Q28" s="472"/>
      <c r="R28" s="460"/>
      <c r="S28" s="472"/>
      <c r="T28" s="460"/>
      <c r="U28" s="472"/>
      <c r="V28" s="460"/>
      <c r="W28" s="472"/>
      <c r="X28" s="460"/>
      <c r="Y28" s="472"/>
      <c r="Z28" s="460"/>
      <c r="AA28" s="472"/>
      <c r="AB28" s="460"/>
      <c r="AC28" s="461"/>
      <c r="AD28" s="383"/>
      <c r="AE28" s="469"/>
      <c r="AF28" s="470"/>
      <c r="AG28" s="331"/>
    </row>
    <row r="29" spans="1:33" ht="15" customHeight="1" x14ac:dyDescent="0.2">
      <c r="A29" s="127" t="s">
        <v>23</v>
      </c>
      <c r="B29" s="49"/>
      <c r="C29" s="77"/>
      <c r="D29" s="11"/>
      <c r="E29" s="115"/>
      <c r="F29" s="107"/>
      <c r="G29" s="170"/>
      <c r="H29" s="35"/>
      <c r="I29" s="149"/>
      <c r="J29" s="107"/>
      <c r="K29" s="149"/>
      <c r="L29" s="113"/>
      <c r="M29" s="141">
        <f>Dean_Tech!I29+Aviation!M29+Arts_Sci_Bus!M29+'Eng Technology'!M29</f>
        <v>1415552</v>
      </c>
      <c r="N29" s="380"/>
      <c r="O29" s="441">
        <f>Dean_Tech!K29+Aviation!O29+Arts_Sci_Bus!O29+'Eng Technology'!O29</f>
        <v>329932</v>
      </c>
      <c r="P29" s="380"/>
      <c r="Q29" s="441">
        <f>Dean_Tech!M29+Aviation!Q29+Arts_Sci_Bus!Q29+'Eng Technology'!Q29</f>
        <v>477547.54</v>
      </c>
      <c r="R29" s="380"/>
      <c r="S29" s="441">
        <f>Dean_Tech!O29+Aviation!S29+Arts_Sci_Bus!S29+'Eng Technology'!S29</f>
        <v>645574.6</v>
      </c>
      <c r="T29" s="380"/>
      <c r="U29" s="441">
        <f>Dean_Tech!Q29+Aviation!U29+Arts_Sci_Bus!U29+'Eng Technology'!U29</f>
        <v>181087.18</v>
      </c>
      <c r="V29" s="380"/>
      <c r="W29" s="441">
        <f>Dean_Tech!S29+Aviation!W29+Arts_Sci_Bus!W29+'Eng Technology'!W29</f>
        <v>10119239.179999998</v>
      </c>
      <c r="X29" s="408"/>
      <c r="Y29" s="442">
        <f>Dean_Tech!U29+Aviation!Y29+Arts_Sci_Bus!Y29+'Eng Technology'!Y29</f>
        <v>818051.65</v>
      </c>
      <c r="Z29" s="408"/>
      <c r="AA29" s="442">
        <f>Dean_Tech!W29+Aviation!AA29+Arts_Sci_Bus!AA29+'Eng Technology'!AA29</f>
        <v>480862</v>
      </c>
      <c r="AB29" s="408"/>
      <c r="AC29" s="443"/>
      <c r="AD29" s="383"/>
      <c r="AE29" s="384"/>
      <c r="AF29" s="385">
        <f t="shared" ref="AF29:AF30" si="6">AVERAGE(W29,U29,S29,AA29,Y29)</f>
        <v>2448962.9219999993</v>
      </c>
      <c r="AG29" s="324">
        <f t="shared" ref="AG29" si="7">+(AA29-S29)/S29</f>
        <v>-0.25514107897057903</v>
      </c>
    </row>
    <row r="30" spans="1:33" ht="15" customHeight="1" thickBot="1" x14ac:dyDescent="0.25">
      <c r="A30" s="128" t="s">
        <v>24</v>
      </c>
      <c r="B30" s="64"/>
      <c r="C30" s="75"/>
      <c r="D30" s="9"/>
      <c r="E30" s="104"/>
      <c r="F30" s="114"/>
      <c r="G30" s="145"/>
      <c r="H30" s="96"/>
      <c r="I30" s="150"/>
      <c r="J30" s="114"/>
      <c r="K30" s="150"/>
      <c r="L30" s="114"/>
      <c r="M30" s="377">
        <f>Dean_Tech!I30+Aviation!M30+Arts_Sci_Bus!M30+'Eng Technology'!M30</f>
        <v>0</v>
      </c>
      <c r="N30" s="416"/>
      <c r="O30" s="436">
        <f>Dean_Tech!K30+Aviation!O30+Arts_Sci_Bus!O30+'Eng Technology'!O30</f>
        <v>0</v>
      </c>
      <c r="P30" s="416"/>
      <c r="Q30" s="436">
        <f>Dean_Tech!M30+Aviation!Q30+Arts_Sci_Bus!Q30+'Eng Technology'!Q30</f>
        <v>0</v>
      </c>
      <c r="R30" s="416"/>
      <c r="S30" s="436">
        <f>Dean_Tech!O30+Aviation!S30+Arts_Sci_Bus!S30+'Eng Technology'!S30</f>
        <v>0</v>
      </c>
      <c r="T30" s="416"/>
      <c r="U30" s="436">
        <f>Dean_Tech!Q30+Aviation!U30+Arts_Sci_Bus!U30+'Eng Technology'!U30</f>
        <v>0</v>
      </c>
      <c r="V30" s="416"/>
      <c r="W30" s="436">
        <f>Dean_Tech!S30+Aviation!W30+Arts_Sci_Bus!W30+'Eng Technology'!W30</f>
        <v>0</v>
      </c>
      <c r="X30" s="418"/>
      <c r="Y30" s="444">
        <f>Dean_Tech!U30+Aviation!Y30+Arts_Sci_Bus!Y30+'Eng Technology'!Y30</f>
        <v>0</v>
      </c>
      <c r="Z30" s="418"/>
      <c r="AA30" s="444">
        <f>Dean_Tech!W30+Aviation!AA30+Arts_Sci_Bus!AA30+'Eng Technology'!AA30</f>
        <v>0</v>
      </c>
      <c r="AB30" s="418"/>
      <c r="AC30" s="445"/>
      <c r="AD30" s="383"/>
      <c r="AE30" s="446"/>
      <c r="AF30" s="447">
        <f t="shared" si="6"/>
        <v>0</v>
      </c>
      <c r="AG30" s="328"/>
    </row>
    <row r="31" spans="1:33" ht="15" customHeight="1" thickTop="1" x14ac:dyDescent="0.2">
      <c r="A31" s="6"/>
      <c r="B31" s="25"/>
      <c r="C31" s="26"/>
      <c r="D31" s="25"/>
      <c r="E31" s="27"/>
      <c r="F31" s="95"/>
      <c r="G31" s="92"/>
      <c r="H31" s="95"/>
      <c r="I31" s="97"/>
      <c r="J31" s="95"/>
      <c r="K31" s="92"/>
      <c r="L31" s="95"/>
      <c r="M31" s="92"/>
      <c r="N31" s="448"/>
      <c r="O31" s="449"/>
      <c r="P31" s="448"/>
      <c r="Q31" s="449"/>
      <c r="R31" s="448"/>
      <c r="S31" s="449"/>
      <c r="T31" s="448"/>
      <c r="U31" s="449"/>
      <c r="V31" s="448"/>
      <c r="W31" s="449"/>
      <c r="X31" s="448"/>
      <c r="Y31" s="449"/>
      <c r="Z31" s="448"/>
      <c r="AA31" s="449"/>
      <c r="AB31" s="448"/>
      <c r="AC31" s="449"/>
      <c r="AD31" s="450"/>
      <c r="AE31" s="451"/>
      <c r="AF31" s="451"/>
      <c r="AG31" s="329"/>
    </row>
    <row r="32" spans="1:33" x14ac:dyDescent="0.2"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</row>
  </sheetData>
  <mergeCells count="54">
    <mergeCell ref="AE28:AF28"/>
    <mergeCell ref="N28:O28"/>
    <mergeCell ref="P28:Q28"/>
    <mergeCell ref="R28:S28"/>
    <mergeCell ref="T28:U28"/>
    <mergeCell ref="V28:W28"/>
    <mergeCell ref="X28:Y28"/>
    <mergeCell ref="AB28:AC28"/>
    <mergeCell ref="Z28:AA28"/>
    <mergeCell ref="B28:C28"/>
    <mergeCell ref="D28:E28"/>
    <mergeCell ref="F28:G28"/>
    <mergeCell ref="H28:I28"/>
    <mergeCell ref="J28:K28"/>
    <mergeCell ref="L28:M28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9:M9"/>
    <mergeCell ref="Z21:AA21"/>
    <mergeCell ref="AE21:AF21"/>
    <mergeCell ref="Z9:AA9"/>
    <mergeCell ref="AE9:AF9"/>
    <mergeCell ref="L21:M21"/>
    <mergeCell ref="N21:O21"/>
    <mergeCell ref="P21:Q21"/>
    <mergeCell ref="N9:O9"/>
    <mergeCell ref="P9:Q9"/>
    <mergeCell ref="R9:S9"/>
    <mergeCell ref="T9:U9"/>
    <mergeCell ref="AB9:AC9"/>
    <mergeCell ref="AB21:AC21"/>
    <mergeCell ref="V9:W9"/>
    <mergeCell ref="X9:Y9"/>
    <mergeCell ref="B9:C9"/>
    <mergeCell ref="D9:E9"/>
    <mergeCell ref="F9:G9"/>
    <mergeCell ref="H9:I9"/>
    <mergeCell ref="J9:K9"/>
    <mergeCell ref="X4:Y4"/>
    <mergeCell ref="Z4:AA4"/>
    <mergeCell ref="AB4:AC4"/>
    <mergeCell ref="AE4:AF4"/>
    <mergeCell ref="N4:O4"/>
    <mergeCell ref="P4:Q4"/>
    <mergeCell ref="R4:S4"/>
    <mergeCell ref="T4:U4"/>
    <mergeCell ref="V4:W4"/>
  </mergeCells>
  <printOptions horizontalCentered="1" verticalCentered="1"/>
  <pageMargins left="0.5" right="0.5" top="0.5" bottom="0.87" header="0.5" footer="0.27"/>
  <pageSetup scale="64" orientation="landscape" horizontalDpi="4294967292" verticalDpi="4294967292" r:id="rId1"/>
  <headerFooter alignWithMargins="0">
    <oddFooter>&amp;LPrepared by Planning and Analysis&amp;C&amp;P of &amp;N&amp;RUdpated &amp;D</oddFooter>
  </headerFooter>
  <rowBreaks count="1" manualBreakCount="1">
    <brk id="31" max="35" man="1"/>
  </rowBreaks>
  <colBreaks count="1" manualBreakCount="1">
    <brk id="29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AK31"/>
  <sheetViews>
    <sheetView view="pageBreakPreview" zoomScaleNormal="100" zoomScaleSheetLayoutView="100" workbookViewId="0">
      <selection activeCell="AF31" sqref="AF31"/>
    </sheetView>
  </sheetViews>
  <sheetFormatPr defaultRowHeight="12.75" x14ac:dyDescent="0.2"/>
  <cols>
    <col min="1" max="1" width="3" customWidth="1"/>
    <col min="2" max="2" width="30.7109375" customWidth="1"/>
    <col min="3" max="3" width="9.28515625" hidden="1" customWidth="1"/>
    <col min="4" max="4" width="10.7109375" hidden="1" customWidth="1"/>
    <col min="5" max="5" width="9.28515625" hidden="1" customWidth="1"/>
    <col min="6" max="6" width="13.7109375" hidden="1" customWidth="1"/>
    <col min="7" max="7" width="9.28515625" hidden="1" customWidth="1"/>
    <col min="8" max="8" width="13.42578125" hidden="1" customWidth="1"/>
    <col min="9" max="9" width="7.7109375" hidden="1" customWidth="1"/>
    <col min="10" max="10" width="10.28515625" hidden="1" customWidth="1"/>
    <col min="11" max="11" width="7.7109375" hidden="1" customWidth="1"/>
    <col min="12" max="12" width="10.28515625" hidden="1" customWidth="1"/>
    <col min="13" max="13" width="7.7109375" hidden="1" customWidth="1"/>
    <col min="14" max="14" width="10.28515625" hidden="1" customWidth="1"/>
    <col min="15" max="15" width="7.7109375" hidden="1" customWidth="1"/>
    <col min="16" max="16" width="10.28515625" hidden="1" customWidth="1"/>
    <col min="17" max="17" width="7.7109375" hidden="1" customWidth="1"/>
    <col min="18" max="18" width="10.28515625" hidden="1" customWidth="1"/>
    <col min="19" max="19" width="7.7109375" hidden="1" customWidth="1"/>
    <col min="20" max="20" width="10.28515625" hidden="1" customWidth="1"/>
    <col min="21" max="21" width="7.7109375" hidden="1" customWidth="1"/>
    <col min="22" max="22" width="10.28515625" hidden="1" customWidth="1"/>
    <col min="23" max="23" width="7.7109375" customWidth="1"/>
    <col min="24" max="24" width="10.28515625" customWidth="1"/>
    <col min="25" max="25" width="7.7109375" customWidth="1"/>
    <col min="26" max="26" width="10.28515625" customWidth="1"/>
    <col min="27" max="27" width="7.7109375" customWidth="1"/>
    <col min="28" max="28" width="10.28515625" customWidth="1"/>
    <col min="29" max="29" width="7.7109375" customWidth="1"/>
    <col min="30" max="30" width="10.28515625" customWidth="1"/>
    <col min="31" max="31" width="7.7109375" customWidth="1"/>
    <col min="32" max="32" width="10.28515625" customWidth="1"/>
    <col min="33" max="33" width="7.7109375" customWidth="1"/>
    <col min="34" max="34" width="10.28515625" customWidth="1"/>
    <col min="35" max="35" width="5.28515625" customWidth="1"/>
    <col min="36" max="37" width="10.28515625" customWidth="1"/>
  </cols>
  <sheetData>
    <row r="1" spans="1:37" ht="27.75" customHeight="1" x14ac:dyDescent="0.25">
      <c r="A1" s="217" t="e">
        <f>Dean_Tech!#REF!</f>
        <v>#REF!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37" x14ac:dyDescent="0.2">
      <c r="B2" t="s">
        <v>31</v>
      </c>
    </row>
    <row r="3" spans="1:37" x14ac:dyDescent="0.2">
      <c r="A3" s="29" t="s">
        <v>11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79"/>
      <c r="N3" s="79"/>
      <c r="O3" s="79"/>
      <c r="P3" s="81"/>
      <c r="Q3" s="79"/>
      <c r="R3" s="79"/>
    </row>
    <row r="4" spans="1:37" ht="13.5" thickBot="1" x14ac:dyDescent="0.25">
      <c r="A4" s="29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79"/>
      <c r="N4" s="79"/>
      <c r="O4" s="79"/>
      <c r="P4" s="81"/>
      <c r="Q4" s="79"/>
      <c r="R4" s="79"/>
    </row>
    <row r="5" spans="1:37" ht="14.25" thickTop="1" thickBot="1" x14ac:dyDescent="0.25">
      <c r="A5" s="2"/>
      <c r="B5" s="215" t="s">
        <v>12</v>
      </c>
      <c r="C5" s="482" t="s">
        <v>5</v>
      </c>
      <c r="D5" s="483"/>
      <c r="E5" s="484" t="s">
        <v>6</v>
      </c>
      <c r="F5" s="484"/>
      <c r="G5" s="482" t="s">
        <v>7</v>
      </c>
      <c r="H5" s="483"/>
      <c r="I5" s="482" t="s">
        <v>8</v>
      </c>
      <c r="J5" s="483"/>
      <c r="K5" s="484" t="s">
        <v>9</v>
      </c>
      <c r="L5" s="484"/>
      <c r="M5" s="463" t="s">
        <v>28</v>
      </c>
      <c r="N5" s="456"/>
      <c r="O5" s="463" t="s">
        <v>29</v>
      </c>
      <c r="P5" s="456"/>
      <c r="Q5" s="463" t="s">
        <v>30</v>
      </c>
      <c r="R5" s="456"/>
      <c r="S5" s="463" t="s">
        <v>32</v>
      </c>
      <c r="T5" s="462"/>
      <c r="U5" s="456" t="s">
        <v>34</v>
      </c>
      <c r="V5" s="462"/>
      <c r="W5" s="456" t="s">
        <v>35</v>
      </c>
      <c r="X5" s="462"/>
      <c r="Y5" s="456" t="s">
        <v>39</v>
      </c>
      <c r="Z5" s="462"/>
      <c r="AA5" s="456" t="s">
        <v>40</v>
      </c>
      <c r="AB5" s="462"/>
      <c r="AC5" s="456" t="s">
        <v>41</v>
      </c>
      <c r="AD5" s="462"/>
      <c r="AE5" s="456" t="s">
        <v>42</v>
      </c>
      <c r="AF5" s="462"/>
      <c r="AG5" s="456" t="s">
        <v>43</v>
      </c>
      <c r="AH5" s="462"/>
      <c r="AJ5" s="495" t="s">
        <v>33</v>
      </c>
      <c r="AK5" s="496"/>
    </row>
    <row r="6" spans="1:37" x14ac:dyDescent="0.2">
      <c r="A6" s="2"/>
      <c r="B6" s="121" t="s">
        <v>38</v>
      </c>
      <c r="C6" s="39"/>
      <c r="D6" s="41"/>
      <c r="E6" s="13"/>
      <c r="F6" s="13"/>
      <c r="G6" s="40"/>
      <c r="H6" s="41"/>
      <c r="I6" s="40"/>
      <c r="J6" s="41"/>
      <c r="K6" s="13"/>
      <c r="L6" s="13"/>
      <c r="M6" s="78"/>
      <c r="N6" s="129"/>
      <c r="O6" s="82"/>
      <c r="P6" s="153"/>
      <c r="Q6" s="83"/>
      <c r="R6" s="82"/>
      <c r="S6" s="83"/>
      <c r="T6" s="84"/>
      <c r="U6" s="82"/>
      <c r="V6" s="84"/>
      <c r="W6" s="82"/>
      <c r="X6" s="84"/>
      <c r="Y6" s="82"/>
      <c r="Z6" s="84"/>
      <c r="AA6" s="82"/>
      <c r="AB6" s="84"/>
      <c r="AC6" s="82"/>
      <c r="AD6" s="84"/>
      <c r="AE6" s="82"/>
      <c r="AF6" s="84"/>
      <c r="AG6" s="82"/>
      <c r="AH6" s="84"/>
      <c r="AJ6" s="187"/>
      <c r="AK6" s="188"/>
    </row>
    <row r="7" spans="1:37" ht="19.5" customHeight="1" x14ac:dyDescent="0.2">
      <c r="A7" s="2"/>
      <c r="B7" s="118" t="s">
        <v>14</v>
      </c>
      <c r="C7" s="40"/>
      <c r="D7" s="42">
        <v>2255214</v>
      </c>
      <c r="E7" s="12"/>
      <c r="F7" s="66">
        <v>2295573</v>
      </c>
      <c r="G7" s="39"/>
      <c r="H7" s="42">
        <v>2297367</v>
      </c>
      <c r="I7" s="39"/>
      <c r="J7" s="42">
        <v>2494449</v>
      </c>
      <c r="K7" s="12"/>
      <c r="L7" s="66">
        <v>2642578</v>
      </c>
      <c r="M7" s="223"/>
      <c r="N7" s="219">
        <v>2693346</v>
      </c>
      <c r="O7" s="82"/>
      <c r="P7" s="154">
        <v>3838667</v>
      </c>
      <c r="Q7" s="83"/>
      <c r="R7" s="99">
        <v>3967508</v>
      </c>
      <c r="S7" s="83"/>
      <c r="T7" s="130">
        <v>3956801</v>
      </c>
      <c r="U7" s="82"/>
      <c r="V7" s="130">
        <v>3831793</v>
      </c>
      <c r="W7" s="82"/>
      <c r="X7" s="130">
        <v>4103631</v>
      </c>
      <c r="Y7" s="82"/>
      <c r="Z7" s="130">
        <v>4351628</v>
      </c>
      <c r="AA7" s="82"/>
      <c r="AB7" s="130">
        <v>4483871</v>
      </c>
      <c r="AC7" s="82"/>
      <c r="AD7" s="130">
        <v>4620177</v>
      </c>
      <c r="AE7" s="82"/>
      <c r="AF7" s="130">
        <v>4714034</v>
      </c>
      <c r="AG7" s="82"/>
      <c r="AH7" s="130">
        <v>5020458</v>
      </c>
      <c r="AJ7" s="187"/>
      <c r="AK7" s="190">
        <f>AVERAGE(AD7,AB7,Z7,AH7,AF7)</f>
        <v>4638033.5999999996</v>
      </c>
    </row>
    <row r="8" spans="1:37" ht="20.25" customHeight="1" x14ac:dyDescent="0.2">
      <c r="A8" s="2"/>
      <c r="B8" s="118" t="s">
        <v>36</v>
      </c>
      <c r="C8" s="40"/>
      <c r="D8" s="42"/>
      <c r="E8" s="12"/>
      <c r="F8" s="66"/>
      <c r="G8" s="39"/>
      <c r="H8" s="42"/>
      <c r="I8" s="39"/>
      <c r="J8" s="42"/>
      <c r="K8" s="12" t="s">
        <v>3</v>
      </c>
      <c r="L8" s="220"/>
      <c r="M8" s="223"/>
      <c r="N8" s="219"/>
      <c r="O8" s="82"/>
      <c r="P8" s="154"/>
      <c r="Q8" s="83"/>
      <c r="R8" s="99"/>
      <c r="S8" s="83"/>
      <c r="T8" s="130"/>
      <c r="U8" s="82"/>
      <c r="V8" s="130"/>
      <c r="W8" s="82"/>
      <c r="X8" s="130">
        <v>62708</v>
      </c>
      <c r="Y8" s="82"/>
      <c r="Z8" s="130"/>
      <c r="AA8" s="82"/>
      <c r="AB8" s="130"/>
      <c r="AC8" s="82"/>
      <c r="AD8" s="130"/>
      <c r="AE8" s="82"/>
      <c r="AF8" s="130"/>
      <c r="AG8" s="82"/>
      <c r="AH8" s="130">
        <v>50885</v>
      </c>
      <c r="AJ8" s="187"/>
      <c r="AK8" s="190"/>
    </row>
    <row r="9" spans="1:37" ht="36" x14ac:dyDescent="0.2">
      <c r="A9" s="2"/>
      <c r="B9" s="119" t="s">
        <v>37</v>
      </c>
      <c r="C9" s="40"/>
      <c r="D9" s="43">
        <v>522405</v>
      </c>
      <c r="E9" s="13"/>
      <c r="F9" s="67">
        <v>474354</v>
      </c>
      <c r="G9" s="40"/>
      <c r="H9" s="43">
        <v>505802</v>
      </c>
      <c r="I9" s="40"/>
      <c r="J9" s="43">
        <v>880622</v>
      </c>
      <c r="K9" s="13"/>
      <c r="L9" s="221">
        <v>1383395</v>
      </c>
      <c r="M9" s="207"/>
      <c r="N9" s="224">
        <v>1391710</v>
      </c>
      <c r="O9" s="34"/>
      <c r="P9" s="155">
        <v>2142395</v>
      </c>
      <c r="Q9" s="78"/>
      <c r="R9" s="146">
        <v>1764383</v>
      </c>
      <c r="S9" s="78"/>
      <c r="T9" s="132">
        <v>2416967</v>
      </c>
      <c r="U9" s="34"/>
      <c r="V9" s="132">
        <v>2555308</v>
      </c>
      <c r="W9" s="34"/>
      <c r="X9" s="132">
        <v>2102974</v>
      </c>
      <c r="Y9" s="34"/>
      <c r="Z9" s="132">
        <v>2205857</v>
      </c>
      <c r="AA9" s="34"/>
      <c r="AB9" s="132">
        <v>2123501</v>
      </c>
      <c r="AC9" s="34"/>
      <c r="AD9" s="132">
        <v>2161615</v>
      </c>
      <c r="AE9" s="34"/>
      <c r="AF9" s="132">
        <v>2256677</v>
      </c>
      <c r="AG9" s="34"/>
      <c r="AH9" s="132">
        <v>2853889</v>
      </c>
      <c r="AJ9" s="192"/>
      <c r="AK9" s="193">
        <f>AVERAGE(AD9,AB9,Z9,AH9,AF9)</f>
        <v>2320307.7999999998</v>
      </c>
    </row>
    <row r="10" spans="1:37" ht="13.5" thickBot="1" x14ac:dyDescent="0.25">
      <c r="A10" s="2"/>
      <c r="B10" s="120" t="s">
        <v>18</v>
      </c>
      <c r="C10" s="44"/>
      <c r="D10" s="45">
        <f>SUM(D7:D9)</f>
        <v>2777619</v>
      </c>
      <c r="E10" s="30"/>
      <c r="F10" s="68">
        <f>SUM(F7:F9)</f>
        <v>2769927</v>
      </c>
      <c r="G10" s="44"/>
      <c r="H10" s="45">
        <f>SUM(H7:H9)</f>
        <v>2803169</v>
      </c>
      <c r="I10" s="44"/>
      <c r="J10" s="45">
        <f>SUM(J7:J9)</f>
        <v>3375071</v>
      </c>
      <c r="K10" s="30"/>
      <c r="L10" s="222">
        <f>SUM(L7:L9)</f>
        <v>4025973</v>
      </c>
      <c r="M10" s="225"/>
      <c r="N10" s="226">
        <f>SUM(N7:N9)</f>
        <v>4085056</v>
      </c>
      <c r="O10" s="90"/>
      <c r="P10" s="156">
        <f>SUM(P7:P9)</f>
        <v>5981062</v>
      </c>
      <c r="Q10" s="105"/>
      <c r="R10" s="142">
        <f>SUM(R7:R9)</f>
        <v>5731891</v>
      </c>
      <c r="S10" s="105"/>
      <c r="T10" s="131">
        <f>SUM(T7:T9)</f>
        <v>6373768</v>
      </c>
      <c r="U10" s="90"/>
      <c r="V10" s="131">
        <f>SUM(V7:V9)</f>
        <v>6387101</v>
      </c>
      <c r="W10" s="90"/>
      <c r="X10" s="131">
        <f>SUM(X7:X9)</f>
        <v>6269313</v>
      </c>
      <c r="Y10" s="90"/>
      <c r="Z10" s="131">
        <f>SUM(Z7:Z9)</f>
        <v>6557485</v>
      </c>
      <c r="AA10" s="90"/>
      <c r="AB10" s="131">
        <f>SUM(AB7:AB9)</f>
        <v>6607372</v>
      </c>
      <c r="AC10" s="90"/>
      <c r="AD10" s="131">
        <f>SUM(AD7:AD9)</f>
        <v>6781792</v>
      </c>
      <c r="AE10" s="90"/>
      <c r="AF10" s="131">
        <f>SUM(AF7:AF9)</f>
        <v>6970711</v>
      </c>
      <c r="AG10" s="90"/>
      <c r="AH10" s="131">
        <f>SUM(AH7:AH9)</f>
        <v>7925232</v>
      </c>
      <c r="AJ10" s="192"/>
      <c r="AK10" s="193">
        <f>AVERAGE(AD10,AB10,Z10,AH10,AF10)</f>
        <v>6968518.4000000004</v>
      </c>
    </row>
    <row r="11" spans="1:37" ht="13.5" hidden="1" thickBot="1" x14ac:dyDescent="0.25">
      <c r="A11" s="2"/>
      <c r="B11" s="121" t="s">
        <v>16</v>
      </c>
      <c r="C11" s="40"/>
      <c r="D11" s="43"/>
      <c r="E11" s="13"/>
      <c r="F11" s="67"/>
      <c r="G11" s="40"/>
      <c r="H11" s="43"/>
      <c r="I11" s="40"/>
      <c r="J11" s="43"/>
      <c r="K11" s="13"/>
      <c r="L11" s="67"/>
      <c r="M11" s="78"/>
      <c r="N11" s="132"/>
      <c r="O11" s="34"/>
      <c r="P11" s="155"/>
      <c r="Q11" s="78"/>
      <c r="R11" s="146"/>
      <c r="S11" s="78"/>
      <c r="T11" s="132"/>
      <c r="U11" s="34"/>
      <c r="V11" s="132"/>
      <c r="W11" s="34"/>
      <c r="X11" s="132"/>
      <c r="Y11" s="34"/>
      <c r="Z11" s="132"/>
      <c r="AA11" s="34"/>
      <c r="AB11" s="132"/>
      <c r="AC11" s="34"/>
      <c r="AD11" s="132"/>
      <c r="AE11" s="34"/>
      <c r="AF11" s="132"/>
      <c r="AG11" s="34"/>
      <c r="AH11" s="132"/>
      <c r="AJ11" s="192"/>
      <c r="AK11" s="193"/>
    </row>
    <row r="12" spans="1:37" ht="36.75" hidden="1" customHeight="1" x14ac:dyDescent="0.2">
      <c r="A12" s="2"/>
      <c r="B12" s="118" t="s">
        <v>14</v>
      </c>
      <c r="C12" s="40"/>
      <c r="D12" s="43"/>
      <c r="E12" s="13"/>
      <c r="F12" s="67"/>
      <c r="G12" s="40"/>
      <c r="H12" s="43"/>
      <c r="I12" s="40"/>
      <c r="J12" s="43"/>
      <c r="K12" s="13"/>
      <c r="L12" s="67"/>
      <c r="M12" s="78"/>
      <c r="N12" s="132"/>
      <c r="O12" s="34"/>
      <c r="P12" s="155"/>
      <c r="Q12" s="78"/>
      <c r="R12" s="146"/>
      <c r="S12" s="78"/>
      <c r="T12" s="132"/>
      <c r="U12" s="34"/>
      <c r="V12" s="132"/>
      <c r="W12" s="34"/>
      <c r="X12" s="132"/>
      <c r="Y12" s="34"/>
      <c r="Z12" s="132"/>
      <c r="AA12" s="34"/>
      <c r="AB12" s="132"/>
      <c r="AC12" s="34"/>
      <c r="AD12" s="132"/>
      <c r="AE12" s="34"/>
      <c r="AF12" s="132"/>
      <c r="AG12" s="34"/>
      <c r="AH12" s="132"/>
      <c r="AJ12" s="192"/>
      <c r="AK12" s="193"/>
    </row>
    <row r="13" spans="1:37" ht="36.75" hidden="1" thickBot="1" x14ac:dyDescent="0.25">
      <c r="A13" s="2"/>
      <c r="B13" s="119" t="s">
        <v>20</v>
      </c>
      <c r="C13" s="40"/>
      <c r="D13" s="43"/>
      <c r="E13" s="13"/>
      <c r="F13" s="67"/>
      <c r="G13" s="40"/>
      <c r="H13" s="43"/>
      <c r="I13" s="40"/>
      <c r="J13" s="43"/>
      <c r="K13" s="13"/>
      <c r="L13" s="67"/>
      <c r="M13" s="78"/>
      <c r="N13" s="132"/>
      <c r="O13" s="34"/>
      <c r="P13" s="155"/>
      <c r="Q13" s="78"/>
      <c r="R13" s="146"/>
      <c r="S13" s="78"/>
      <c r="T13" s="132"/>
      <c r="U13" s="34"/>
      <c r="V13" s="132"/>
      <c r="W13" s="34"/>
      <c r="X13" s="132"/>
      <c r="Y13" s="34"/>
      <c r="Z13" s="132"/>
      <c r="AA13" s="34"/>
      <c r="AB13" s="132"/>
      <c r="AC13" s="34"/>
      <c r="AD13" s="132"/>
      <c r="AE13" s="34"/>
      <c r="AF13" s="132"/>
      <c r="AG13" s="34"/>
      <c r="AH13" s="132"/>
      <c r="AJ13" s="192"/>
      <c r="AK13" s="193"/>
    </row>
    <row r="14" spans="1:37" ht="13.5" hidden="1" thickBot="1" x14ac:dyDescent="0.25">
      <c r="A14" s="2"/>
      <c r="B14" s="120" t="s">
        <v>17</v>
      </c>
      <c r="C14" s="44"/>
      <c r="D14" s="45">
        <f>SUM(D12:D13)</f>
        <v>0</v>
      </c>
      <c r="E14" s="30"/>
      <c r="F14" s="68">
        <f>SUM(F12:F13)</f>
        <v>0</v>
      </c>
      <c r="G14" s="44"/>
      <c r="H14" s="45">
        <f>SUM(H12:H13)</f>
        <v>0</v>
      </c>
      <c r="I14" s="44"/>
      <c r="J14" s="45">
        <f>SUM(J12:J13)</f>
        <v>0</v>
      </c>
      <c r="K14" s="30"/>
      <c r="L14" s="68">
        <f>SUM(L12:L13)</f>
        <v>0</v>
      </c>
      <c r="M14" s="105"/>
      <c r="N14" s="131">
        <f>SUM(N12:N13)</f>
        <v>0</v>
      </c>
      <c r="O14" s="90"/>
      <c r="P14" s="156">
        <f>SUM(P12:P13)</f>
        <v>0</v>
      </c>
      <c r="Q14" s="105"/>
      <c r="R14" s="142">
        <f>SUM(R12:R13)</f>
        <v>0</v>
      </c>
      <c r="S14" s="105"/>
      <c r="T14" s="131">
        <f>SUM(T12:T13)</f>
        <v>0</v>
      </c>
      <c r="U14" s="90"/>
      <c r="V14" s="131">
        <f>SUM(V12:V13)</f>
        <v>0</v>
      </c>
      <c r="W14" s="90"/>
      <c r="X14" s="131">
        <f>SUM(X12:X13)</f>
        <v>0</v>
      </c>
      <c r="Y14" s="90"/>
      <c r="Z14" s="131">
        <f>SUM(Z12:Z13)</f>
        <v>0</v>
      </c>
      <c r="AA14" s="90"/>
      <c r="AB14" s="131">
        <f>SUM(AB12:AB13)</f>
        <v>0</v>
      </c>
      <c r="AC14" s="90"/>
      <c r="AD14" s="131">
        <f>SUM(AD12:AD13)</f>
        <v>0</v>
      </c>
      <c r="AE14" s="90"/>
      <c r="AF14" s="131">
        <f>SUM(AF12:AF13)</f>
        <v>0</v>
      </c>
      <c r="AG14" s="90"/>
      <c r="AH14" s="131">
        <f>SUM(AH12:AH13)</f>
        <v>0</v>
      </c>
      <c r="AJ14" s="192"/>
      <c r="AK14" s="193">
        <f>AVERAGE(T14,R14,P14,N14,V14)</f>
        <v>0</v>
      </c>
    </row>
    <row r="15" spans="1:37" ht="13.5" hidden="1" thickBot="1" x14ac:dyDescent="0.25">
      <c r="A15" s="2"/>
      <c r="B15" s="122" t="s">
        <v>18</v>
      </c>
      <c r="C15" s="46"/>
      <c r="D15" s="45">
        <f>SUM(D10,D14)</f>
        <v>2777619</v>
      </c>
      <c r="E15" s="13"/>
      <c r="F15" s="68">
        <f>SUM(F10,F14)</f>
        <v>2769927</v>
      </c>
      <c r="G15" s="40"/>
      <c r="H15" s="45">
        <f>SUM(H10,H14)</f>
        <v>2803169</v>
      </c>
      <c r="I15" s="40"/>
      <c r="J15" s="45">
        <f>SUM(J10,J14)</f>
        <v>3375071</v>
      </c>
      <c r="K15" s="13"/>
      <c r="L15" s="68">
        <f>SUM(L10,L14)</f>
        <v>4025973</v>
      </c>
      <c r="M15" s="78"/>
      <c r="N15" s="131">
        <f>SUM(N10,N14)</f>
        <v>4085056</v>
      </c>
      <c r="O15" s="34"/>
      <c r="P15" s="156">
        <f>SUM(P10,P14)</f>
        <v>5981062</v>
      </c>
      <c r="Q15" s="78"/>
      <c r="R15" s="142">
        <f>SUM(R10,R14)</f>
        <v>5731891</v>
      </c>
      <c r="S15" s="78"/>
      <c r="T15" s="131">
        <f>SUM(T10,T14)</f>
        <v>6373768</v>
      </c>
      <c r="U15" s="34"/>
      <c r="V15" s="131">
        <f>SUM(V10,V14)</f>
        <v>6387101</v>
      </c>
      <c r="W15" s="34"/>
      <c r="X15" s="131">
        <f>SUM(X10,X14)</f>
        <v>6269313</v>
      </c>
      <c r="Y15" s="34"/>
      <c r="Z15" s="131">
        <f>SUM(Z10,Z14)</f>
        <v>6557485</v>
      </c>
      <c r="AA15" s="34"/>
      <c r="AB15" s="131">
        <f>SUM(AB10,AB14)</f>
        <v>6607372</v>
      </c>
      <c r="AC15" s="34"/>
      <c r="AD15" s="131">
        <f>SUM(AD10,AD14)</f>
        <v>6781792</v>
      </c>
      <c r="AE15" s="34"/>
      <c r="AF15" s="131">
        <f>SUM(AF10,AF14)</f>
        <v>6970711</v>
      </c>
      <c r="AG15" s="34"/>
      <c r="AH15" s="131">
        <f>SUM(AH10,AH14)</f>
        <v>7925232</v>
      </c>
      <c r="AJ15" s="192"/>
      <c r="AK15" s="194">
        <f>AVERAGE(T15,R15,P15,N15,V15)</f>
        <v>5711775.5999999996</v>
      </c>
    </row>
    <row r="16" spans="1:37" ht="13.5" thickBot="1" x14ac:dyDescent="0.25">
      <c r="A16" s="1"/>
      <c r="B16" s="123" t="s">
        <v>19</v>
      </c>
      <c r="C16" s="47"/>
      <c r="D16" s="48"/>
      <c r="E16" s="31"/>
      <c r="F16" s="31"/>
      <c r="G16" s="47"/>
      <c r="H16" s="48"/>
      <c r="I16" s="47"/>
      <c r="J16" s="48"/>
      <c r="K16" s="31"/>
      <c r="L16" s="31"/>
      <c r="M16" s="106"/>
      <c r="N16" s="129"/>
      <c r="O16" s="91"/>
      <c r="P16" s="157"/>
      <c r="Q16" s="106"/>
      <c r="R16" s="91"/>
      <c r="S16" s="106"/>
      <c r="T16" s="129"/>
      <c r="U16" s="91"/>
      <c r="V16" s="129"/>
      <c r="W16" s="91"/>
      <c r="X16" s="129"/>
      <c r="Y16" s="91"/>
      <c r="Z16" s="129"/>
      <c r="AA16" s="91"/>
      <c r="AB16" s="129"/>
      <c r="AC16" s="91"/>
      <c r="AD16" s="129"/>
      <c r="AE16" s="91"/>
      <c r="AF16" s="129"/>
      <c r="AG16" s="91"/>
      <c r="AH16" s="129"/>
      <c r="AJ16" s="199"/>
      <c r="AK16" s="200"/>
    </row>
    <row r="17" spans="1:37" x14ac:dyDescent="0.2">
      <c r="A17" s="1"/>
      <c r="B17" s="21" t="s">
        <v>0</v>
      </c>
      <c r="C17" s="49"/>
      <c r="D17" s="50"/>
      <c r="E17" s="11"/>
      <c r="F17" s="17"/>
      <c r="G17" s="49"/>
      <c r="H17" s="50"/>
      <c r="I17" s="49"/>
      <c r="J17" s="50"/>
      <c r="K17" s="11"/>
      <c r="L17" s="14"/>
      <c r="M17" s="107"/>
      <c r="N17" s="98"/>
      <c r="O17" s="35"/>
      <c r="P17" s="158"/>
      <c r="Q17" s="107"/>
      <c r="R17" s="143"/>
      <c r="S17" s="107"/>
      <c r="T17" s="98"/>
      <c r="U17" s="35"/>
      <c r="V17" s="98"/>
      <c r="W17" s="35"/>
      <c r="X17" s="98"/>
      <c r="Y17" s="35"/>
      <c r="Z17" s="98"/>
      <c r="AA17" s="35"/>
      <c r="AB17" s="98"/>
      <c r="AC17" s="35"/>
      <c r="AD17" s="98"/>
      <c r="AE17" s="35"/>
      <c r="AF17" s="98"/>
      <c r="AG17" s="35"/>
      <c r="AH17" s="98"/>
      <c r="AJ17" s="195"/>
      <c r="AK17" s="196"/>
    </row>
    <row r="18" spans="1:37" ht="13.5" thickBot="1" x14ac:dyDescent="0.25">
      <c r="A18" s="1"/>
      <c r="B18" s="124" t="s">
        <v>1</v>
      </c>
      <c r="C18" s="76"/>
      <c r="D18" s="51"/>
      <c r="E18" s="23"/>
      <c r="F18" s="15"/>
      <c r="G18" s="76"/>
      <c r="H18" s="51">
        <v>0</v>
      </c>
      <c r="I18" s="76"/>
      <c r="J18" s="51">
        <v>0</v>
      </c>
      <c r="K18" s="23"/>
      <c r="L18" s="23">
        <v>0</v>
      </c>
      <c r="M18" s="116"/>
      <c r="N18" s="117">
        <v>0</v>
      </c>
      <c r="O18" s="133"/>
      <c r="P18" s="15">
        <v>0</v>
      </c>
      <c r="Q18" s="116"/>
      <c r="R18" s="23">
        <v>0</v>
      </c>
      <c r="S18" s="116"/>
      <c r="T18" s="117">
        <v>0</v>
      </c>
      <c r="U18" s="133"/>
      <c r="V18" s="117">
        <v>0</v>
      </c>
      <c r="W18" s="133"/>
      <c r="X18" s="117"/>
      <c r="Y18" s="133"/>
      <c r="Z18" s="117"/>
      <c r="AA18" s="133"/>
      <c r="AB18" s="117"/>
      <c r="AC18" s="133"/>
      <c r="AD18" s="117"/>
      <c r="AE18" s="133"/>
      <c r="AF18" s="117"/>
      <c r="AG18" s="133"/>
      <c r="AH18" s="117"/>
      <c r="AJ18" s="187"/>
      <c r="AK18" s="188"/>
    </row>
    <row r="19" spans="1:37" ht="13.5" thickBot="1" x14ac:dyDescent="0.25">
      <c r="A19" s="1"/>
      <c r="B19" s="20"/>
      <c r="C19" s="52" t="s">
        <v>25</v>
      </c>
      <c r="D19" s="53" t="s">
        <v>27</v>
      </c>
      <c r="E19" s="27" t="s">
        <v>25</v>
      </c>
      <c r="F19" s="16" t="s">
        <v>27</v>
      </c>
      <c r="G19" s="52" t="s">
        <v>25</v>
      </c>
      <c r="H19" s="53" t="s">
        <v>27</v>
      </c>
      <c r="I19" s="52" t="s">
        <v>25</v>
      </c>
      <c r="J19" s="53" t="s">
        <v>27</v>
      </c>
      <c r="K19" s="27" t="s">
        <v>25</v>
      </c>
      <c r="L19" s="16" t="s">
        <v>27</v>
      </c>
      <c r="M19" s="109" t="s">
        <v>25</v>
      </c>
      <c r="N19" s="134" t="s">
        <v>27</v>
      </c>
      <c r="O19" s="92" t="s">
        <v>25</v>
      </c>
      <c r="P19" s="159" t="s">
        <v>27</v>
      </c>
      <c r="Q19" s="109" t="s">
        <v>25</v>
      </c>
      <c r="R19" s="147" t="s">
        <v>27</v>
      </c>
      <c r="S19" s="109" t="s">
        <v>25</v>
      </c>
      <c r="T19" s="134" t="s">
        <v>27</v>
      </c>
      <c r="U19" s="92" t="s">
        <v>25</v>
      </c>
      <c r="V19" s="134" t="s">
        <v>27</v>
      </c>
      <c r="W19" s="92" t="s">
        <v>25</v>
      </c>
      <c r="X19" s="134" t="s">
        <v>27</v>
      </c>
      <c r="Y19" s="92" t="s">
        <v>25</v>
      </c>
      <c r="Z19" s="134" t="s">
        <v>27</v>
      </c>
      <c r="AA19" s="92" t="s">
        <v>25</v>
      </c>
      <c r="AB19" s="134" t="s">
        <v>27</v>
      </c>
      <c r="AC19" s="92" t="s">
        <v>25</v>
      </c>
      <c r="AD19" s="134" t="s">
        <v>27</v>
      </c>
      <c r="AE19" s="92" t="s">
        <v>25</v>
      </c>
      <c r="AF19" s="134" t="s">
        <v>27</v>
      </c>
      <c r="AG19" s="92" t="s">
        <v>25</v>
      </c>
      <c r="AH19" s="134" t="s">
        <v>27</v>
      </c>
      <c r="AJ19" s="197" t="s">
        <v>25</v>
      </c>
      <c r="AK19" s="198" t="s">
        <v>26</v>
      </c>
    </row>
    <row r="20" spans="1:37" x14ac:dyDescent="0.2">
      <c r="A20" s="1"/>
      <c r="B20" s="22" t="s">
        <v>10</v>
      </c>
      <c r="C20" s="54"/>
      <c r="D20" s="55"/>
      <c r="E20" s="37"/>
      <c r="F20" s="69"/>
      <c r="G20" s="54"/>
      <c r="H20" s="55"/>
      <c r="I20" s="54"/>
      <c r="J20" s="55"/>
      <c r="K20" s="37"/>
      <c r="L20" s="37"/>
      <c r="M20" s="151"/>
      <c r="N20" s="139"/>
      <c r="O20" s="137"/>
      <c r="P20" s="160"/>
      <c r="Q20" s="151"/>
      <c r="R20" s="137"/>
      <c r="S20" s="177">
        <v>4</v>
      </c>
      <c r="T20" s="213">
        <v>505482</v>
      </c>
      <c r="U20" s="177">
        <v>2</v>
      </c>
      <c r="V20" s="213">
        <v>1383357</v>
      </c>
      <c r="W20" s="177">
        <v>6</v>
      </c>
      <c r="X20" s="213">
        <v>1462847</v>
      </c>
      <c r="Y20" s="177">
        <v>0</v>
      </c>
      <c r="Z20" s="213">
        <v>0</v>
      </c>
      <c r="AA20" s="175">
        <v>4</v>
      </c>
      <c r="AB20" s="208">
        <v>2069461</v>
      </c>
      <c r="AC20" s="175">
        <v>7</v>
      </c>
      <c r="AD20" s="208">
        <v>315857</v>
      </c>
      <c r="AE20" s="175">
        <v>5</v>
      </c>
      <c r="AF20" s="208">
        <v>135981</v>
      </c>
      <c r="AG20" s="175">
        <v>4</v>
      </c>
      <c r="AH20" s="208">
        <v>528094</v>
      </c>
      <c r="AJ20" s="195"/>
      <c r="AK20" s="196"/>
    </row>
    <row r="21" spans="1:37" x14ac:dyDescent="0.2">
      <c r="A21" s="1"/>
      <c r="B21" s="22"/>
      <c r="C21" s="56"/>
      <c r="D21" s="57"/>
      <c r="E21" s="28"/>
      <c r="F21" s="70"/>
      <c r="G21" s="56"/>
      <c r="H21" s="57"/>
      <c r="I21" s="56"/>
      <c r="J21" s="57"/>
      <c r="K21" s="28"/>
      <c r="L21" s="100"/>
      <c r="M21" s="110"/>
      <c r="N21" s="135"/>
      <c r="O21" s="93"/>
      <c r="P21" s="161"/>
      <c r="Q21" s="110"/>
      <c r="R21" s="173"/>
      <c r="S21" s="184"/>
      <c r="T21" s="229"/>
      <c r="U21" s="184"/>
      <c r="V21" s="229"/>
      <c r="W21" s="184"/>
      <c r="X21" s="229"/>
      <c r="Y21" s="184"/>
      <c r="Z21" s="229"/>
      <c r="AA21" s="178"/>
      <c r="AB21" s="135"/>
      <c r="AC21" s="178"/>
      <c r="AD21" s="135"/>
      <c r="AE21" s="178"/>
      <c r="AF21" s="135"/>
      <c r="AG21" s="178"/>
      <c r="AH21" s="135"/>
      <c r="AJ21" s="187"/>
      <c r="AK21" s="188"/>
    </row>
    <row r="22" spans="1:37" ht="13.5" thickBot="1" x14ac:dyDescent="0.25">
      <c r="A22" s="1"/>
      <c r="B22" s="125" t="s">
        <v>2</v>
      </c>
      <c r="C22" s="58">
        <v>0</v>
      </c>
      <c r="D22" s="51">
        <v>0</v>
      </c>
      <c r="E22" s="38">
        <v>0</v>
      </c>
      <c r="F22" s="15">
        <v>0</v>
      </c>
      <c r="G22" s="58">
        <v>0</v>
      </c>
      <c r="H22" s="51">
        <v>0</v>
      </c>
      <c r="I22" s="58"/>
      <c r="J22" s="71">
        <v>0</v>
      </c>
      <c r="K22" s="10"/>
      <c r="L22" s="101"/>
      <c r="M22" s="108"/>
      <c r="N22" s="171"/>
      <c r="O22" s="36"/>
      <c r="P22" s="162"/>
      <c r="Q22" s="108"/>
      <c r="R22" s="174"/>
      <c r="S22" s="176">
        <v>2</v>
      </c>
      <c r="T22" s="214">
        <v>496321</v>
      </c>
      <c r="U22" s="176">
        <v>3</v>
      </c>
      <c r="V22" s="214">
        <v>2965110</v>
      </c>
      <c r="W22" s="176">
        <v>4</v>
      </c>
      <c r="X22" s="214">
        <v>20389</v>
      </c>
      <c r="Y22" s="176">
        <v>0</v>
      </c>
      <c r="Z22" s="214">
        <v>0</v>
      </c>
      <c r="AA22" s="179">
        <v>3</v>
      </c>
      <c r="AB22" s="209">
        <v>10000</v>
      </c>
      <c r="AC22" s="179">
        <v>2</v>
      </c>
      <c r="AD22" s="209">
        <v>157993</v>
      </c>
      <c r="AE22" s="179">
        <v>6</v>
      </c>
      <c r="AF22" s="209">
        <v>215808</v>
      </c>
      <c r="AG22" s="179">
        <v>5</v>
      </c>
      <c r="AH22" s="209">
        <v>554280</v>
      </c>
      <c r="AJ22" s="187"/>
      <c r="AK22" s="188"/>
    </row>
    <row r="23" spans="1:37" ht="13.5" thickBot="1" x14ac:dyDescent="0.25">
      <c r="A23" s="1"/>
      <c r="B23" s="123" t="s">
        <v>21</v>
      </c>
      <c r="C23" s="59"/>
      <c r="D23" s="60"/>
      <c r="E23" s="8"/>
      <c r="F23" s="32"/>
      <c r="G23" s="59"/>
      <c r="H23" s="60"/>
      <c r="I23" s="59"/>
      <c r="J23" s="72"/>
      <c r="K23" s="8"/>
      <c r="L23" s="102"/>
      <c r="M23" s="111"/>
      <c r="N23" s="136"/>
      <c r="O23" s="94"/>
      <c r="P23" s="157"/>
      <c r="Q23" s="111"/>
      <c r="R23" s="148"/>
      <c r="S23" s="111"/>
      <c r="T23" s="136"/>
      <c r="U23" s="94"/>
      <c r="V23" s="136"/>
      <c r="W23" s="94"/>
      <c r="X23" s="136"/>
      <c r="Y23" s="94"/>
      <c r="Z23" s="136"/>
      <c r="AA23" s="94"/>
      <c r="AB23" s="136"/>
      <c r="AC23" s="94"/>
      <c r="AD23" s="136"/>
      <c r="AE23" s="94"/>
      <c r="AF23" s="136"/>
      <c r="AG23" s="94"/>
      <c r="AH23" s="136"/>
      <c r="AJ23" s="199"/>
      <c r="AK23" s="200"/>
    </row>
    <row r="24" spans="1:37" x14ac:dyDescent="0.2">
      <c r="A24" s="1"/>
      <c r="B24" s="126" t="s">
        <v>22</v>
      </c>
      <c r="C24" s="61"/>
      <c r="D24" s="62"/>
      <c r="E24" s="25"/>
      <c r="F24" s="26"/>
      <c r="G24" s="61"/>
      <c r="H24" s="62"/>
      <c r="I24" s="61"/>
      <c r="J24" s="73"/>
      <c r="K24" s="25"/>
      <c r="L24" s="7"/>
      <c r="M24" s="112"/>
      <c r="N24" s="144"/>
      <c r="O24" s="95"/>
      <c r="P24" s="81"/>
      <c r="Q24" s="112"/>
      <c r="R24" s="80"/>
      <c r="S24" s="112"/>
      <c r="T24" s="140"/>
      <c r="U24" s="95"/>
      <c r="V24" s="140"/>
      <c r="W24" s="95"/>
      <c r="X24" s="140"/>
      <c r="Y24" s="95"/>
      <c r="Z24" s="140"/>
      <c r="AA24" s="95"/>
      <c r="AB24" s="140"/>
      <c r="AC24" s="95"/>
      <c r="AD24" s="140"/>
      <c r="AE24" s="95"/>
      <c r="AF24" s="140"/>
      <c r="AG24" s="95"/>
      <c r="AH24" s="140"/>
      <c r="AJ24" s="195"/>
      <c r="AK24" s="196"/>
    </row>
    <row r="25" spans="1:37" x14ac:dyDescent="0.2">
      <c r="A25" s="1"/>
      <c r="B25" s="118" t="s">
        <v>23</v>
      </c>
      <c r="C25" s="49"/>
      <c r="D25" s="50"/>
      <c r="E25" s="11"/>
      <c r="F25" s="17"/>
      <c r="G25" s="49"/>
      <c r="H25" s="50">
        <v>75</v>
      </c>
      <c r="I25" s="49"/>
      <c r="J25" s="77"/>
      <c r="K25" s="11"/>
      <c r="L25" s="115"/>
      <c r="M25" s="107"/>
      <c r="N25" s="170"/>
      <c r="O25" s="35"/>
      <c r="P25" s="149">
        <v>295</v>
      </c>
      <c r="Q25" s="107"/>
      <c r="R25" s="149">
        <v>745</v>
      </c>
      <c r="S25" s="107"/>
      <c r="T25" s="170">
        <v>105</v>
      </c>
      <c r="U25" s="35"/>
      <c r="V25" s="170">
        <v>231</v>
      </c>
      <c r="W25" s="35"/>
      <c r="X25" s="170">
        <v>165</v>
      </c>
      <c r="Y25" s="35"/>
      <c r="Z25" s="170">
        <v>625</v>
      </c>
      <c r="AA25" s="35"/>
      <c r="AB25" s="170">
        <v>385.48</v>
      </c>
      <c r="AC25" s="35"/>
      <c r="AD25" s="170">
        <v>225</v>
      </c>
      <c r="AE25" s="35"/>
      <c r="AF25" s="170">
        <v>148</v>
      </c>
      <c r="AG25" s="35"/>
      <c r="AH25" s="218"/>
      <c r="AJ25" s="187"/>
      <c r="AK25" s="191">
        <f>AVERAGE(AD25,AB25,Z25,X25,AF25)</f>
        <v>309.69600000000003</v>
      </c>
    </row>
    <row r="26" spans="1:37" ht="13.5" thickBot="1" x14ac:dyDescent="0.25">
      <c r="A26" s="1"/>
      <c r="B26" s="128" t="s">
        <v>24</v>
      </c>
      <c r="C26" s="64"/>
      <c r="D26" s="65">
        <v>0</v>
      </c>
      <c r="E26" s="9"/>
      <c r="F26" s="18">
        <v>0</v>
      </c>
      <c r="G26" s="64"/>
      <c r="H26" s="65">
        <v>0</v>
      </c>
      <c r="I26" s="64"/>
      <c r="J26" s="75">
        <v>0</v>
      </c>
      <c r="K26" s="9"/>
      <c r="L26" s="104">
        <v>0</v>
      </c>
      <c r="M26" s="114"/>
      <c r="N26" s="145">
        <v>0</v>
      </c>
      <c r="O26" s="96"/>
      <c r="P26" s="150">
        <v>0</v>
      </c>
      <c r="Q26" s="114"/>
      <c r="R26" s="150">
        <v>0</v>
      </c>
      <c r="S26" s="114"/>
      <c r="T26" s="145">
        <v>0</v>
      </c>
      <c r="U26" s="96"/>
      <c r="V26" s="145">
        <v>0</v>
      </c>
      <c r="W26" s="96"/>
      <c r="X26" s="145">
        <v>0</v>
      </c>
      <c r="Y26" s="96"/>
      <c r="Z26" s="145">
        <v>0</v>
      </c>
      <c r="AA26" s="96"/>
      <c r="AB26" s="145">
        <v>0</v>
      </c>
      <c r="AC26" s="96"/>
      <c r="AD26" s="145">
        <v>0</v>
      </c>
      <c r="AE26" s="96"/>
      <c r="AF26" s="145">
        <v>0</v>
      </c>
      <c r="AG26" s="96"/>
      <c r="AH26" s="228"/>
      <c r="AJ26" s="189"/>
      <c r="AK26" s="227">
        <f>AVERAGE(AD26,AB26,Z26,X26,AF26)</f>
        <v>0</v>
      </c>
    </row>
    <row r="27" spans="1:37" ht="13.5" thickTop="1" x14ac:dyDescent="0.2">
      <c r="A27" s="1"/>
      <c r="B27" s="5"/>
      <c r="C27" s="25"/>
      <c r="D27" s="26"/>
      <c r="E27" s="25"/>
      <c r="F27" s="26"/>
      <c r="G27" s="25"/>
      <c r="H27" s="26"/>
      <c r="I27" s="25"/>
      <c r="J27" s="26"/>
      <c r="K27" s="25"/>
      <c r="L27" s="27"/>
      <c r="M27" s="95"/>
      <c r="N27" s="92"/>
      <c r="O27" s="95"/>
      <c r="P27" s="97"/>
      <c r="Q27" s="95"/>
      <c r="R27" s="92"/>
      <c r="S27" s="95"/>
      <c r="T27" s="92"/>
      <c r="U27" s="95"/>
      <c r="V27" s="92"/>
      <c r="W27" s="95"/>
      <c r="X27" s="92"/>
      <c r="Y27" s="95"/>
      <c r="Z27" s="92"/>
      <c r="AA27" s="95"/>
      <c r="AB27" s="92"/>
      <c r="AC27" s="95"/>
      <c r="AD27" s="92"/>
      <c r="AE27" s="95"/>
      <c r="AF27" s="92"/>
      <c r="AG27" s="95"/>
      <c r="AH27" s="92"/>
    </row>
    <row r="28" spans="1:37" x14ac:dyDescent="0.2">
      <c r="AH28" t="s">
        <v>3</v>
      </c>
    </row>
    <row r="31" spans="1:37" x14ac:dyDescent="0.2">
      <c r="W31" s="33" t="s">
        <v>3</v>
      </c>
    </row>
  </sheetData>
  <mergeCells count="17">
    <mergeCell ref="W5:X5"/>
    <mergeCell ref="AJ5:AK5"/>
    <mergeCell ref="S5:T5"/>
    <mergeCell ref="O5:P5"/>
    <mergeCell ref="Q5:R5"/>
    <mergeCell ref="U5:V5"/>
    <mergeCell ref="Y5:Z5"/>
    <mergeCell ref="AA5:AB5"/>
    <mergeCell ref="AC5:AD5"/>
    <mergeCell ref="AE5:AF5"/>
    <mergeCell ref="AG5:AH5"/>
    <mergeCell ref="K5:L5"/>
    <mergeCell ref="M5:N5"/>
    <mergeCell ref="C5:D5"/>
    <mergeCell ref="E5:F5"/>
    <mergeCell ref="G5:H5"/>
    <mergeCell ref="I5:J5"/>
  </mergeCells>
  <phoneticPr fontId="9" type="noConversion"/>
  <pageMargins left="0.75" right="0.75" top="1" bottom="1" header="0.5" footer="0.5"/>
  <pageSetup scale="72" orientation="landscape" r:id="rId1"/>
  <headerFooter alignWithMargins="0">
    <oddFooter>&amp;R&amp;P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Dean_Tech</vt:lpstr>
      <vt:lpstr>Aviation</vt:lpstr>
      <vt:lpstr>Arts_Sci_Bus</vt:lpstr>
      <vt:lpstr>Eng Technology</vt:lpstr>
      <vt:lpstr>Summary</vt:lpstr>
      <vt:lpstr>Salina Other</vt:lpstr>
      <vt:lpstr>Arts_Sci_Bus!Print_Area</vt:lpstr>
      <vt:lpstr>Aviation!Print_Area</vt:lpstr>
      <vt:lpstr>Dean_Tech!Print_Area</vt:lpstr>
      <vt:lpstr>'Eng Technology'!Print_Area</vt:lpstr>
      <vt:lpstr>'Salina Other'!Print_Area</vt:lpstr>
      <vt:lpstr>Summary!Print_Area</vt:lpstr>
      <vt:lpstr>Arts_Sci_Bus!Print_Titles</vt:lpstr>
      <vt:lpstr>Aviation!Print_Titles</vt:lpstr>
      <vt:lpstr>Dean_Tech!Print_Titles</vt:lpstr>
      <vt:lpstr>'Eng Technology'!Print_Titles</vt:lpstr>
      <vt:lpstr>Summary!Print_Titles</vt:lpstr>
    </vt:vector>
  </TitlesOfParts>
  <Company>Computing &amp; Network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Cox</dc:creator>
  <cp:lastModifiedBy>Nancy Baker</cp:lastModifiedBy>
  <cp:lastPrinted>2016-11-09T19:55:00Z</cp:lastPrinted>
  <dcterms:created xsi:type="dcterms:W3CDTF">1998-07-17T17:25:39Z</dcterms:created>
  <dcterms:modified xsi:type="dcterms:W3CDTF">2016-11-09T19:55:06Z</dcterms:modified>
</cp:coreProperties>
</file>