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baker\Documents\PA\deptprofiles\"/>
    </mc:Choice>
  </mc:AlternateContent>
  <bookViews>
    <workbookView xWindow="0" yWindow="0" windowWidth="25200" windowHeight="11385" tabRatio="645" firstSheet="6" activeTab="6"/>
  </bookViews>
  <sheets>
    <sheet name="Dean_HE" sheetId="1" state="hidden" r:id="rId1"/>
    <sheet name="ATID" sheetId="2" state="hidden" r:id="rId2"/>
    <sheet name="HM" sheetId="3" state="hidden" r:id="rId3"/>
    <sheet name="Food Nutrition Diet Health" sheetId="5" state="hidden" r:id="rId4"/>
    <sheet name="FSHS" sheetId="4" state="hidden" r:id="rId5"/>
    <sheet name="Kinesiology" sheetId="9" state="hidden" r:id="rId6"/>
    <sheet name="Summary" sheetId="10" r:id="rId7"/>
  </sheets>
  <definedNames>
    <definedName name="_xlnm.Print_Area" localSheetId="1">ATID!$A$8:$AG$33</definedName>
    <definedName name="_xlnm.Print_Area" localSheetId="0">Dean_HE!$A$9:$AG$33</definedName>
    <definedName name="_xlnm.Print_Area" localSheetId="3">'Food Nutrition Diet Health'!$A$8:$AG$31</definedName>
    <definedName name="_xlnm.Print_Area" localSheetId="4">FSHS!$A$8:$AG$33</definedName>
    <definedName name="_xlnm.Print_Area" localSheetId="2">HM!$A$8:$AG$33</definedName>
    <definedName name="_xlnm.Print_Area" localSheetId="5">Kinesiology!$A$8:$AG$33</definedName>
    <definedName name="_xlnm.Print_Area" localSheetId="6">Summary!$A$1:$W$32</definedName>
    <definedName name="_xlnm.Print_Titles" localSheetId="1">ATID!$A:$A,ATID!$1:$7</definedName>
    <definedName name="_xlnm.Print_Titles" localSheetId="0">Dean_HE!$A:$A,Dean_HE!$1:$7</definedName>
    <definedName name="_xlnm.Print_Titles" localSheetId="3">'Food Nutrition Diet Health'!$A:$A,'Food Nutrition Diet Health'!$1:$7</definedName>
    <definedName name="_xlnm.Print_Titles" localSheetId="4">FSHS!$A:$A,FSHS!$1:$7</definedName>
    <definedName name="_xlnm.Print_Titles" localSheetId="2">HM!$A:$A,HM!$1:$7</definedName>
    <definedName name="_xlnm.Print_Titles" localSheetId="5">Kinesiology!$A:$A,Kinesiology!$1:$7</definedName>
    <definedName name="_xlnm.Print_Titles" localSheetId="6">Summary!$A:$A,Summary!$1:$7</definedName>
  </definedNames>
  <calcPr calcId="152511"/>
</workbook>
</file>

<file path=xl/calcChain.xml><?xml version="1.0" encoding="utf-8"?>
<calcChain xmlns="http://schemas.openxmlformats.org/spreadsheetml/2006/main">
  <c r="E30" i="10" l="1"/>
  <c r="G30" i="10"/>
  <c r="I30" i="10"/>
  <c r="K30" i="10"/>
  <c r="M30" i="10"/>
  <c r="O30" i="10"/>
  <c r="Q30" i="10"/>
  <c r="AA30" i="1"/>
  <c r="G25" i="10" l="1"/>
  <c r="I25" i="10"/>
  <c r="K25" i="10"/>
  <c r="M25" i="10"/>
  <c r="O25" i="10"/>
  <c r="Q25" i="10"/>
  <c r="E25" i="10"/>
  <c r="B27" i="10" l="1"/>
  <c r="C27" i="10"/>
  <c r="D27" i="10"/>
  <c r="F27" i="10"/>
  <c r="G27" i="10"/>
  <c r="H27" i="10"/>
  <c r="I27" i="10"/>
  <c r="J27" i="10"/>
  <c r="L27" i="10"/>
  <c r="M27" i="10"/>
  <c r="N27" i="10"/>
  <c r="O27" i="10"/>
  <c r="B28" i="10"/>
  <c r="C28" i="10"/>
  <c r="D28" i="10"/>
  <c r="E28" i="10"/>
  <c r="F28" i="10"/>
  <c r="G28" i="10"/>
  <c r="H28" i="10"/>
  <c r="I28" i="10"/>
  <c r="J28" i="10"/>
  <c r="L28" i="10"/>
  <c r="M28" i="10"/>
  <c r="N28" i="10"/>
  <c r="O28" i="10"/>
  <c r="Q28" i="10"/>
  <c r="P28" i="10"/>
  <c r="Q27" i="10"/>
  <c r="P27" i="10"/>
  <c r="C23" i="5" l="1"/>
  <c r="K23" i="5"/>
  <c r="AF23" i="5"/>
  <c r="AG23" i="5"/>
  <c r="AF24" i="5"/>
  <c r="AG24" i="5"/>
  <c r="AE27" i="5"/>
  <c r="AF27" i="5"/>
  <c r="AG27" i="5"/>
  <c r="AE28" i="5"/>
  <c r="AF28" i="5"/>
  <c r="AG28" i="5"/>
  <c r="AF30" i="5"/>
  <c r="AG30" i="5"/>
  <c r="AF31" i="5"/>
  <c r="AC19" i="5"/>
  <c r="AC17" i="5"/>
  <c r="AC14" i="5"/>
  <c r="AC12" i="5"/>
  <c r="AC14" i="1"/>
  <c r="AC12" i="1"/>
  <c r="AC13" i="1"/>
  <c r="AF31" i="9" l="1"/>
  <c r="AG30" i="9"/>
  <c r="AF30" i="9"/>
  <c r="AG28" i="9"/>
  <c r="AE28" i="9"/>
  <c r="AG27" i="9"/>
  <c r="AE27" i="9"/>
  <c r="AF25" i="9"/>
  <c r="AG24" i="9"/>
  <c r="AG23" i="9"/>
  <c r="AF23" i="9"/>
  <c r="AG14" i="9"/>
  <c r="AF14" i="9"/>
  <c r="AG12" i="9"/>
  <c r="AF12" i="9"/>
  <c r="AG31" i="4"/>
  <c r="AF31" i="4"/>
  <c r="AG30" i="4"/>
  <c r="AF30" i="4"/>
  <c r="AG28" i="4"/>
  <c r="AF28" i="4"/>
  <c r="AE28" i="4"/>
  <c r="AG27" i="4"/>
  <c r="AF27" i="4"/>
  <c r="AE27" i="4"/>
  <c r="AG25" i="4"/>
  <c r="AF25" i="4"/>
  <c r="AG24" i="4"/>
  <c r="AF24" i="4"/>
  <c r="AG23" i="4"/>
  <c r="AF23" i="4"/>
  <c r="AG19" i="4"/>
  <c r="AF19" i="4"/>
  <c r="AG17" i="4"/>
  <c r="AF17" i="4"/>
  <c r="AG14" i="4"/>
  <c r="AF14" i="4"/>
  <c r="AG12" i="4"/>
  <c r="AF12" i="4"/>
  <c r="AG19" i="5"/>
  <c r="AG17" i="5"/>
  <c r="AG14" i="5"/>
  <c r="AF14" i="5"/>
  <c r="AG12" i="5"/>
  <c r="AF12" i="5"/>
  <c r="AF31" i="3"/>
  <c r="AG30" i="3"/>
  <c r="AF30" i="3"/>
  <c r="AG28" i="3"/>
  <c r="AF28" i="3"/>
  <c r="AE28" i="3"/>
  <c r="AG27" i="3"/>
  <c r="AF27" i="3"/>
  <c r="AE27" i="3"/>
  <c r="AF25" i="3"/>
  <c r="AG24" i="3"/>
  <c r="AF24" i="3"/>
  <c r="AG23" i="3"/>
  <c r="AF23" i="3"/>
  <c r="AG17" i="3"/>
  <c r="AF17" i="3"/>
  <c r="AG14" i="3"/>
  <c r="AF14" i="3"/>
  <c r="AG12" i="3"/>
  <c r="AF12" i="3"/>
  <c r="AF31" i="2"/>
  <c r="AG30" i="2"/>
  <c r="AF30" i="2"/>
  <c r="AG28" i="2"/>
  <c r="AF28" i="2"/>
  <c r="AE28" i="2"/>
  <c r="AG27" i="2"/>
  <c r="AF27" i="2"/>
  <c r="AE27" i="2"/>
  <c r="AF25" i="2"/>
  <c r="AG24" i="2"/>
  <c r="AF24" i="2"/>
  <c r="AG23" i="2"/>
  <c r="AF23" i="2"/>
  <c r="AF19" i="2"/>
  <c r="AG17" i="2"/>
  <c r="AF17" i="2"/>
  <c r="AG14" i="2"/>
  <c r="AF14" i="2"/>
  <c r="AG12" i="2"/>
  <c r="AF12" i="2"/>
  <c r="AE28" i="1"/>
  <c r="AE27" i="1"/>
  <c r="AG31" i="1"/>
  <c r="AF31" i="1"/>
  <c r="AG28" i="1"/>
  <c r="AF28" i="1"/>
  <c r="AG27" i="1"/>
  <c r="AF27" i="1"/>
  <c r="AG25" i="1"/>
  <c r="AF25" i="1"/>
  <c r="AG24" i="1"/>
  <c r="AF24" i="1"/>
  <c r="AG23" i="1"/>
  <c r="AF23" i="1"/>
  <c r="AG13" i="1"/>
  <c r="AG14" i="1"/>
  <c r="AG19" i="1"/>
  <c r="AF19" i="1"/>
  <c r="AG17" i="1"/>
  <c r="AF17" i="1"/>
  <c r="AF14" i="1"/>
  <c r="AF13" i="1"/>
  <c r="AG12" i="1"/>
  <c r="AF12" i="1"/>
  <c r="AA15" i="1"/>
  <c r="AA20" i="1"/>
  <c r="AA21" i="1" l="1"/>
  <c r="S19" i="10"/>
  <c r="S18" i="10"/>
  <c r="S17" i="10"/>
  <c r="S14" i="10"/>
  <c r="S13" i="10"/>
  <c r="S12" i="10"/>
  <c r="AC20" i="9"/>
  <c r="AC15" i="9"/>
  <c r="AC20" i="4"/>
  <c r="AC15" i="4"/>
  <c r="AC20" i="5"/>
  <c r="AC15" i="5"/>
  <c r="AC20" i="3"/>
  <c r="AC15" i="3"/>
  <c r="AC20" i="2"/>
  <c r="AC15" i="2"/>
  <c r="AC20" i="1"/>
  <c r="AC15" i="1"/>
  <c r="AB21" i="5" l="1"/>
  <c r="AF21" i="5" s="1"/>
  <c r="AC21" i="5"/>
  <c r="AC21" i="9"/>
  <c r="AC21" i="4"/>
  <c r="AC21" i="3"/>
  <c r="AC21" i="2"/>
  <c r="S20" i="10"/>
  <c r="AC21" i="1"/>
  <c r="S15" i="10"/>
  <c r="Q31" i="10"/>
  <c r="O31" i="10"/>
  <c r="M31" i="10"/>
  <c r="K31" i="10"/>
  <c r="I31" i="10"/>
  <c r="G31" i="10"/>
  <c r="E31" i="10"/>
  <c r="C31" i="10"/>
  <c r="W25" i="10"/>
  <c r="Q24" i="10"/>
  <c r="Q23" i="10"/>
  <c r="C25" i="10"/>
  <c r="O23" i="10"/>
  <c r="M23" i="10"/>
  <c r="K23" i="10"/>
  <c r="I24" i="10"/>
  <c r="I23" i="10"/>
  <c r="G24" i="10"/>
  <c r="G23" i="10"/>
  <c r="E24" i="10"/>
  <c r="E23" i="10"/>
  <c r="C24" i="10"/>
  <c r="C23" i="10"/>
  <c r="Q18" i="10"/>
  <c r="O19" i="10"/>
  <c r="O18" i="10"/>
  <c r="O17" i="10"/>
  <c r="M19" i="10"/>
  <c r="M18" i="10"/>
  <c r="M17" i="10"/>
  <c r="K19" i="10"/>
  <c r="K18" i="10"/>
  <c r="K17" i="10"/>
  <c r="W17" i="10" s="1"/>
  <c r="I19" i="10"/>
  <c r="I18" i="10"/>
  <c r="I17" i="10"/>
  <c r="G19" i="10"/>
  <c r="G18" i="10"/>
  <c r="G17" i="10"/>
  <c r="E19" i="10"/>
  <c r="E18" i="10"/>
  <c r="E17" i="10"/>
  <c r="C18" i="10"/>
  <c r="C19" i="10"/>
  <c r="Q14" i="10"/>
  <c r="Q13" i="10"/>
  <c r="Q12" i="10"/>
  <c r="O14" i="10"/>
  <c r="O13" i="10"/>
  <c r="O12" i="10"/>
  <c r="M14" i="10"/>
  <c r="M13" i="10"/>
  <c r="M12" i="10"/>
  <c r="K14" i="10"/>
  <c r="W14" i="10" s="1"/>
  <c r="K13" i="10"/>
  <c r="W13" i="10" s="1"/>
  <c r="K12" i="10"/>
  <c r="W12" i="10" s="1"/>
  <c r="I14" i="10"/>
  <c r="I13" i="10"/>
  <c r="I12" i="10"/>
  <c r="G14" i="10"/>
  <c r="G13" i="10"/>
  <c r="G12" i="10"/>
  <c r="E14" i="10"/>
  <c r="E13" i="10"/>
  <c r="C13" i="10"/>
  <c r="C14" i="10"/>
  <c r="U27" i="10" l="1"/>
  <c r="V12" i="10"/>
  <c r="V23" i="10"/>
  <c r="V13" i="10"/>
  <c r="V18" i="10"/>
  <c r="W23" i="10"/>
  <c r="V25" i="10"/>
  <c r="V14" i="10"/>
  <c r="W28" i="10"/>
  <c r="W31" i="10"/>
  <c r="V31" i="10"/>
  <c r="U28" i="10"/>
  <c r="W24" i="10"/>
  <c r="W27" i="10"/>
  <c r="W19" i="10"/>
  <c r="S21" i="10"/>
  <c r="O15" i="10"/>
  <c r="G20" i="10"/>
  <c r="I15" i="10"/>
  <c r="M20" i="10"/>
  <c r="G15" i="10"/>
  <c r="M15" i="10"/>
  <c r="Q15" i="10"/>
  <c r="E20" i="10"/>
  <c r="K20" i="10"/>
  <c r="W20" i="10" s="1"/>
  <c r="O20" i="10"/>
  <c r="K15" i="10"/>
  <c r="W15" i="10" s="1"/>
  <c r="I20" i="10"/>
  <c r="V15" i="10" l="1"/>
  <c r="M21" i="10"/>
  <c r="G21" i="10"/>
  <c r="K21" i="10"/>
  <c r="W21" i="10" s="1"/>
  <c r="I21" i="10"/>
  <c r="O21" i="10"/>
  <c r="C15" i="2" l="1"/>
  <c r="E15" i="2"/>
  <c r="E21" i="2" s="1"/>
  <c r="G15" i="2"/>
  <c r="I15" i="2"/>
  <c r="K15" i="2"/>
  <c r="C20" i="2"/>
  <c r="E20" i="2"/>
  <c r="G20" i="2"/>
  <c r="G21" i="2" s="1"/>
  <c r="I20" i="2"/>
  <c r="I21" i="2" s="1"/>
  <c r="K20" i="2"/>
  <c r="K21" i="2" s="1"/>
  <c r="C23" i="2"/>
  <c r="C21" i="2" l="1"/>
  <c r="Y30" i="1"/>
  <c r="W24" i="9" l="1"/>
  <c r="M24" i="10" s="1"/>
  <c r="Y24" i="9"/>
  <c r="O24" i="10" s="1"/>
  <c r="U24" i="9" l="1"/>
  <c r="AF24" i="9" l="1"/>
  <c r="K24" i="10"/>
  <c r="V24" i="10" s="1"/>
  <c r="AA19" i="5" l="1"/>
  <c r="AF19" i="5" s="1"/>
  <c r="AA17" i="5"/>
  <c r="AF17" i="5" s="1"/>
  <c r="Q17" i="10" l="1"/>
  <c r="V17" i="10" s="1"/>
  <c r="Q19" i="10"/>
  <c r="V19" i="10" s="1"/>
  <c r="AA15" i="9"/>
  <c r="AA20" i="9"/>
  <c r="AA15" i="4"/>
  <c r="AA20" i="4"/>
  <c r="AA15" i="5"/>
  <c r="AA20" i="5"/>
  <c r="AA15" i="3"/>
  <c r="AA20" i="3"/>
  <c r="AA15" i="2"/>
  <c r="AA20" i="2"/>
  <c r="AA21" i="5" l="1"/>
  <c r="Q20" i="10"/>
  <c r="V20" i="10" s="1"/>
  <c r="AA21" i="4"/>
  <c r="AA21" i="3"/>
  <c r="AA21" i="2"/>
  <c r="AA21" i="9"/>
  <c r="Q21" i="10" l="1"/>
  <c r="V21" i="10" s="1"/>
  <c r="W30" i="1"/>
  <c r="Y15" i="2" l="1"/>
  <c r="Y20" i="2"/>
  <c r="Y15" i="4"/>
  <c r="Y20" i="4"/>
  <c r="Y15" i="3"/>
  <c r="Y20" i="3"/>
  <c r="Y15" i="5"/>
  <c r="Y20" i="5"/>
  <c r="Y15" i="9"/>
  <c r="Y20" i="9"/>
  <c r="Y15" i="1"/>
  <c r="Y20" i="1"/>
  <c r="Y21" i="5" l="1"/>
  <c r="Y21" i="9"/>
  <c r="Y21" i="2"/>
  <c r="Y21" i="4"/>
  <c r="Y21" i="3"/>
  <c r="Y21" i="1"/>
  <c r="U30" i="1" l="1"/>
  <c r="U28" i="9" l="1"/>
  <c r="U27" i="9"/>
  <c r="K27" i="10" l="1"/>
  <c r="V27" i="10" s="1"/>
  <c r="AF27" i="9"/>
  <c r="K28" i="10"/>
  <c r="V28" i="10" s="1"/>
  <c r="AF28" i="9"/>
  <c r="W15" i="9"/>
  <c r="W20" i="9"/>
  <c r="W15" i="5"/>
  <c r="W20" i="5"/>
  <c r="W15" i="3"/>
  <c r="W20" i="3"/>
  <c r="W15" i="4"/>
  <c r="W20" i="4"/>
  <c r="AF20" i="4" s="1"/>
  <c r="W15" i="2"/>
  <c r="W20" i="2"/>
  <c r="W15" i="1"/>
  <c r="AF15" i="1" s="1"/>
  <c r="W20" i="1"/>
  <c r="K12" i="9"/>
  <c r="M12" i="9"/>
  <c r="C15" i="9"/>
  <c r="E15" i="9"/>
  <c r="G15" i="9"/>
  <c r="I15" i="9"/>
  <c r="K15" i="9"/>
  <c r="M15" i="9"/>
  <c r="O15" i="9"/>
  <c r="Q15" i="9"/>
  <c r="S15" i="9"/>
  <c r="U15" i="9"/>
  <c r="AG15" i="9" s="1"/>
  <c r="M17" i="9"/>
  <c r="C17" i="10" s="1"/>
  <c r="C20" i="10" s="1"/>
  <c r="K19" i="9"/>
  <c r="K20" i="9" s="1"/>
  <c r="C20" i="9"/>
  <c r="E20" i="9"/>
  <c r="E21" i="9" s="1"/>
  <c r="G20" i="9"/>
  <c r="I20" i="9"/>
  <c r="M20" i="9"/>
  <c r="O20" i="9"/>
  <c r="Q20" i="9"/>
  <c r="S20" i="9"/>
  <c r="U20" i="9"/>
  <c r="C23" i="9"/>
  <c r="K23" i="9"/>
  <c r="J27" i="9"/>
  <c r="K27" i="9"/>
  <c r="J28" i="9"/>
  <c r="K28" i="9"/>
  <c r="S30" i="1"/>
  <c r="U15" i="1"/>
  <c r="AG15" i="1" s="1"/>
  <c r="U20" i="1"/>
  <c r="AG20" i="1" s="1"/>
  <c r="U15" i="2"/>
  <c r="AG15" i="2" s="1"/>
  <c r="U20" i="2"/>
  <c r="U15" i="4"/>
  <c r="AG15" i="4" s="1"/>
  <c r="U20" i="4"/>
  <c r="AG20" i="4" s="1"/>
  <c r="U15" i="3"/>
  <c r="AG15" i="3" s="1"/>
  <c r="U20" i="3"/>
  <c r="AG20" i="3" s="1"/>
  <c r="U15" i="5"/>
  <c r="AG15" i="5" s="1"/>
  <c r="U20" i="5"/>
  <c r="AG20" i="5" s="1"/>
  <c r="S20" i="5"/>
  <c r="S15" i="5"/>
  <c r="S20" i="3"/>
  <c r="S15" i="3"/>
  <c r="S20" i="4"/>
  <c r="S15" i="4"/>
  <c r="S20" i="2"/>
  <c r="S15" i="2"/>
  <c r="S20" i="1"/>
  <c r="S15" i="1"/>
  <c r="Q30" i="1"/>
  <c r="O30" i="1"/>
  <c r="O27" i="1"/>
  <c r="E27" i="10" s="1"/>
  <c r="Q15" i="1"/>
  <c r="Q20" i="1"/>
  <c r="Q15" i="2"/>
  <c r="Q20" i="2"/>
  <c r="Q15" i="4"/>
  <c r="Q20" i="4"/>
  <c r="Q15" i="3"/>
  <c r="Q20" i="3"/>
  <c r="Q15" i="5"/>
  <c r="Q20" i="5"/>
  <c r="M30" i="1"/>
  <c r="C30" i="10" s="1"/>
  <c r="O12" i="1"/>
  <c r="E12" i="10" s="1"/>
  <c r="E15" i="10" s="1"/>
  <c r="E21" i="10" s="1"/>
  <c r="K30" i="1"/>
  <c r="I30" i="1"/>
  <c r="G30" i="1"/>
  <c r="E30" i="1"/>
  <c r="K23" i="4"/>
  <c r="K12" i="1"/>
  <c r="K20" i="1"/>
  <c r="K20" i="4"/>
  <c r="I12" i="1"/>
  <c r="I17" i="1"/>
  <c r="I19" i="1"/>
  <c r="G12" i="1"/>
  <c r="G14" i="1"/>
  <c r="G17" i="1"/>
  <c r="G19" i="1"/>
  <c r="O20" i="1"/>
  <c r="O20" i="2"/>
  <c r="O20" i="3"/>
  <c r="O20" i="5"/>
  <c r="O20" i="4"/>
  <c r="M12" i="1"/>
  <c r="M15" i="1" s="1"/>
  <c r="M21" i="1" s="1"/>
  <c r="M20" i="1"/>
  <c r="M20" i="4"/>
  <c r="O15" i="5"/>
  <c r="O15" i="3"/>
  <c r="O15" i="4"/>
  <c r="M15" i="4"/>
  <c r="K15" i="4"/>
  <c r="K21" i="4" s="1"/>
  <c r="I15" i="4"/>
  <c r="I20" i="4"/>
  <c r="G15" i="4"/>
  <c r="G20" i="4"/>
  <c r="O15" i="2"/>
  <c r="E12" i="1"/>
  <c r="E14" i="1"/>
  <c r="C23" i="4"/>
  <c r="E15" i="4"/>
  <c r="E20" i="4"/>
  <c r="K23" i="3"/>
  <c r="M20" i="2"/>
  <c r="M20" i="3"/>
  <c r="M20" i="5"/>
  <c r="M15" i="2"/>
  <c r="M15" i="3"/>
  <c r="M15" i="5"/>
  <c r="C14" i="1"/>
  <c r="C12" i="1"/>
  <c r="C15" i="4"/>
  <c r="G15" i="5"/>
  <c r="E15" i="5"/>
  <c r="C15" i="5"/>
  <c r="G15" i="3"/>
  <c r="E15" i="3"/>
  <c r="C15" i="3"/>
  <c r="K20" i="3"/>
  <c r="K20" i="5"/>
  <c r="C23" i="3"/>
  <c r="K15" i="5"/>
  <c r="K15" i="3"/>
  <c r="I15" i="5"/>
  <c r="I20" i="5"/>
  <c r="I15" i="3"/>
  <c r="I20" i="3"/>
  <c r="G20" i="5"/>
  <c r="G20" i="3"/>
  <c r="E20" i="1"/>
  <c r="C20" i="1"/>
  <c r="E20" i="5"/>
  <c r="C20" i="5"/>
  <c r="C20" i="4"/>
  <c r="E20" i="3"/>
  <c r="C20" i="3"/>
  <c r="AG30" i="1" l="1"/>
  <c r="AF30" i="1"/>
  <c r="C12" i="10"/>
  <c r="C15" i="10" s="1"/>
  <c r="C21" i="10" s="1"/>
  <c r="AF20" i="1"/>
  <c r="AF15" i="2"/>
  <c r="AF20" i="3"/>
  <c r="AF15" i="3"/>
  <c r="M21" i="4"/>
  <c r="AF15" i="4"/>
  <c r="AF20" i="9"/>
  <c r="AF15" i="9"/>
  <c r="I21" i="9"/>
  <c r="G21" i="5"/>
  <c r="C21" i="5"/>
  <c r="K21" i="5"/>
  <c r="AF20" i="5"/>
  <c r="W21" i="5"/>
  <c r="AE21" i="5" s="1"/>
  <c r="AF15" i="5"/>
  <c r="M21" i="5"/>
  <c r="AG20" i="2"/>
  <c r="AF20" i="2"/>
  <c r="G21" i="9"/>
  <c r="O21" i="2"/>
  <c r="Q21" i="1"/>
  <c r="W21" i="9"/>
  <c r="AF21" i="9" s="1"/>
  <c r="O21" i="9"/>
  <c r="C21" i="9"/>
  <c r="S21" i="9"/>
  <c r="K21" i="9"/>
  <c r="G15" i="1"/>
  <c r="G21" i="1" s="1"/>
  <c r="O15" i="1"/>
  <c r="O21" i="1" s="1"/>
  <c r="G20" i="1"/>
  <c r="I20" i="1"/>
  <c r="E15" i="1"/>
  <c r="E21" i="1" s="1"/>
  <c r="C15" i="1"/>
  <c r="C21" i="1" s="1"/>
  <c r="I15" i="1"/>
  <c r="I21" i="1" s="1"/>
  <c r="S21" i="1"/>
  <c r="Q21" i="9"/>
  <c r="M21" i="9"/>
  <c r="Q21" i="4"/>
  <c r="U21" i="4"/>
  <c r="AG21" i="4" s="1"/>
  <c r="W21" i="4"/>
  <c r="AF21" i="4" s="1"/>
  <c r="E21" i="4"/>
  <c r="O21" i="4"/>
  <c r="C21" i="4"/>
  <c r="I21" i="4"/>
  <c r="U21" i="5"/>
  <c r="AG21" i="5" s="1"/>
  <c r="O21" i="5"/>
  <c r="S21" i="5"/>
  <c r="E21" i="5"/>
  <c r="E21" i="3"/>
  <c r="O21" i="3"/>
  <c r="K21" i="3"/>
  <c r="C21" i="3"/>
  <c r="G21" i="3"/>
  <c r="I21" i="3"/>
  <c r="Q21" i="3"/>
  <c r="S21" i="3"/>
  <c r="U21" i="3"/>
  <c r="AG21" i="3" s="1"/>
  <c r="S21" i="2"/>
  <c r="U21" i="2"/>
  <c r="M21" i="2"/>
  <c r="K15" i="1"/>
  <c r="K21" i="1" s="1"/>
  <c r="I21" i="5"/>
  <c r="G21" i="4"/>
  <c r="Q21" i="5"/>
  <c r="Q21" i="2"/>
  <c r="S21" i="4"/>
  <c r="U21" i="1"/>
  <c r="AG21" i="1" s="1"/>
  <c r="W21" i="1"/>
  <c r="W21" i="2"/>
  <c r="W21" i="3"/>
  <c r="M21" i="3"/>
  <c r="U21" i="9"/>
  <c r="AG21" i="9" s="1"/>
  <c r="W30" i="10" l="1"/>
  <c r="V30" i="10"/>
  <c r="AF21" i="1"/>
  <c r="AF21" i="3"/>
  <c r="AF21" i="2"/>
  <c r="AG21" i="2"/>
</calcChain>
</file>

<file path=xl/sharedStrings.xml><?xml version="1.0" encoding="utf-8"?>
<sst xmlns="http://schemas.openxmlformats.org/spreadsheetml/2006/main" count="512" uniqueCount="55">
  <si>
    <t xml:space="preserve"> </t>
  </si>
  <si>
    <t>Department:  School of Family Studies and Human Services</t>
  </si>
  <si>
    <t>Department:  Apparel Textiles, and Interior Design</t>
  </si>
  <si>
    <t>FY 2004</t>
  </si>
  <si>
    <t>FY 2005</t>
  </si>
  <si>
    <t>Budgeted Dollars:</t>
  </si>
  <si>
    <t>Main Campus</t>
  </si>
  <si>
    <t>General Use</t>
  </si>
  <si>
    <t>Total Main Campus</t>
  </si>
  <si>
    <t>Research &amp; Extension</t>
  </si>
  <si>
    <t>Total Research &amp; Extension</t>
  </si>
  <si>
    <t>Total Department</t>
  </si>
  <si>
    <t>Foundation Accounts:</t>
  </si>
  <si>
    <t>Total Donations</t>
  </si>
  <si>
    <t>Endowed Chairs</t>
  </si>
  <si>
    <t>N</t>
  </si>
  <si>
    <t>$</t>
  </si>
  <si>
    <t>FY 2006</t>
  </si>
  <si>
    <t>Total Annual Donations</t>
  </si>
  <si>
    <t>FY 2007</t>
  </si>
  <si>
    <t>FY 2008</t>
  </si>
  <si>
    <t>Department:  Hospitality Management and Dietetics</t>
  </si>
  <si>
    <t>FY 2009</t>
  </si>
  <si>
    <t>Five Year Average</t>
  </si>
  <si>
    <t>FY 2010</t>
  </si>
  <si>
    <t>FY 2011</t>
  </si>
  <si>
    <t>Sponsored Research Overhead</t>
  </si>
  <si>
    <t>Other (Grants, contracts, fees, sales &amp; service, copy centers, storerooms, etc)</t>
  </si>
  <si>
    <t>FY 2012</t>
  </si>
  <si>
    <t>Endowed Faculty Support Funds</t>
  </si>
  <si>
    <t>FY 2013</t>
  </si>
  <si>
    <r>
      <t>Total Department -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includes Community Health Institute</t>
    </r>
  </si>
  <si>
    <t xml:space="preserve">Department:  Kinesiology </t>
  </si>
  <si>
    <t>FY 2014</t>
  </si>
  <si>
    <t>FY 2015</t>
  </si>
  <si>
    <t>FY 2016</t>
  </si>
  <si>
    <t xml:space="preserve">Expenditures </t>
  </si>
  <si>
    <t>STATISTICAL OVERVIEW</t>
  </si>
  <si>
    <t>Kansas State University</t>
  </si>
  <si>
    <t>Financial Information</t>
  </si>
  <si>
    <t>Five Year % chg</t>
  </si>
  <si>
    <t>Grants/Contracts:</t>
  </si>
  <si>
    <t>Proposed:</t>
  </si>
  <si>
    <t>Awarded:</t>
  </si>
  <si>
    <t>Grants/Contracts</t>
  </si>
  <si>
    <t>% chg</t>
  </si>
  <si>
    <r>
      <t>Extramural Research Expenditures</t>
    </r>
    <r>
      <rPr>
        <vertAlign val="superscript"/>
        <sz val="9"/>
        <rFont val="Arial"/>
        <family val="2"/>
      </rPr>
      <t>1</t>
    </r>
  </si>
  <si>
    <r>
      <t>Public Service GU+ RU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</si>
  <si>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Includes Federal Agricultural Experiment Station and Federal Cooperative Extension Service funding.</t>
    </r>
  </si>
  <si>
    <t>Other (Grants, contracts, sales &amp; service, copy centers, storerooms, etc)</t>
  </si>
  <si>
    <t>College of Human Ecology</t>
  </si>
  <si>
    <t>Department:  Food, Nutrition, Dietetics and Health</t>
  </si>
  <si>
    <t>FY 2017</t>
  </si>
  <si>
    <t>Department: Dean's Office - College of Human Ecology</t>
  </si>
  <si>
    <t>Instructional Expenditures- GU &amp; SRO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</si>
</sst>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;[Red]&quot;$&quot;#,##0"/>
    <numFmt numFmtId="170" formatCode="0.0%"/>
  </numFmts>
  <fonts count="5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name val="Georg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</borders>
  <cellStyleXfs count="145">
    <xf numFmtId="0" fontId="0" fillId="0" borderId="0"/>
    <xf numFmtId="0" fontId="30" fillId="2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2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0" fillId="2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0" fillId="2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0" fillId="3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0" fillId="3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0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3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3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0" fillId="3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0" fillId="3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3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1" fillId="3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1" fillId="3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4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1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1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1" fillId="4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1" fillId="4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1" fillId="4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1" fillId="4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1" fillId="4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1" fillId="4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5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3" fillId="51" borderId="69" applyNumberFormat="0" applyAlignment="0" applyProtection="0"/>
    <xf numFmtId="0" fontId="20" fillId="22" borderId="1" applyNumberFormat="0" applyAlignment="0" applyProtection="0"/>
    <xf numFmtId="0" fontId="20" fillId="22" borderId="1" applyNumberFormat="0" applyAlignment="0" applyProtection="0"/>
    <xf numFmtId="0" fontId="34" fillId="52" borderId="70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4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36" fillId="5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0" borderId="71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72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39" fillId="0" borderId="73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54" borderId="69" applyNumberFormat="0" applyAlignment="0" applyProtection="0"/>
    <xf numFmtId="0" fontId="17" fillId="8" borderId="1" applyNumberFormat="0" applyAlignment="0" applyProtection="0"/>
    <xf numFmtId="0" fontId="17" fillId="8" borderId="1" applyNumberFormat="0" applyAlignment="0" applyProtection="0"/>
    <xf numFmtId="0" fontId="41" fillId="0" borderId="74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2" fillId="5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1" fillId="0" borderId="0"/>
    <xf numFmtId="0" fontId="10" fillId="0" borderId="0"/>
    <xf numFmtId="0" fontId="27" fillId="0" borderId="0"/>
    <xf numFmtId="0" fontId="30" fillId="0" borderId="0"/>
    <xf numFmtId="0" fontId="10" fillId="0" borderId="0"/>
    <xf numFmtId="0" fontId="10" fillId="0" borderId="0"/>
    <xf numFmtId="0" fontId="30" fillId="56" borderId="75" applyNumberFormat="0" applyFont="0" applyAlignment="0" applyProtection="0"/>
    <xf numFmtId="0" fontId="11" fillId="6" borderId="7" applyNumberFormat="0" applyFont="0" applyAlignment="0" applyProtection="0"/>
    <xf numFmtId="0" fontId="11" fillId="6" borderId="7" applyNumberFormat="0" applyFont="0" applyAlignment="0" applyProtection="0"/>
    <xf numFmtId="0" fontId="43" fillId="51" borderId="76" applyNumberFormat="0" applyAlignment="0" applyProtection="0"/>
    <xf numFmtId="0" fontId="19" fillId="22" borderId="8" applyNumberFormat="0" applyAlignment="0" applyProtection="0"/>
    <xf numFmtId="0" fontId="19" fillId="22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ont="0" applyFill="0" applyAlignment="0" applyProtection="0"/>
    <xf numFmtId="0" fontId="45" fillId="0" borderId="77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/>
  </cellStyleXfs>
  <cellXfs count="542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20" xfId="0" applyFont="1" applyBorder="1"/>
    <xf numFmtId="0" fontId="4" fillId="0" borderId="21" xfId="0" applyFont="1" applyBorder="1"/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1" xfId="0" applyNumberFormat="1" applyFont="1" applyBorder="1"/>
    <xf numFmtId="164" fontId="4" fillId="0" borderId="22" xfId="0" applyNumberFormat="1" applyFont="1" applyBorder="1"/>
    <xf numFmtId="164" fontId="4" fillId="0" borderId="20" xfId="0" applyNumberFormat="1" applyFont="1" applyBorder="1"/>
    <xf numFmtId="164" fontId="4" fillId="0" borderId="23" xfId="0" applyNumberFormat="1" applyFont="1" applyBorder="1"/>
    <xf numFmtId="0" fontId="3" fillId="0" borderId="0" xfId="0" applyFont="1" applyBorder="1"/>
    <xf numFmtId="164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Fill="1"/>
    <xf numFmtId="0" fontId="4" fillId="0" borderId="34" xfId="0" applyFont="1" applyBorder="1"/>
    <xf numFmtId="0" fontId="4" fillId="0" borderId="36" xfId="0" applyFont="1" applyBorder="1"/>
    <xf numFmtId="0" fontId="4" fillId="0" borderId="37" xfId="0" applyFont="1" applyBorder="1"/>
    <xf numFmtId="166" fontId="4" fillId="0" borderId="35" xfId="82" applyNumberFormat="1" applyFont="1" applyBorder="1"/>
    <xf numFmtId="166" fontId="4" fillId="0" borderId="37" xfId="82" applyNumberFormat="1" applyFont="1" applyBorder="1"/>
    <xf numFmtId="164" fontId="4" fillId="0" borderId="36" xfId="0" applyNumberFormat="1" applyFont="1" applyBorder="1"/>
    <xf numFmtId="164" fontId="4" fillId="0" borderId="37" xfId="0" applyNumberFormat="1" applyFont="1" applyBorder="1" applyAlignment="1">
      <alignment horizontal="right"/>
    </xf>
    <xf numFmtId="164" fontId="4" fillId="0" borderId="40" xfId="0" applyNumberFormat="1" applyFont="1" applyBorder="1"/>
    <xf numFmtId="164" fontId="4" fillId="0" borderId="41" xfId="0" applyNumberFormat="1" applyFont="1" applyBorder="1" applyAlignment="1">
      <alignment horizontal="right"/>
    </xf>
    <xf numFmtId="164" fontId="4" fillId="0" borderId="34" xfId="0" applyNumberFormat="1" applyFont="1" applyBorder="1"/>
    <xf numFmtId="164" fontId="4" fillId="0" borderId="38" xfId="0" applyNumberFormat="1" applyFont="1" applyBorder="1"/>
    <xf numFmtId="166" fontId="4" fillId="0" borderId="20" xfId="82" applyNumberFormat="1" applyFont="1" applyBorder="1"/>
    <xf numFmtId="166" fontId="4" fillId="0" borderId="21" xfId="82" applyNumberFormat="1" applyFont="1" applyBorder="1"/>
    <xf numFmtId="5" fontId="4" fillId="0" borderId="35" xfId="0" applyNumberFormat="1" applyFont="1" applyBorder="1" applyAlignment="1">
      <alignment horizontal="right"/>
    </xf>
    <xf numFmtId="5" fontId="4" fillId="0" borderId="39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 horizontal="right"/>
    </xf>
    <xf numFmtId="0" fontId="0" fillId="0" borderId="0" xfId="0" applyFill="1"/>
    <xf numFmtId="0" fontId="4" fillId="0" borderId="0" xfId="0" applyFont="1" applyFill="1" applyBorder="1"/>
    <xf numFmtId="0" fontId="4" fillId="0" borderId="36" xfId="0" applyFont="1" applyFill="1" applyBorder="1"/>
    <xf numFmtId="5" fontId="4" fillId="0" borderId="20" xfId="0" applyNumberFormat="1" applyFont="1" applyBorder="1" applyAlignment="1">
      <alignment horizontal="right"/>
    </xf>
    <xf numFmtId="164" fontId="4" fillId="0" borderId="23" xfId="86" applyNumberFormat="1" applyFont="1" applyBorder="1" applyAlignment="1">
      <alignment horizontal="right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34" xfId="0" applyFont="1" applyFill="1" applyBorder="1"/>
    <xf numFmtId="164" fontId="4" fillId="0" borderId="36" xfId="0" applyNumberFormat="1" applyFont="1" applyFill="1" applyBorder="1"/>
    <xf numFmtId="164" fontId="4" fillId="0" borderId="40" xfId="0" applyNumberFormat="1" applyFont="1" applyFill="1" applyBorder="1"/>
    <xf numFmtId="5" fontId="4" fillId="0" borderId="37" xfId="0" applyNumberFormat="1" applyFont="1" applyBorder="1" applyAlignment="1">
      <alignment horizontal="right"/>
    </xf>
    <xf numFmtId="5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64" fontId="4" fillId="0" borderId="34" xfId="0" applyNumberFormat="1" applyFont="1" applyFill="1" applyBorder="1"/>
    <xf numFmtId="164" fontId="4" fillId="0" borderId="38" xfId="0" applyNumberFormat="1" applyFont="1" applyFill="1" applyBorder="1"/>
    <xf numFmtId="166" fontId="4" fillId="0" borderId="21" xfId="82" applyNumberFormat="1" applyFont="1" applyFill="1" applyBorder="1"/>
    <xf numFmtId="164" fontId="4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21" xfId="0" applyFont="1" applyFill="1" applyBorder="1"/>
    <xf numFmtId="0" fontId="4" fillId="0" borderId="20" xfId="0" applyFont="1" applyFill="1" applyBorder="1"/>
    <xf numFmtId="164" fontId="4" fillId="0" borderId="22" xfId="0" applyNumberFormat="1" applyFont="1" applyFill="1" applyBorder="1"/>
    <xf numFmtId="164" fontId="4" fillId="0" borderId="23" xfId="0" applyNumberFormat="1" applyFont="1" applyFill="1" applyBorder="1"/>
    <xf numFmtId="0" fontId="4" fillId="0" borderId="37" xfId="0" applyFont="1" applyFill="1" applyBorder="1"/>
    <xf numFmtId="166" fontId="4" fillId="0" borderId="35" xfId="82" applyNumberFormat="1" applyFont="1" applyFill="1" applyBorder="1"/>
    <xf numFmtId="166" fontId="4" fillId="0" borderId="37" xfId="82" applyNumberFormat="1" applyFont="1" applyFill="1" applyBorder="1"/>
    <xf numFmtId="0" fontId="4" fillId="0" borderId="35" xfId="0" applyFont="1" applyFill="1" applyBorder="1"/>
    <xf numFmtId="0" fontId="4" fillId="0" borderId="46" xfId="0" applyFont="1" applyBorder="1"/>
    <xf numFmtId="166" fontId="4" fillId="0" borderId="20" xfId="82" applyNumberFormat="1" applyFont="1" applyFill="1" applyBorder="1"/>
    <xf numFmtId="164" fontId="4" fillId="0" borderId="23" xfId="86" applyNumberFormat="1" applyFont="1" applyFill="1" applyBorder="1" applyAlignment="1">
      <alignment horizontal="right"/>
    </xf>
    <xf numFmtId="164" fontId="4" fillId="0" borderId="39" xfId="86" applyNumberFormat="1" applyFont="1" applyFill="1" applyBorder="1" applyAlignment="1">
      <alignment horizontal="right"/>
    </xf>
    <xf numFmtId="164" fontId="4" fillId="0" borderId="17" xfId="0" applyNumberFormat="1" applyFont="1" applyBorder="1"/>
    <xf numFmtId="164" fontId="4" fillId="0" borderId="19" xfId="0" applyNumberFormat="1" applyFont="1" applyBorder="1"/>
    <xf numFmtId="167" fontId="4" fillId="0" borderId="37" xfId="0" applyNumberFormat="1" applyFont="1" applyBorder="1" applyAlignment="1">
      <alignment horizontal="right"/>
    </xf>
    <xf numFmtId="167" fontId="4" fillId="0" borderId="21" xfId="0" applyNumberFormat="1" applyFont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41" xfId="0" applyNumberFormat="1" applyFont="1" applyFill="1" applyBorder="1" applyAlignment="1">
      <alignment horizontal="right"/>
    </xf>
    <xf numFmtId="167" fontId="4" fillId="0" borderId="21" xfId="0" applyNumberFormat="1" applyFont="1" applyFill="1" applyBorder="1" applyAlignment="1">
      <alignment horizontal="right"/>
    </xf>
    <xf numFmtId="167" fontId="4" fillId="0" borderId="22" xfId="0" applyNumberFormat="1" applyFont="1" applyFill="1" applyBorder="1" applyAlignment="1">
      <alignment horizontal="right"/>
    </xf>
    <xf numFmtId="0" fontId="3" fillId="0" borderId="48" xfId="0" applyFont="1" applyBorder="1"/>
    <xf numFmtId="0" fontId="8" fillId="0" borderId="26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4" fillId="0" borderId="27" xfId="0" applyFont="1" applyBorder="1" applyAlignment="1">
      <alignment horizontal="left" indent="1"/>
    </xf>
    <xf numFmtId="0" fontId="4" fillId="0" borderId="36" xfId="0" applyNumberFormat="1" applyFont="1" applyBorder="1" applyAlignment="1">
      <alignment horizontal="right"/>
    </xf>
    <xf numFmtId="164" fontId="9" fillId="0" borderId="20" xfId="0" applyNumberFormat="1" applyFont="1" applyFill="1" applyBorder="1"/>
    <xf numFmtId="164" fontId="9" fillId="0" borderId="34" xfId="0" applyNumberFormat="1" applyFont="1" applyFill="1" applyBorder="1"/>
    <xf numFmtId="167" fontId="9" fillId="0" borderId="35" xfId="0" applyNumberFormat="1" applyFont="1" applyBorder="1"/>
    <xf numFmtId="167" fontId="9" fillId="0" borderId="0" xfId="0" applyNumberFormat="1" applyFont="1" applyBorder="1"/>
    <xf numFmtId="168" fontId="9" fillId="0" borderId="42" xfId="0" applyNumberFormat="1" applyFont="1" applyBorder="1"/>
    <xf numFmtId="164" fontId="9" fillId="0" borderId="39" xfId="86" applyNumberFormat="1" applyFont="1" applyFill="1" applyBorder="1" applyAlignment="1">
      <alignment horizontal="right"/>
    </xf>
    <xf numFmtId="164" fontId="9" fillId="0" borderId="38" xfId="0" applyNumberFormat="1" applyFont="1" applyFill="1" applyBorder="1"/>
    <xf numFmtId="167" fontId="9" fillId="0" borderId="42" xfId="0" applyNumberFormat="1" applyFont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7" fontId="9" fillId="0" borderId="20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7" fontId="9" fillId="0" borderId="47" xfId="0" applyNumberFormat="1" applyFont="1" applyFill="1" applyBorder="1" applyAlignment="1" applyProtection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67" fontId="9" fillId="0" borderId="20" xfId="0" applyNumberFormat="1" applyFont="1" applyBorder="1"/>
    <xf numFmtId="167" fontId="9" fillId="0" borderId="47" xfId="0" applyNumberFormat="1" applyFont="1" applyFill="1" applyBorder="1" applyAlignment="1" applyProtection="1"/>
    <xf numFmtId="0" fontId="4" fillId="0" borderId="17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167" fontId="9" fillId="0" borderId="39" xfId="0" applyNumberFormat="1" applyFont="1" applyFill="1" applyBorder="1" applyAlignment="1" applyProtection="1"/>
    <xf numFmtId="164" fontId="4" fillId="25" borderId="38" xfId="0" applyNumberFormat="1" applyFont="1" applyFill="1" applyBorder="1"/>
    <xf numFmtId="167" fontId="9" fillId="0" borderId="23" xfId="0" applyNumberFormat="1" applyFont="1" applyFill="1" applyBorder="1" applyAlignment="1" applyProtection="1"/>
    <xf numFmtId="167" fontId="9" fillId="0" borderId="35" xfId="0" applyNumberFormat="1" applyFont="1" applyFill="1" applyBorder="1"/>
    <xf numFmtId="167" fontId="9" fillId="0" borderId="49" xfId="0" applyNumberFormat="1" applyFont="1" applyFill="1" applyBorder="1" applyAlignment="1" applyProtection="1"/>
    <xf numFmtId="167" fontId="4" fillId="0" borderId="37" xfId="0" applyNumberFormat="1" applyFont="1" applyFill="1" applyBorder="1"/>
    <xf numFmtId="0" fontId="4" fillId="0" borderId="25" xfId="0" applyFont="1" applyBorder="1" applyAlignment="1">
      <alignment horizontal="left" indent="1"/>
    </xf>
    <xf numFmtId="0" fontId="8" fillId="0" borderId="25" xfId="0" applyFont="1" applyBorder="1" applyAlignment="1">
      <alignment horizontal="left" indent="1"/>
    </xf>
    <xf numFmtId="0" fontId="0" fillId="0" borderId="0" xfId="0" applyBorder="1"/>
    <xf numFmtId="5" fontId="4" fillId="0" borderId="41" xfId="0" applyNumberFormat="1" applyFont="1" applyFill="1" applyBorder="1" applyAlignment="1">
      <alignment horizontal="right"/>
    </xf>
    <xf numFmtId="164" fontId="4" fillId="0" borderId="39" xfId="0" applyNumberFormat="1" applyFont="1" applyFill="1" applyBorder="1" applyAlignment="1">
      <alignment horizontal="right"/>
    </xf>
    <xf numFmtId="164" fontId="4" fillId="0" borderId="39" xfId="86" applyNumberFormat="1" applyFont="1" applyBorder="1" applyAlignment="1">
      <alignment horizontal="right"/>
    </xf>
    <xf numFmtId="167" fontId="4" fillId="0" borderId="20" xfId="0" applyNumberFormat="1" applyFont="1" applyFill="1" applyBorder="1"/>
    <xf numFmtId="167" fontId="4" fillId="0" borderId="42" xfId="0" applyNumberFormat="1" applyFont="1" applyFill="1" applyBorder="1"/>
    <xf numFmtId="167" fontId="4" fillId="0" borderId="34" xfId="0" applyNumberFormat="1" applyFont="1" applyFill="1" applyBorder="1"/>
    <xf numFmtId="167" fontId="4" fillId="0" borderId="0" xfId="0" applyNumberFormat="1" applyFont="1" applyBorder="1"/>
    <xf numFmtId="164" fontId="4" fillId="0" borderId="20" xfId="0" applyNumberFormat="1" applyFont="1" applyFill="1" applyBorder="1"/>
    <xf numFmtId="167" fontId="4" fillId="0" borderId="42" xfId="0" applyNumberFormat="1" applyFont="1" applyBorder="1"/>
    <xf numFmtId="167" fontId="4" fillId="0" borderId="22" xfId="0" applyNumberFormat="1" applyFont="1" applyFill="1" applyBorder="1"/>
    <xf numFmtId="1" fontId="4" fillId="0" borderId="21" xfId="0" applyNumberFormat="1" applyFont="1" applyBorder="1" applyAlignment="1">
      <alignment horizontal="center"/>
    </xf>
    <xf numFmtId="167" fontId="4" fillId="0" borderId="21" xfId="0" applyNumberFormat="1" applyFont="1" applyFill="1" applyBorder="1"/>
    <xf numFmtId="167" fontId="4" fillId="0" borderId="21" xfId="0" applyNumberFormat="1" applyFont="1" applyBorder="1"/>
    <xf numFmtId="164" fontId="4" fillId="0" borderId="22" xfId="86" applyNumberFormat="1" applyFont="1" applyFill="1" applyBorder="1" applyAlignment="1">
      <alignment horizontal="right"/>
    </xf>
    <xf numFmtId="0" fontId="3" fillId="0" borderId="56" xfId="0" applyFont="1" applyBorder="1"/>
    <xf numFmtId="164" fontId="4" fillId="0" borderId="65" xfId="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57" xfId="0" applyNumberFormat="1" applyFont="1" applyBorder="1" applyAlignment="1">
      <alignment horizontal="center"/>
    </xf>
    <xf numFmtId="164" fontId="4" fillId="0" borderId="57" xfId="0" applyNumberFormat="1" applyFont="1" applyFill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right"/>
    </xf>
    <xf numFmtId="167" fontId="4" fillId="0" borderId="39" xfId="0" applyNumberFormat="1" applyFont="1" applyFill="1" applyBorder="1" applyAlignment="1">
      <alignment horizontal="right"/>
    </xf>
    <xf numFmtId="164" fontId="4" fillId="0" borderId="39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67" fontId="4" fillId="0" borderId="39" xfId="0" applyNumberFormat="1" applyFont="1" applyBorder="1" applyAlignment="1">
      <alignment horizontal="right"/>
    </xf>
    <xf numFmtId="5" fontId="4" fillId="0" borderId="39" xfId="0" applyNumberFormat="1" applyFont="1" applyFill="1" applyBorder="1" applyAlignment="1">
      <alignment horizontal="right"/>
    </xf>
    <xf numFmtId="0" fontId="7" fillId="0" borderId="22" xfId="0" applyFont="1" applyBorder="1"/>
    <xf numFmtId="0" fontId="4" fillId="0" borderId="38" xfId="0" applyNumberFormat="1" applyFont="1" applyBorder="1" applyAlignment="1">
      <alignment horizontal="right"/>
    </xf>
    <xf numFmtId="167" fontId="4" fillId="0" borderId="23" xfId="86" applyNumberFormat="1" applyFont="1" applyBorder="1" applyAlignment="1">
      <alignment horizontal="right"/>
    </xf>
    <xf numFmtId="167" fontId="4" fillId="0" borderId="0" xfId="0" applyNumberFormat="1" applyFont="1" applyFill="1" applyBorder="1"/>
    <xf numFmtId="5" fontId="4" fillId="0" borderId="39" xfId="0" applyNumberFormat="1" applyFont="1" applyBorder="1" applyAlignment="1"/>
    <xf numFmtId="1" fontId="4" fillId="0" borderId="23" xfId="0" applyNumberFormat="1" applyFont="1" applyBorder="1" applyAlignment="1">
      <alignment horizontal="center"/>
    </xf>
    <xf numFmtId="167" fontId="4" fillId="0" borderId="23" xfId="0" applyNumberFormat="1" applyFont="1" applyBorder="1" applyAlignment="1">
      <alignment horizontal="center"/>
    </xf>
    <xf numFmtId="169" fontId="4" fillId="0" borderId="39" xfId="0" applyNumberFormat="1" applyFont="1" applyFill="1" applyBorder="1" applyAlignment="1">
      <alignment horizontal="right"/>
    </xf>
    <xf numFmtId="164" fontId="4" fillId="0" borderId="79" xfId="0" applyNumberFormat="1" applyFont="1" applyBorder="1" applyAlignment="1">
      <alignment horizontal="center"/>
    </xf>
    <xf numFmtId="164" fontId="4" fillId="25" borderId="65" xfId="0" applyNumberFormat="1" applyFont="1" applyFill="1" applyBorder="1" applyAlignment="1">
      <alignment horizontal="center"/>
    </xf>
    <xf numFmtId="164" fontId="4" fillId="25" borderId="16" xfId="0" applyNumberFormat="1" applyFont="1" applyFill="1" applyBorder="1" applyAlignment="1">
      <alignment horizontal="center"/>
    </xf>
    <xf numFmtId="164" fontId="4" fillId="0" borderId="79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167" fontId="4" fillId="0" borderId="23" xfId="86" applyNumberFormat="1" applyFont="1" applyFill="1" applyBorder="1" applyAlignment="1">
      <alignment horizontal="right"/>
    </xf>
    <xf numFmtId="164" fontId="4" fillId="0" borderId="15" xfId="0" applyNumberFormat="1" applyFont="1" applyBorder="1"/>
    <xf numFmtId="5" fontId="4" fillId="0" borderId="58" xfId="0" applyNumberFormat="1" applyFont="1" applyBorder="1" applyAlignment="1">
      <alignment horizontal="right"/>
    </xf>
    <xf numFmtId="164" fontId="4" fillId="0" borderId="62" xfId="0" applyNumberFormat="1" applyFont="1" applyBorder="1"/>
    <xf numFmtId="0" fontId="4" fillId="0" borderId="57" xfId="0" applyFont="1" applyBorder="1" applyAlignment="1">
      <alignment horizontal="center"/>
    </xf>
    <xf numFmtId="164" fontId="4" fillId="0" borderId="23" xfId="0" applyNumberFormat="1" applyFont="1" applyFill="1" applyBorder="1" applyAlignment="1">
      <alignment horizontal="right"/>
    </xf>
    <xf numFmtId="167" fontId="4" fillId="0" borderId="22" xfId="0" applyNumberFormat="1" applyFont="1" applyBorder="1"/>
    <xf numFmtId="0" fontId="4" fillId="0" borderId="22" xfId="0" applyFont="1" applyBorder="1"/>
    <xf numFmtId="164" fontId="4" fillId="0" borderId="80" xfId="0" applyNumberFormat="1" applyFont="1" applyBorder="1"/>
    <xf numFmtId="164" fontId="4" fillId="0" borderId="49" xfId="0" applyNumberFormat="1" applyFont="1" applyBorder="1" applyAlignment="1">
      <alignment horizontal="right"/>
    </xf>
    <xf numFmtId="164" fontId="4" fillId="58" borderId="41" xfId="0" applyNumberFormat="1" applyFont="1" applyFill="1" applyBorder="1" applyAlignment="1">
      <alignment horizontal="right"/>
    </xf>
    <xf numFmtId="0" fontId="2" fillId="0" borderId="0" xfId="0" applyFont="1" applyFill="1" applyAlignment="1" applyProtection="1"/>
    <xf numFmtId="0" fontId="2" fillId="0" borderId="0" xfId="0" applyFont="1"/>
    <xf numFmtId="0" fontId="6" fillId="0" borderId="0" xfId="0" applyFont="1" applyFill="1" applyAlignment="1" applyProtection="1">
      <alignment horizontal="center"/>
    </xf>
    <xf numFmtId="0" fontId="3" fillId="0" borderId="82" xfId="0" applyFont="1" applyBorder="1"/>
    <xf numFmtId="0" fontId="3" fillId="0" borderId="42" xfId="0" applyFont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25" xfId="0" applyFont="1" applyBorder="1"/>
    <xf numFmtId="0" fontId="3" fillId="0" borderId="84" xfId="0" applyFont="1" applyBorder="1" applyAlignment="1">
      <alignment horizontal="center" wrapText="1"/>
    </xf>
    <xf numFmtId="0" fontId="3" fillId="0" borderId="85" xfId="0" applyFont="1" applyBorder="1" applyAlignment="1">
      <alignment horizontal="center" wrapText="1"/>
    </xf>
    <xf numFmtId="0" fontId="4" fillId="0" borderId="35" xfId="0" applyFont="1" applyBorder="1"/>
    <xf numFmtId="0" fontId="4" fillId="0" borderId="51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40" xfId="0" applyFont="1" applyBorder="1"/>
    <xf numFmtId="166" fontId="4" fillId="0" borderId="41" xfId="82" applyNumberFormat="1" applyFont="1" applyBorder="1"/>
    <xf numFmtId="166" fontId="4" fillId="0" borderId="22" xfId="82" applyNumberFormat="1" applyFont="1" applyBorder="1"/>
    <xf numFmtId="0" fontId="4" fillId="0" borderId="40" xfId="0" applyFont="1" applyFill="1" applyBorder="1"/>
    <xf numFmtId="166" fontId="4" fillId="0" borderId="41" xfId="82" applyNumberFormat="1" applyFont="1" applyFill="1" applyBorder="1"/>
    <xf numFmtId="0" fontId="4" fillId="0" borderId="22" xfId="0" applyFont="1" applyFill="1" applyBorder="1"/>
    <xf numFmtId="166" fontId="4" fillId="0" borderId="22" xfId="82" applyNumberFormat="1" applyFont="1" applyFill="1" applyBorder="1"/>
    <xf numFmtId="0" fontId="3" fillId="0" borderId="87" xfId="0" applyFont="1" applyBorder="1"/>
    <xf numFmtId="166" fontId="3" fillId="0" borderId="88" xfId="82" applyNumberFormat="1" applyFont="1" applyBorder="1"/>
    <xf numFmtId="0" fontId="3" fillId="0" borderId="89" xfId="0" applyFont="1" applyBorder="1"/>
    <xf numFmtId="166" fontId="3" fillId="0" borderId="89" xfId="82" applyNumberFormat="1" applyFont="1" applyBorder="1"/>
    <xf numFmtId="0" fontId="3" fillId="0" borderId="87" xfId="0" applyFont="1" applyFill="1" applyBorder="1"/>
    <xf numFmtId="166" fontId="3" fillId="0" borderId="88" xfId="82" applyNumberFormat="1" applyFont="1" applyFill="1" applyBorder="1"/>
    <xf numFmtId="0" fontId="3" fillId="0" borderId="89" xfId="0" applyFont="1" applyFill="1" applyBorder="1"/>
    <xf numFmtId="166" fontId="3" fillId="0" borderId="89" xfId="82" applyNumberFormat="1" applyFont="1" applyFill="1" applyBorder="1"/>
    <xf numFmtId="0" fontId="4" fillId="0" borderId="32" xfId="0" applyFont="1" applyBorder="1" applyAlignment="1">
      <alignment horizontal="left" wrapText="1" indent="1"/>
    </xf>
    <xf numFmtId="164" fontId="4" fillId="25" borderId="34" xfId="0" applyNumberFormat="1" applyFont="1" applyFill="1" applyBorder="1"/>
    <xf numFmtId="167" fontId="4" fillId="0" borderId="35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5" xfId="144" applyFont="1" applyBorder="1"/>
    <xf numFmtId="164" fontId="4" fillId="0" borderId="35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center"/>
    </xf>
    <xf numFmtId="0" fontId="3" fillId="0" borderId="91" xfId="0" applyFont="1" applyBorder="1" applyAlignment="1">
      <alignment horizontal="left" inden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64" fontId="3" fillId="0" borderId="65" xfId="0" applyNumberFormat="1" applyFont="1" applyBorder="1" applyAlignment="1">
      <alignment horizontal="center"/>
    </xf>
    <xf numFmtId="164" fontId="3" fillId="0" borderId="5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57" xfId="0" applyNumberFormat="1" applyFont="1" applyBorder="1" applyAlignment="1">
      <alignment horizontal="center"/>
    </xf>
    <xf numFmtId="164" fontId="3" fillId="0" borderId="65" xfId="0" applyNumberFormat="1" applyFont="1" applyFill="1" applyBorder="1" applyAlignment="1">
      <alignment horizontal="center"/>
    </xf>
    <xf numFmtId="164" fontId="3" fillId="0" borderId="5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 applyAlignment="1">
      <alignment horizontal="center"/>
    </xf>
    <xf numFmtId="164" fontId="4" fillId="0" borderId="35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167" fontId="4" fillId="0" borderId="35" xfId="0" applyNumberFormat="1" applyFont="1" applyFill="1" applyBorder="1" applyAlignment="1">
      <alignment horizontal="right"/>
    </xf>
    <xf numFmtId="170" fontId="4" fillId="0" borderId="95" xfId="0" applyNumberFormat="1" applyFont="1" applyBorder="1"/>
    <xf numFmtId="0" fontId="3" fillId="0" borderId="96" xfId="0" applyFont="1" applyBorder="1"/>
    <xf numFmtId="164" fontId="4" fillId="0" borderId="96" xfId="0" applyNumberFormat="1" applyFont="1" applyBorder="1"/>
    <xf numFmtId="164" fontId="4" fillId="0" borderId="96" xfId="0" applyNumberFormat="1" applyFont="1" applyBorder="1" applyAlignment="1">
      <alignment horizontal="right"/>
    </xf>
    <xf numFmtId="164" fontId="4" fillId="0" borderId="96" xfId="0" applyNumberFormat="1" applyFont="1" applyBorder="1" applyAlignment="1">
      <alignment horizontal="center"/>
    </xf>
    <xf numFmtId="164" fontId="4" fillId="0" borderId="96" xfId="0" applyNumberFormat="1" applyFont="1" applyFill="1" applyBorder="1"/>
    <xf numFmtId="164" fontId="4" fillId="0" borderId="9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3" fillId="0" borderId="87" xfId="0" applyFont="1" applyBorder="1" applyAlignment="1">
      <alignment horizontal="right"/>
    </xf>
    <xf numFmtId="0" fontId="3" fillId="0" borderId="89" xfId="0" applyFont="1" applyBorder="1" applyAlignment="1">
      <alignment horizontal="right"/>
    </xf>
    <xf numFmtId="164" fontId="4" fillId="0" borderId="83" xfId="0" applyNumberFormat="1" applyFont="1" applyFill="1" applyBorder="1"/>
    <xf numFmtId="5" fontId="4" fillId="0" borderId="42" xfId="0" applyNumberFormat="1" applyFont="1" applyFill="1" applyBorder="1" applyAlignment="1">
      <alignment horizontal="right"/>
    </xf>
    <xf numFmtId="164" fontId="4" fillId="0" borderId="0" xfId="86" applyNumberFormat="1" applyFont="1" applyFill="1" applyBorder="1" applyAlignment="1">
      <alignment horizontal="right"/>
    </xf>
    <xf numFmtId="164" fontId="4" fillId="0" borderId="83" xfId="0" applyNumberFormat="1" applyFont="1" applyFill="1" applyBorder="1" applyAlignment="1">
      <alignment horizontal="right"/>
    </xf>
    <xf numFmtId="164" fontId="4" fillId="0" borderId="42" xfId="86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25" borderId="0" xfId="86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7" fontId="4" fillId="0" borderId="18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center"/>
    </xf>
    <xf numFmtId="167" fontId="4" fillId="0" borderId="33" xfId="0" applyNumberFormat="1" applyFont="1" applyFill="1" applyBorder="1" applyAlignment="1">
      <alignment horizontal="right"/>
    </xf>
    <xf numFmtId="0" fontId="3" fillId="0" borderId="97" xfId="0" applyFont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4" fillId="0" borderId="99" xfId="0" applyFont="1" applyBorder="1"/>
    <xf numFmtId="0" fontId="4" fillId="0" borderId="101" xfId="0" applyFont="1" applyBorder="1"/>
    <xf numFmtId="166" fontId="3" fillId="0" borderId="101" xfId="82" applyNumberFormat="1" applyFont="1" applyBorder="1"/>
    <xf numFmtId="0" fontId="4" fillId="0" borderId="99" xfId="0" applyFont="1" applyFill="1" applyBorder="1"/>
    <xf numFmtId="0" fontId="4" fillId="0" borderId="101" xfId="0" applyFont="1" applyFill="1" applyBorder="1"/>
    <xf numFmtId="166" fontId="3" fillId="0" borderId="100" xfId="82" applyNumberFormat="1" applyFont="1" applyFill="1" applyBorder="1"/>
    <xf numFmtId="3" fontId="4" fillId="0" borderId="11" xfId="0" applyNumberFormat="1" applyFont="1" applyBorder="1" applyAlignment="1">
      <alignment horizontal="center"/>
    </xf>
    <xf numFmtId="0" fontId="3" fillId="0" borderId="102" xfId="0" applyFont="1" applyBorder="1" applyAlignment="1">
      <alignment horizontal="left" indent="4"/>
    </xf>
    <xf numFmtId="0" fontId="3" fillId="0" borderId="102" xfId="0" applyFont="1" applyBorder="1" applyAlignment="1">
      <alignment horizontal="left" indent="3"/>
    </xf>
    <xf numFmtId="0" fontId="3" fillId="0" borderId="106" xfId="0" applyFont="1" applyBorder="1" applyAlignment="1">
      <alignment horizontal="left" indent="1"/>
    </xf>
    <xf numFmtId="0" fontId="4" fillId="0" borderId="107" xfId="0" applyFont="1" applyBorder="1"/>
    <xf numFmtId="166" fontId="3" fillId="0" borderId="108" xfId="82" applyNumberFormat="1" applyFont="1" applyBorder="1"/>
    <xf numFmtId="0" fontId="4" fillId="0" borderId="109" xfId="0" applyFont="1" applyBorder="1"/>
    <xf numFmtId="166" fontId="3" fillId="0" borderId="109" xfId="82" applyNumberFormat="1" applyFont="1" applyBorder="1"/>
    <xf numFmtId="0" fontId="4" fillId="0" borderId="107" xfId="0" applyFont="1" applyFill="1" applyBorder="1"/>
    <xf numFmtId="166" fontId="3" fillId="0" borderId="108" xfId="82" applyNumberFormat="1" applyFont="1" applyFill="1" applyBorder="1"/>
    <xf numFmtId="0" fontId="4" fillId="0" borderId="109" xfId="0" applyFont="1" applyFill="1" applyBorder="1"/>
    <xf numFmtId="166" fontId="3" fillId="0" borderId="109" xfId="82" applyNumberFormat="1" applyFont="1" applyFill="1" applyBorder="1"/>
    <xf numFmtId="0" fontId="4" fillId="0" borderId="99" xfId="0" applyFont="1" applyBorder="1" applyAlignment="1">
      <alignment horizontal="right"/>
    </xf>
    <xf numFmtId="164" fontId="3" fillId="0" borderId="79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3" fillId="0" borderId="11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167" fontId="4" fillId="0" borderId="35" xfId="82" applyNumberFormat="1" applyFont="1" applyBorder="1"/>
    <xf numFmtId="167" fontId="4" fillId="0" borderId="20" xfId="0" applyNumberFormat="1" applyFont="1" applyBorder="1"/>
    <xf numFmtId="167" fontId="4" fillId="0" borderId="20" xfId="82" applyNumberFormat="1" applyFont="1" applyBorder="1"/>
    <xf numFmtId="167" fontId="4" fillId="0" borderId="35" xfId="82" applyNumberFormat="1" applyFont="1" applyFill="1" applyBorder="1"/>
    <xf numFmtId="167" fontId="4" fillId="0" borderId="20" xfId="82" applyNumberFormat="1" applyFont="1" applyFill="1" applyBorder="1"/>
    <xf numFmtId="167" fontId="4" fillId="0" borderId="36" xfId="0" applyNumberFormat="1" applyFont="1" applyFill="1" applyBorder="1"/>
    <xf numFmtId="167" fontId="4" fillId="0" borderId="21" xfId="82" applyNumberFormat="1" applyFont="1" applyFill="1" applyBorder="1"/>
    <xf numFmtId="167" fontId="4" fillId="0" borderId="37" xfId="82" applyNumberFormat="1" applyFont="1" applyFill="1" applyBorder="1"/>
    <xf numFmtId="167" fontId="4" fillId="24" borderId="35" xfId="82" applyNumberFormat="1" applyFont="1" applyFill="1" applyBorder="1"/>
    <xf numFmtId="167" fontId="4" fillId="0" borderId="41" xfId="82" applyNumberFormat="1" applyFont="1" applyBorder="1"/>
    <xf numFmtId="167" fontId="4" fillId="0" borderId="22" xfId="82" applyNumberFormat="1" applyFont="1" applyBorder="1"/>
    <xf numFmtId="167" fontId="4" fillId="0" borderId="40" xfId="0" applyNumberFormat="1" applyFont="1" applyFill="1" applyBorder="1"/>
    <xf numFmtId="167" fontId="4" fillId="0" borderId="41" xfId="82" applyNumberFormat="1" applyFont="1" applyFill="1" applyBorder="1"/>
    <xf numFmtId="167" fontId="4" fillId="0" borderId="22" xfId="82" applyNumberFormat="1" applyFont="1" applyFill="1" applyBorder="1"/>
    <xf numFmtId="167" fontId="3" fillId="0" borderId="88" xfId="82" applyNumberFormat="1" applyFont="1" applyBorder="1"/>
    <xf numFmtId="167" fontId="3" fillId="0" borderId="89" xfId="0" applyNumberFormat="1" applyFont="1" applyBorder="1"/>
    <xf numFmtId="167" fontId="3" fillId="0" borderId="89" xfId="82" applyNumberFormat="1" applyFont="1" applyBorder="1"/>
    <xf numFmtId="167" fontId="3" fillId="0" borderId="87" xfId="0" applyNumberFormat="1" applyFont="1" applyFill="1" applyBorder="1"/>
    <xf numFmtId="167" fontId="3" fillId="0" borderId="88" xfId="82" applyNumberFormat="1" applyFont="1" applyFill="1" applyBorder="1"/>
    <xf numFmtId="167" fontId="3" fillId="0" borderId="89" xfId="0" applyNumberFormat="1" applyFont="1" applyFill="1" applyBorder="1"/>
    <xf numFmtId="167" fontId="3" fillId="0" borderId="89" xfId="82" applyNumberFormat="1" applyFont="1" applyFill="1" applyBorder="1"/>
    <xf numFmtId="167" fontId="4" fillId="0" borderId="21" xfId="82" applyNumberFormat="1" applyFont="1" applyBorder="1"/>
    <xf numFmtId="167" fontId="4" fillId="24" borderId="37" xfId="82" applyNumberFormat="1" applyFont="1" applyFill="1" applyBorder="1"/>
    <xf numFmtId="167" fontId="3" fillId="0" borderId="100" xfId="82" applyNumberFormat="1" applyFont="1" applyBorder="1"/>
    <xf numFmtId="167" fontId="4" fillId="0" borderId="101" xfId="0" applyNumberFormat="1" applyFont="1" applyBorder="1"/>
    <xf numFmtId="167" fontId="3" fillId="0" borderId="101" xfId="82" applyNumberFormat="1" applyFont="1" applyBorder="1"/>
    <xf numFmtId="167" fontId="4" fillId="0" borderId="99" xfId="0" applyNumberFormat="1" applyFont="1" applyFill="1" applyBorder="1"/>
    <xf numFmtId="167" fontId="4" fillId="0" borderId="101" xfId="0" applyNumberFormat="1" applyFont="1" applyFill="1" applyBorder="1"/>
    <xf numFmtId="167" fontId="3" fillId="0" borderId="101" xfId="82" applyNumberFormat="1" applyFont="1" applyFill="1" applyBorder="1"/>
    <xf numFmtId="167" fontId="3" fillId="0" borderId="100" xfId="82" applyNumberFormat="1" applyFont="1" applyFill="1" applyBorder="1"/>
    <xf numFmtId="164" fontId="4" fillId="0" borderId="22" xfId="0" applyNumberFormat="1" applyFont="1" applyFill="1" applyBorder="1" applyAlignment="1">
      <alignment horizontal="right"/>
    </xf>
    <xf numFmtId="164" fontId="4" fillId="0" borderId="40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0" fontId="48" fillId="0" borderId="0" xfId="0" applyFont="1" applyBorder="1" applyAlignment="1">
      <alignment horizontal="left"/>
    </xf>
    <xf numFmtId="164" fontId="4" fillId="0" borderId="34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7" fontId="4" fillId="0" borderId="35" xfId="82" applyNumberFormat="1" applyFont="1" applyFill="1" applyBorder="1" applyAlignment="1">
      <alignment horizontal="right"/>
    </xf>
    <xf numFmtId="167" fontId="4" fillId="0" borderId="41" xfId="82" applyNumberFormat="1" applyFont="1" applyFill="1" applyBorder="1" applyAlignment="1">
      <alignment horizontal="right"/>
    </xf>
    <xf numFmtId="167" fontId="3" fillId="0" borderId="88" xfId="82" applyNumberFormat="1" applyFont="1" applyFill="1" applyBorder="1" applyAlignment="1">
      <alignment horizontal="right"/>
    </xf>
    <xf numFmtId="167" fontId="4" fillId="0" borderId="37" xfId="82" applyNumberFormat="1" applyFont="1" applyFill="1" applyBorder="1" applyAlignment="1">
      <alignment horizontal="right"/>
    </xf>
    <xf numFmtId="167" fontId="3" fillId="0" borderId="100" xfId="82" applyNumberFormat="1" applyFont="1" applyFill="1" applyBorder="1" applyAlignment="1">
      <alignment horizontal="right"/>
    </xf>
    <xf numFmtId="170" fontId="4" fillId="0" borderId="44" xfId="0" applyNumberFormat="1" applyFont="1" applyBorder="1"/>
    <xf numFmtId="0" fontId="4" fillId="0" borderId="44" xfId="0" applyFont="1" applyBorder="1"/>
    <xf numFmtId="170" fontId="3" fillId="0" borderId="90" xfId="0" applyNumberFormat="1" applyFont="1" applyBorder="1"/>
    <xf numFmtId="170" fontId="3" fillId="0" borderId="111" xfId="0" applyNumberFormat="1" applyFont="1" applyBorder="1"/>
    <xf numFmtId="170" fontId="3" fillId="0" borderId="114" xfId="0" applyNumberFormat="1" applyFont="1" applyBorder="1"/>
    <xf numFmtId="0" fontId="4" fillId="58" borderId="116" xfId="0" applyFont="1" applyFill="1" applyBorder="1"/>
    <xf numFmtId="170" fontId="4" fillId="0" borderId="117" xfId="0" applyNumberFormat="1" applyFont="1" applyBorder="1"/>
    <xf numFmtId="0" fontId="4" fillId="58" borderId="53" xfId="0" applyFont="1" applyFill="1" applyBorder="1"/>
    <xf numFmtId="167" fontId="4" fillId="0" borderId="20" xfId="82" applyNumberFormat="1" applyFont="1" applyBorder="1" applyAlignment="1">
      <alignment horizontal="right"/>
    </xf>
    <xf numFmtId="167" fontId="4" fillId="0" borderId="34" xfId="0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20" xfId="82" applyNumberFormat="1" applyFont="1" applyFill="1" applyBorder="1" applyAlignment="1">
      <alignment horizontal="right"/>
    </xf>
    <xf numFmtId="167" fontId="4" fillId="0" borderId="36" xfId="0" applyNumberFormat="1" applyFont="1" applyFill="1" applyBorder="1" applyAlignment="1">
      <alignment horizontal="right"/>
    </xf>
    <xf numFmtId="167" fontId="4" fillId="0" borderId="22" xfId="82" applyNumberFormat="1" applyFont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67" fontId="4" fillId="0" borderId="22" xfId="82" applyNumberFormat="1" applyFont="1" applyFill="1" applyBorder="1" applyAlignment="1">
      <alignment horizontal="right"/>
    </xf>
    <xf numFmtId="167" fontId="3" fillId="0" borderId="89" xfId="82" applyNumberFormat="1" applyFont="1" applyBorder="1" applyAlignment="1">
      <alignment horizontal="right"/>
    </xf>
    <xf numFmtId="167" fontId="3" fillId="0" borderId="87" xfId="0" applyNumberFormat="1" applyFont="1" applyFill="1" applyBorder="1" applyAlignment="1">
      <alignment horizontal="right"/>
    </xf>
    <xf numFmtId="167" fontId="3" fillId="0" borderId="88" xfId="82" applyNumberFormat="1" applyFont="1" applyBorder="1" applyAlignment="1">
      <alignment horizontal="right"/>
    </xf>
    <xf numFmtId="167" fontId="3" fillId="0" borderId="89" xfId="0" applyNumberFormat="1" applyFont="1" applyFill="1" applyBorder="1" applyAlignment="1">
      <alignment horizontal="right"/>
    </xf>
    <xf numFmtId="167" fontId="3" fillId="0" borderId="89" xfId="82" applyNumberFormat="1" applyFont="1" applyFill="1" applyBorder="1" applyAlignment="1">
      <alignment horizontal="right"/>
    </xf>
    <xf numFmtId="167" fontId="4" fillId="0" borderId="21" xfId="82" applyNumberFormat="1" applyFont="1" applyBorder="1" applyAlignment="1">
      <alignment horizontal="right"/>
    </xf>
    <xf numFmtId="167" fontId="4" fillId="0" borderId="21" xfId="82" applyNumberFormat="1" applyFont="1" applyFill="1" applyBorder="1" applyAlignment="1">
      <alignment horizontal="right"/>
    </xf>
    <xf numFmtId="167" fontId="3" fillId="0" borderId="89" xfId="0" applyNumberFormat="1" applyFont="1" applyBorder="1" applyAlignment="1">
      <alignment horizontal="right"/>
    </xf>
    <xf numFmtId="167" fontId="3" fillId="0" borderId="100" xfId="82" applyNumberFormat="1" applyFont="1" applyBorder="1" applyAlignment="1">
      <alignment horizontal="right"/>
    </xf>
    <xf numFmtId="167" fontId="4" fillId="0" borderId="101" xfId="0" applyNumberFormat="1" applyFont="1" applyBorder="1" applyAlignment="1">
      <alignment horizontal="right"/>
    </xf>
    <xf numFmtId="167" fontId="3" fillId="0" borderId="101" xfId="82" applyNumberFormat="1" applyFont="1" applyBorder="1" applyAlignment="1">
      <alignment horizontal="right"/>
    </xf>
    <xf numFmtId="167" fontId="4" fillId="0" borderId="99" xfId="0" applyNumberFormat="1" applyFont="1" applyFill="1" applyBorder="1" applyAlignment="1">
      <alignment horizontal="right"/>
    </xf>
    <xf numFmtId="167" fontId="4" fillId="0" borderId="101" xfId="0" applyNumberFormat="1" applyFont="1" applyFill="1" applyBorder="1" applyAlignment="1">
      <alignment horizontal="right"/>
    </xf>
    <xf numFmtId="167" fontId="3" fillId="0" borderId="101" xfId="82" applyNumberFormat="1" applyFont="1" applyFill="1" applyBorder="1" applyAlignment="1">
      <alignment horizontal="right"/>
    </xf>
    <xf numFmtId="164" fontId="4" fillId="0" borderId="80" xfId="0" applyNumberFormat="1" applyFont="1" applyBorder="1" applyAlignment="1">
      <alignment horizontal="right"/>
    </xf>
    <xf numFmtId="0" fontId="3" fillId="0" borderId="102" xfId="0" applyFont="1" applyBorder="1" applyAlignment="1">
      <alignment horizontal="left" wrapText="1" indent="1"/>
    </xf>
    <xf numFmtId="0" fontId="3" fillId="0" borderId="2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170" fontId="4" fillId="58" borderId="114" xfId="0" applyNumberFormat="1" applyFont="1" applyFill="1" applyBorder="1"/>
    <xf numFmtId="170" fontId="3" fillId="0" borderId="85" xfId="0" applyNumberFormat="1" applyFont="1" applyBorder="1" applyAlignment="1">
      <alignment horizontal="center" wrapText="1"/>
    </xf>
    <xf numFmtId="170" fontId="4" fillId="0" borderId="46" xfId="0" applyNumberFormat="1" applyFont="1" applyBorder="1"/>
    <xf numFmtId="3" fontId="4" fillId="0" borderId="34" xfId="0" applyNumberFormat="1" applyFont="1" applyFill="1" applyBorder="1"/>
    <xf numFmtId="3" fontId="4" fillId="0" borderId="35" xfId="0" applyNumberFormat="1" applyFont="1" applyFill="1" applyBorder="1"/>
    <xf numFmtId="3" fontId="4" fillId="0" borderId="20" xfId="0" applyNumberFormat="1" applyFont="1" applyFill="1" applyBorder="1"/>
    <xf numFmtId="3" fontId="4" fillId="0" borderId="51" xfId="0" applyNumberFormat="1" applyFont="1" applyFill="1" applyBorder="1"/>
    <xf numFmtId="3" fontId="4" fillId="0" borderId="0" xfId="0" applyNumberFormat="1" applyFont="1"/>
    <xf numFmtId="3" fontId="4" fillId="0" borderId="29" xfId="0" applyNumberFormat="1" applyFont="1" applyBorder="1"/>
    <xf numFmtId="3" fontId="4" fillId="0" borderId="44" xfId="0" applyNumberFormat="1" applyFont="1" applyBorder="1"/>
    <xf numFmtId="3" fontId="4" fillId="0" borderId="36" xfId="0" applyNumberFormat="1" applyFont="1" applyFill="1" applyBorder="1"/>
    <xf numFmtId="3" fontId="4" fillId="0" borderId="37" xfId="82" applyNumberFormat="1" applyFont="1" applyFill="1" applyBorder="1"/>
    <xf numFmtId="3" fontId="4" fillId="0" borderId="21" xfId="0" applyNumberFormat="1" applyFont="1" applyFill="1" applyBorder="1"/>
    <xf numFmtId="3" fontId="4" fillId="0" borderId="44" xfId="82" applyNumberFormat="1" applyFont="1" applyFill="1" applyBorder="1"/>
    <xf numFmtId="3" fontId="4" fillId="0" borderId="30" xfId="0" applyNumberFormat="1" applyFont="1" applyBorder="1"/>
    <xf numFmtId="3" fontId="4" fillId="0" borderId="40" xfId="0" applyNumberFormat="1" applyFont="1" applyFill="1" applyBorder="1"/>
    <xf numFmtId="3" fontId="4" fillId="0" borderId="41" xfId="82" applyNumberFormat="1" applyFont="1" applyFill="1" applyBorder="1"/>
    <xf numFmtId="3" fontId="4" fillId="0" borderId="22" xfId="0" applyNumberFormat="1" applyFont="1" applyFill="1" applyBorder="1"/>
    <xf numFmtId="3" fontId="4" fillId="0" borderId="54" xfId="82" applyNumberFormat="1" applyFont="1" applyFill="1" applyBorder="1"/>
    <xf numFmtId="3" fontId="4" fillId="0" borderId="81" xfId="0" applyNumberFormat="1" applyFont="1" applyBorder="1"/>
    <xf numFmtId="3" fontId="4" fillId="0" borderId="54" xfId="0" applyNumberFormat="1" applyFont="1" applyBorder="1"/>
    <xf numFmtId="3" fontId="3" fillId="0" borderId="87" xfId="0" applyNumberFormat="1" applyFont="1" applyFill="1" applyBorder="1"/>
    <xf numFmtId="3" fontId="3" fillId="0" borderId="88" xfId="82" applyNumberFormat="1" applyFont="1" applyFill="1" applyBorder="1"/>
    <xf numFmtId="3" fontId="3" fillId="0" borderId="89" xfId="0" applyNumberFormat="1" applyFont="1" applyFill="1" applyBorder="1"/>
    <xf numFmtId="3" fontId="3" fillId="0" borderId="90" xfId="82" applyNumberFormat="1" applyFont="1" applyFill="1" applyBorder="1"/>
    <xf numFmtId="3" fontId="4" fillId="0" borderId="86" xfId="0" applyNumberFormat="1" applyFont="1" applyBorder="1"/>
    <xf numFmtId="3" fontId="3" fillId="0" borderId="90" xfId="0" applyNumberFormat="1" applyFont="1" applyBorder="1"/>
    <xf numFmtId="3" fontId="4" fillId="0" borderId="35" xfId="82" applyNumberFormat="1" applyFont="1" applyFill="1" applyBorder="1"/>
    <xf numFmtId="3" fontId="4" fillId="0" borderId="51" xfId="82" applyNumberFormat="1" applyFont="1" applyFill="1" applyBorder="1"/>
    <xf numFmtId="3" fontId="4" fillId="0" borderId="28" xfId="0" applyNumberFormat="1" applyFont="1" applyBorder="1"/>
    <xf numFmtId="3" fontId="4" fillId="0" borderId="51" xfId="0" applyNumberFormat="1" applyFont="1" applyBorder="1"/>
    <xf numFmtId="3" fontId="4" fillId="0" borderId="99" xfId="0" applyNumberFormat="1" applyFont="1" applyFill="1" applyBorder="1"/>
    <xf numFmtId="3" fontId="3" fillId="0" borderId="100" xfId="82" applyNumberFormat="1" applyFont="1" applyFill="1" applyBorder="1"/>
    <xf numFmtId="3" fontId="4" fillId="0" borderId="101" xfId="0" applyNumberFormat="1" applyFont="1" applyFill="1" applyBorder="1"/>
    <xf numFmtId="3" fontId="3" fillId="0" borderId="98" xfId="82" applyNumberFormat="1" applyFont="1" applyFill="1" applyBorder="1"/>
    <xf numFmtId="3" fontId="4" fillId="0" borderId="112" xfId="0" applyNumberFormat="1" applyFont="1" applyBorder="1"/>
    <xf numFmtId="3" fontId="3" fillId="0" borderId="113" xfId="0" applyNumberFormat="1" applyFont="1" applyBorder="1"/>
    <xf numFmtId="3" fontId="3" fillId="0" borderId="20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58" borderId="35" xfId="0" applyNumberFormat="1" applyFont="1" applyFill="1" applyBorder="1" applyAlignment="1">
      <alignment horizontal="right"/>
    </xf>
    <xf numFmtId="3" fontId="4" fillId="57" borderId="51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58" borderId="41" xfId="0" applyNumberFormat="1" applyFont="1" applyFill="1" applyBorder="1" applyAlignment="1">
      <alignment horizontal="right"/>
    </xf>
    <xf numFmtId="3" fontId="4" fillId="57" borderId="54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58" borderId="39" xfId="0" applyNumberFormat="1" applyFont="1" applyFill="1" applyBorder="1" applyAlignment="1">
      <alignment horizontal="right"/>
    </xf>
    <xf numFmtId="3" fontId="4" fillId="0" borderId="23" xfId="0" applyNumberFormat="1" applyFont="1" applyFill="1" applyBorder="1"/>
    <xf numFmtId="3" fontId="4" fillId="57" borderId="52" xfId="0" applyNumberFormat="1" applyFont="1" applyFill="1" applyBorder="1" applyAlignment="1">
      <alignment horizontal="center"/>
    </xf>
    <xf numFmtId="3" fontId="4" fillId="0" borderId="50" xfId="0" applyNumberFormat="1" applyFont="1" applyBorder="1"/>
    <xf numFmtId="3" fontId="3" fillId="0" borderId="15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 horizontal="center"/>
    </xf>
    <xf numFmtId="3" fontId="3" fillId="0" borderId="45" xfId="0" applyNumberFormat="1" applyFont="1" applyBorder="1"/>
    <xf numFmtId="3" fontId="3" fillId="0" borderId="78" xfId="0" applyNumberFormat="1" applyFont="1" applyFill="1" applyBorder="1" applyAlignment="1">
      <alignment horizontal="center"/>
    </xf>
    <xf numFmtId="3" fontId="3" fillId="0" borderId="5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3" fontId="4" fillId="57" borderId="17" xfId="0" applyNumberFormat="1" applyFont="1" applyFill="1" applyBorder="1"/>
    <xf numFmtId="3" fontId="4" fillId="57" borderId="46" xfId="0" applyNumberFormat="1" applyFont="1" applyFill="1" applyBorder="1" applyAlignment="1">
      <alignment horizontal="right"/>
    </xf>
    <xf numFmtId="3" fontId="4" fillId="0" borderId="21" xfId="0" applyNumberFormat="1" applyFont="1" applyBorder="1"/>
    <xf numFmtId="3" fontId="4" fillId="0" borderId="19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3" fontId="4" fillId="57" borderId="19" xfId="0" applyNumberFormat="1" applyFont="1" applyFill="1" applyBorder="1"/>
    <xf numFmtId="3" fontId="4" fillId="57" borderId="55" xfId="0" applyNumberFormat="1" applyFont="1" applyFill="1" applyBorder="1" applyAlignment="1">
      <alignment horizontal="right"/>
    </xf>
    <xf numFmtId="3" fontId="4" fillId="0" borderId="23" xfId="0" applyNumberFormat="1" applyFont="1" applyBorder="1"/>
    <xf numFmtId="3" fontId="9" fillId="0" borderId="34" xfId="0" applyNumberFormat="1" applyFont="1" applyFill="1" applyBorder="1"/>
    <xf numFmtId="3" fontId="9" fillId="0" borderId="35" xfId="0" applyNumberFormat="1" applyFont="1" applyFill="1" applyBorder="1"/>
    <xf numFmtId="3" fontId="9" fillId="0" borderId="20" xfId="0" applyNumberFormat="1" applyFont="1" applyFill="1" applyBorder="1"/>
    <xf numFmtId="3" fontId="9" fillId="57" borderId="51" xfId="0" applyNumberFormat="1" applyFont="1" applyFill="1" applyBorder="1"/>
    <xf numFmtId="3" fontId="9" fillId="0" borderId="38" xfId="0" applyNumberFormat="1" applyFont="1" applyFill="1" applyBorder="1"/>
    <xf numFmtId="3" fontId="9" fillId="0" borderId="39" xfId="0" applyNumberFormat="1" applyFont="1" applyFill="1" applyBorder="1" applyAlignment="1" applyProtection="1"/>
    <xf numFmtId="3" fontId="9" fillId="0" borderId="23" xfId="0" applyNumberFormat="1" applyFont="1" applyFill="1" applyBorder="1"/>
    <xf numFmtId="3" fontId="9" fillId="57" borderId="52" xfId="0" applyNumberFormat="1" applyFont="1" applyFill="1" applyBorder="1" applyAlignment="1" applyProtection="1"/>
    <xf numFmtId="3" fontId="4" fillId="0" borderId="52" xfId="0" applyNumberFormat="1" applyFont="1" applyBorder="1"/>
    <xf numFmtId="3" fontId="4" fillId="0" borderId="22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3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3" fillId="0" borderId="79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4" fillId="0" borderId="38" xfId="0" applyNumberFormat="1" applyFont="1" applyFill="1" applyBorder="1"/>
    <xf numFmtId="3" fontId="4" fillId="0" borderId="39" xfId="86" applyNumberFormat="1" applyFont="1" applyFill="1" applyBorder="1" applyAlignment="1">
      <alignment horizontal="right"/>
    </xf>
    <xf numFmtId="3" fontId="3" fillId="0" borderId="99" xfId="0" applyNumberFormat="1" applyFont="1" applyFill="1" applyBorder="1" applyAlignment="1">
      <alignment horizontal="center"/>
    </xf>
    <xf numFmtId="3" fontId="3" fillId="0" borderId="100" xfId="0" applyNumberFormat="1" applyFont="1" applyFill="1" applyBorder="1" applyAlignment="1">
      <alignment horizontal="center"/>
    </xf>
    <xf numFmtId="3" fontId="3" fillId="0" borderId="101" xfId="0" applyNumberFormat="1" applyFont="1" applyFill="1" applyBorder="1" applyAlignment="1">
      <alignment horizontal="center"/>
    </xf>
    <xf numFmtId="3" fontId="3" fillId="0" borderId="51" xfId="0" applyNumberFormat="1" applyFont="1" applyFill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2" fontId="3" fillId="0" borderId="83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/>
    </xf>
    <xf numFmtId="2" fontId="4" fillId="0" borderId="0" xfId="0" applyNumberFormat="1" applyFont="1"/>
    <xf numFmtId="2" fontId="3" fillId="0" borderId="31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4" fillId="0" borderId="36" xfId="0" applyNumberFormat="1" applyFont="1" applyFill="1" applyBorder="1"/>
    <xf numFmtId="2" fontId="4" fillId="0" borderId="37" xfId="0" applyNumberFormat="1" applyFont="1" applyFill="1" applyBorder="1"/>
    <xf numFmtId="2" fontId="4" fillId="0" borderId="34" xfId="0" applyNumberFormat="1" applyFont="1" applyFill="1" applyBorder="1" applyAlignment="1">
      <alignment horizontal="right"/>
    </xf>
    <xf numFmtId="2" fontId="4" fillId="0" borderId="35" xfId="82" applyNumberFormat="1" applyFont="1" applyFill="1" applyBorder="1" applyAlignment="1">
      <alignment horizontal="right"/>
    </xf>
    <xf numFmtId="2" fontId="4" fillId="0" borderId="40" xfId="0" applyNumberFormat="1" applyFont="1" applyFill="1" applyBorder="1" applyAlignment="1">
      <alignment horizontal="right"/>
    </xf>
    <xf numFmtId="2" fontId="3" fillId="0" borderId="87" xfId="0" applyNumberFormat="1" applyFont="1" applyFill="1" applyBorder="1" applyAlignment="1">
      <alignment horizontal="right"/>
    </xf>
    <xf numFmtId="2" fontId="3" fillId="0" borderId="88" xfId="82" applyNumberFormat="1" applyFont="1" applyFill="1" applyBorder="1" applyAlignment="1">
      <alignment horizontal="right"/>
    </xf>
    <xf numFmtId="2" fontId="4" fillId="0" borderId="36" xfId="0" applyNumberFormat="1" applyFont="1" applyFill="1" applyBorder="1" applyAlignment="1">
      <alignment horizontal="right"/>
    </xf>
    <xf numFmtId="2" fontId="4" fillId="0" borderId="37" xfId="82" applyNumberFormat="1" applyFont="1" applyFill="1" applyBorder="1" applyAlignment="1">
      <alignment horizontal="right"/>
    </xf>
    <xf numFmtId="2" fontId="4" fillId="0" borderId="99" xfId="0" applyNumberFormat="1" applyFont="1" applyFill="1" applyBorder="1" applyAlignment="1">
      <alignment horizontal="right"/>
    </xf>
    <xf numFmtId="2" fontId="3" fillId="0" borderId="100" xfId="82" applyNumberFormat="1" applyFont="1" applyFill="1" applyBorder="1" applyAlignment="1">
      <alignment horizontal="right"/>
    </xf>
    <xf numFmtId="2" fontId="4" fillId="0" borderId="35" xfId="0" applyNumberFormat="1" applyFont="1" applyFill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2" fontId="4" fillId="0" borderId="80" xfId="0" applyNumberFormat="1" applyFont="1" applyBorder="1" applyAlignment="1">
      <alignment horizontal="right"/>
    </xf>
    <xf numFmtId="2" fontId="4" fillId="0" borderId="49" xfId="0" applyNumberFormat="1" applyFont="1" applyBorder="1" applyAlignment="1">
      <alignment horizontal="right"/>
    </xf>
    <xf numFmtId="2" fontId="3" fillId="0" borderId="79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right"/>
    </xf>
    <xf numFmtId="2" fontId="9" fillId="0" borderId="34" xfId="0" applyNumberFormat="1" applyFont="1" applyFill="1" applyBorder="1"/>
    <xf numFmtId="2" fontId="9" fillId="0" borderId="35" xfId="0" applyNumberFormat="1" applyFont="1" applyFill="1" applyBorder="1"/>
    <xf numFmtId="2" fontId="9" fillId="0" borderId="38" xfId="0" applyNumberFormat="1" applyFont="1" applyFill="1" applyBorder="1"/>
    <xf numFmtId="2" fontId="9" fillId="0" borderId="39" xfId="0" applyNumberFormat="1" applyFont="1" applyFill="1" applyBorder="1"/>
    <xf numFmtId="0" fontId="3" fillId="0" borderId="1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3" fontId="3" fillId="0" borderId="57" xfId="0" applyNumberFormat="1" applyFont="1" applyFill="1" applyBorder="1" applyAlignment="1">
      <alignment horizontal="center"/>
    </xf>
    <xf numFmtId="3" fontId="3" fillId="0" borderId="58" xfId="0" applyNumberFormat="1" applyFont="1" applyFill="1" applyBorder="1" applyAlignment="1">
      <alignment horizontal="center"/>
    </xf>
    <xf numFmtId="3" fontId="3" fillId="0" borderId="115" xfId="0" applyNumberFormat="1" applyFont="1" applyBorder="1" applyAlignment="1">
      <alignment horizontal="center"/>
    </xf>
    <xf numFmtId="3" fontId="3" fillId="0" borderId="116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3" fillId="0" borderId="118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119" xfId="0" applyNumberFormat="1" applyFont="1" applyFill="1" applyBorder="1" applyAlignment="1">
      <alignment horizontal="center"/>
    </xf>
    <xf numFmtId="3" fontId="3" fillId="0" borderId="122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51" xfId="0" applyNumberFormat="1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3" fontId="3" fillId="0" borderId="62" xfId="0" applyNumberFormat="1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3" fillId="0" borderId="104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3" fillId="0" borderId="99" xfId="0" applyNumberFormat="1" applyFont="1" applyFill="1" applyBorder="1" applyAlignment="1">
      <alignment horizontal="right"/>
    </xf>
    <xf numFmtId="3" fontId="3" fillId="0" borderId="98" xfId="0" applyNumberFormat="1" applyFont="1" applyFill="1" applyBorder="1" applyAlignment="1">
      <alignment horizontal="right"/>
    </xf>
    <xf numFmtId="3" fontId="3" fillId="0" borderId="120" xfId="0" applyNumberFormat="1" applyFont="1" applyBorder="1" applyAlignment="1">
      <alignment horizontal="right"/>
    </xf>
    <xf numFmtId="3" fontId="3" fillId="0" borderId="121" xfId="0" applyNumberFormat="1" applyFont="1" applyBorder="1" applyAlignment="1">
      <alignment horizontal="right"/>
    </xf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62" xfId="0" applyNumberFormat="1" applyFont="1" applyFill="1" applyBorder="1" applyAlignment="1">
      <alignment horizontal="center"/>
    </xf>
    <xf numFmtId="2" fontId="3" fillId="0" borderId="58" xfId="0" applyNumberFormat="1" applyFont="1" applyFill="1" applyBorder="1" applyAlignment="1">
      <alignment horizontal="center"/>
    </xf>
  </cellXfs>
  <cellStyles count="145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3" xfId="77"/>
    <cellStyle name="Calculation 4" xfId="78"/>
    <cellStyle name="Check Cell 2" xfId="79"/>
    <cellStyle name="Check Cell 3" xfId="80"/>
    <cellStyle name="Check Cell 4" xfId="81"/>
    <cellStyle name="Comma" xfId="82" builtinId="3"/>
    <cellStyle name="Comma 2" xfId="83"/>
    <cellStyle name="Comma 2 2" xfId="84"/>
    <cellStyle name="Comma0" xfId="85"/>
    <cellStyle name="Currency" xfId="86" builtinId="4"/>
    <cellStyle name="Currency0" xfId="87"/>
    <cellStyle name="Date" xfId="88"/>
    <cellStyle name="Explanatory Text 2" xfId="89"/>
    <cellStyle name="Explanatory Text 3" xfId="90"/>
    <cellStyle name="Explanatory Text 4" xfId="91"/>
    <cellStyle name="Fixed" xfId="92"/>
    <cellStyle name="Good 2" xfId="93"/>
    <cellStyle name="Good 3" xfId="94"/>
    <cellStyle name="Good 4" xfId="95"/>
    <cellStyle name="Heading 1" xfId="96" builtinId="16" customBuiltin="1"/>
    <cellStyle name="Heading 1 2" xfId="97"/>
    <cellStyle name="Heading 1 3" xfId="98"/>
    <cellStyle name="Heading 1 4" xfId="99"/>
    <cellStyle name="Heading 2" xfId="100" builtinId="17" customBuiltin="1"/>
    <cellStyle name="Heading 2 2" xfId="101"/>
    <cellStyle name="Heading 2 3" xfId="102"/>
    <cellStyle name="Heading 2 4" xfId="103"/>
    <cellStyle name="Heading 3 2" xfId="104"/>
    <cellStyle name="Heading 3 3" xfId="105"/>
    <cellStyle name="Heading 3 4" xfId="106"/>
    <cellStyle name="Heading 4 2" xfId="107"/>
    <cellStyle name="Heading 4 3" xfId="108"/>
    <cellStyle name="Heading 4 4" xfId="109"/>
    <cellStyle name="HEADING1" xfId="110"/>
    <cellStyle name="HEADING2" xfId="111"/>
    <cellStyle name="Input 2" xfId="112"/>
    <cellStyle name="Input 3" xfId="113"/>
    <cellStyle name="Input 4" xfId="114"/>
    <cellStyle name="Linked Cell 2" xfId="115"/>
    <cellStyle name="Linked Cell 3" xfId="116"/>
    <cellStyle name="Linked Cell 4" xfId="117"/>
    <cellStyle name="Neutral 2" xfId="118"/>
    <cellStyle name="Neutral 3" xfId="119"/>
    <cellStyle name="Neutral 4" xfId="120"/>
    <cellStyle name="Normal" xfId="0" builtinId="0"/>
    <cellStyle name="Normal 2" xfId="121"/>
    <cellStyle name="Normal 2 2" xfId="122"/>
    <cellStyle name="Normal 3" xfId="123"/>
    <cellStyle name="Normal 3 2" xfId="124"/>
    <cellStyle name="Normal 4" xfId="125"/>
    <cellStyle name="Normal 5" xfId="126"/>
    <cellStyle name="Normal 7" xfId="144"/>
    <cellStyle name="Note 2" xfId="127"/>
    <cellStyle name="Note 3" xfId="128"/>
    <cellStyle name="Note 4" xfId="129"/>
    <cellStyle name="Output 2" xfId="130"/>
    <cellStyle name="Output 3" xfId="131"/>
    <cellStyle name="Output 4" xfId="132"/>
    <cellStyle name="Percent 2" xfId="133"/>
    <cellStyle name="Title 2" xfId="134"/>
    <cellStyle name="Title 3" xfId="135"/>
    <cellStyle name="Title 4" xfId="136"/>
    <cellStyle name="Total" xfId="137" builtinId="25" customBuiltin="1"/>
    <cellStyle name="Total 2" xfId="138"/>
    <cellStyle name="Total 3" xfId="139"/>
    <cellStyle name="Total 4" xfId="140"/>
    <cellStyle name="Warning Text 2" xfId="141"/>
    <cellStyle name="Warning Text 3" xfId="142"/>
    <cellStyle name="Warning Text 4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opLeftCell="A16" zoomScaleNormal="100" zoomScaleSheetLayoutView="100" workbookViewId="0">
      <pane xSplit="1" topLeftCell="J1" activePane="topRight" state="frozen"/>
      <selection activeCell="AA26" sqref="AA26"/>
      <selection pane="topRight" activeCell="AA26" sqref="AA26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7109375" hidden="1" customWidth="1"/>
    <col min="4" max="4" width="4.7109375" style="1" hidden="1" customWidth="1"/>
    <col min="5" max="5" width="10.7109375" style="1" hidden="1" customWidth="1"/>
    <col min="6" max="6" width="4.7109375" style="1" hidden="1" customWidth="1"/>
    <col min="7" max="7" width="10.7109375" style="1" hidden="1" customWidth="1"/>
    <col min="8" max="8" width="4.7109375" style="18" hidden="1" customWidth="1"/>
    <col min="9" max="9" width="10.7109375" style="18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570312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5.75" x14ac:dyDescent="0.25">
      <c r="A1" s="169" t="s">
        <v>37</v>
      </c>
      <c r="D1"/>
      <c r="E1"/>
      <c r="F1" s="36"/>
      <c r="G1" s="36"/>
      <c r="H1" s="36"/>
      <c r="I1" s="36"/>
    </row>
    <row r="2" spans="1:33" ht="15.75" x14ac:dyDescent="0.25">
      <c r="A2" s="169" t="s">
        <v>38</v>
      </c>
      <c r="D2"/>
      <c r="E2"/>
      <c r="F2" s="36"/>
      <c r="G2" s="36"/>
      <c r="H2" s="36"/>
      <c r="I2" s="36"/>
    </row>
    <row r="3" spans="1:33" ht="5.25" customHeight="1" x14ac:dyDescent="0.25">
      <c r="A3" s="169"/>
      <c r="D3"/>
      <c r="E3"/>
      <c r="F3" s="36"/>
      <c r="G3" s="36"/>
      <c r="H3" s="36"/>
      <c r="I3" s="36"/>
    </row>
    <row r="4" spans="1:33" ht="15.75" x14ac:dyDescent="0.25">
      <c r="A4" s="170" t="s">
        <v>39</v>
      </c>
      <c r="D4"/>
      <c r="E4"/>
      <c r="F4" s="36"/>
      <c r="G4" s="36"/>
      <c r="H4" s="36"/>
      <c r="I4" s="36"/>
    </row>
    <row r="5" spans="1:33" ht="6" customHeight="1" x14ac:dyDescent="0.25">
      <c r="A5" s="170"/>
      <c r="D5"/>
      <c r="E5"/>
      <c r="F5" s="36"/>
      <c r="G5" s="36"/>
      <c r="H5" s="36"/>
      <c r="I5" s="36"/>
    </row>
    <row r="6" spans="1:33" ht="25.5" x14ac:dyDescent="0.2">
      <c r="A6" s="276" t="s">
        <v>53</v>
      </c>
      <c r="B6" s="1"/>
      <c r="C6" s="1"/>
      <c r="F6" s="18"/>
      <c r="G6" s="18"/>
    </row>
    <row r="7" spans="1:33" x14ac:dyDescent="0.2">
      <c r="A7" s="171"/>
      <c r="B7" s="1"/>
      <c r="C7" s="1"/>
      <c r="F7" s="18"/>
      <c r="G7" s="18"/>
    </row>
    <row r="8" spans="1:33" ht="6" customHeight="1" thickBot="1" x14ac:dyDescent="0.25">
      <c r="A8" s="13"/>
      <c r="B8" s="3"/>
      <c r="C8" s="3"/>
      <c r="D8" s="3"/>
      <c r="E8" s="3"/>
      <c r="F8" s="37"/>
      <c r="G8" s="37"/>
      <c r="H8" s="37"/>
      <c r="I8" s="37"/>
    </row>
    <row r="9" spans="1:33" ht="30" customHeight="1" thickTop="1" thickBot="1" x14ac:dyDescent="0.25">
      <c r="A9" s="75"/>
      <c r="B9" s="505" t="s">
        <v>3</v>
      </c>
      <c r="C9" s="506"/>
      <c r="D9" s="505" t="s">
        <v>4</v>
      </c>
      <c r="E9" s="506"/>
      <c r="F9" s="489" t="s">
        <v>17</v>
      </c>
      <c r="G9" s="490"/>
      <c r="H9" s="489" t="s">
        <v>19</v>
      </c>
      <c r="I9" s="490"/>
      <c r="J9" s="489" t="s">
        <v>20</v>
      </c>
      <c r="K9" s="490"/>
      <c r="L9" s="489" t="s">
        <v>22</v>
      </c>
      <c r="M9" s="490"/>
      <c r="N9" s="491" t="s">
        <v>24</v>
      </c>
      <c r="O9" s="490"/>
      <c r="P9" s="491" t="s">
        <v>25</v>
      </c>
      <c r="Q9" s="490"/>
      <c r="R9" s="491" t="s">
        <v>28</v>
      </c>
      <c r="S9" s="490"/>
      <c r="T9" s="491" t="s">
        <v>30</v>
      </c>
      <c r="U9" s="490"/>
      <c r="V9" s="491" t="s">
        <v>33</v>
      </c>
      <c r="W9" s="490"/>
      <c r="X9" s="491" t="s">
        <v>34</v>
      </c>
      <c r="Y9" s="490"/>
      <c r="Z9" s="491" t="s">
        <v>35</v>
      </c>
      <c r="AA9" s="490"/>
      <c r="AB9" s="491" t="s">
        <v>52</v>
      </c>
      <c r="AC9" s="492"/>
      <c r="AE9" s="487" t="s">
        <v>23</v>
      </c>
      <c r="AF9" s="488"/>
      <c r="AG9" s="181" t="s">
        <v>40</v>
      </c>
    </row>
    <row r="10" spans="1:33" ht="18" customHeight="1" x14ac:dyDescent="0.2">
      <c r="A10" s="180" t="s">
        <v>5</v>
      </c>
      <c r="B10" s="185"/>
      <c r="C10" s="186"/>
      <c r="D10" s="187"/>
      <c r="E10" s="187"/>
      <c r="F10" s="188"/>
      <c r="G10" s="189"/>
      <c r="H10" s="190"/>
      <c r="I10" s="190"/>
      <c r="J10" s="188"/>
      <c r="K10" s="190"/>
      <c r="L10" s="188"/>
      <c r="M10" s="189"/>
      <c r="N10" s="190"/>
      <c r="O10" s="189"/>
      <c r="P10" s="190"/>
      <c r="Q10" s="189"/>
      <c r="R10" s="190"/>
      <c r="S10" s="189"/>
      <c r="T10" s="190"/>
      <c r="U10" s="189"/>
      <c r="V10" s="190"/>
      <c r="W10" s="189"/>
      <c r="X10" s="190"/>
      <c r="Y10" s="189"/>
      <c r="Z10" s="352"/>
      <c r="AA10" s="354"/>
      <c r="AB10" s="350"/>
      <c r="AC10" s="351"/>
      <c r="AE10" s="225"/>
      <c r="AF10" s="355"/>
      <c r="AG10" s="182"/>
    </row>
    <row r="11" spans="1:33" ht="15" customHeight="1" x14ac:dyDescent="0.2">
      <c r="A11" s="111" t="s">
        <v>6</v>
      </c>
      <c r="B11" s="19"/>
      <c r="C11" s="183"/>
      <c r="D11" s="4"/>
      <c r="E11" s="4"/>
      <c r="F11" s="43"/>
      <c r="G11" s="62"/>
      <c r="H11" s="56"/>
      <c r="I11" s="56"/>
      <c r="J11" s="43"/>
      <c r="K11" s="56"/>
      <c r="L11" s="43"/>
      <c r="M11" s="62"/>
      <c r="N11" s="359"/>
      <c r="O11" s="360"/>
      <c r="P11" s="361"/>
      <c r="Q11" s="360"/>
      <c r="R11" s="361"/>
      <c r="S11" s="360"/>
      <c r="T11" s="361"/>
      <c r="U11" s="360"/>
      <c r="V11" s="361"/>
      <c r="W11" s="360"/>
      <c r="X11" s="361"/>
      <c r="Y11" s="360"/>
      <c r="Z11" s="361"/>
      <c r="AA11" s="360"/>
      <c r="AB11" s="361"/>
      <c r="AC11" s="362"/>
      <c r="AD11" s="363"/>
      <c r="AE11" s="364"/>
      <c r="AF11" s="365"/>
      <c r="AG11" s="63"/>
    </row>
    <row r="12" spans="1:33" ht="15" customHeight="1" x14ac:dyDescent="0.2">
      <c r="A12" s="77" t="s">
        <v>7</v>
      </c>
      <c r="B12" s="19"/>
      <c r="C12" s="277">
        <f>438823+879066</f>
        <v>1317889</v>
      </c>
      <c r="D12" s="278"/>
      <c r="E12" s="279">
        <f>248955+1229699</f>
        <v>1478654</v>
      </c>
      <c r="F12" s="118"/>
      <c r="G12" s="280">
        <f>364973+1214893</f>
        <v>1579866</v>
      </c>
      <c r="H12" s="116"/>
      <c r="I12" s="281">
        <f>376863+1261705</f>
        <v>1638568</v>
      </c>
      <c r="J12" s="282"/>
      <c r="K12" s="283">
        <f>479224+1389011</f>
        <v>1868235</v>
      </c>
      <c r="L12" s="282"/>
      <c r="M12" s="284">
        <f>1437857+489268</f>
        <v>1927125</v>
      </c>
      <c r="N12" s="366"/>
      <c r="O12" s="367">
        <f>1385203+488622</f>
        <v>1873825</v>
      </c>
      <c r="P12" s="368"/>
      <c r="Q12" s="367">
        <v>2076867</v>
      </c>
      <c r="R12" s="368"/>
      <c r="S12" s="367">
        <v>2114375</v>
      </c>
      <c r="T12" s="368"/>
      <c r="U12" s="367">
        <v>2168277</v>
      </c>
      <c r="V12" s="368"/>
      <c r="W12" s="367">
        <v>2384972</v>
      </c>
      <c r="X12" s="368"/>
      <c r="Y12" s="367">
        <v>3290857</v>
      </c>
      <c r="Z12" s="368"/>
      <c r="AA12" s="367">
        <v>3737597</v>
      </c>
      <c r="AB12" s="368"/>
      <c r="AC12" s="369">
        <f>1776845+2613616</f>
        <v>4390461</v>
      </c>
      <c r="AD12" s="363"/>
      <c r="AE12" s="364"/>
      <c r="AF12" s="365">
        <f>AVERAGE(W12,U12,Y12,AC12,AA12)</f>
        <v>3194432.8</v>
      </c>
      <c r="AG12" s="318">
        <f>+(AC12-U12)/U12</f>
        <v>1.0248616758836624</v>
      </c>
    </row>
    <row r="13" spans="1:33" ht="15" customHeight="1" x14ac:dyDescent="0.2">
      <c r="A13" s="77" t="s">
        <v>26</v>
      </c>
      <c r="B13" s="19"/>
      <c r="C13" s="277"/>
      <c r="D13" s="278"/>
      <c r="E13" s="279"/>
      <c r="F13" s="118"/>
      <c r="G13" s="285"/>
      <c r="H13" s="116"/>
      <c r="I13" s="281">
        <v>17646</v>
      </c>
      <c r="J13" s="282"/>
      <c r="K13" s="283">
        <v>18195</v>
      </c>
      <c r="L13" s="282"/>
      <c r="M13" s="284">
        <v>18691</v>
      </c>
      <c r="N13" s="366"/>
      <c r="O13" s="367">
        <v>18707</v>
      </c>
      <c r="P13" s="368"/>
      <c r="Q13" s="367">
        <v>18902</v>
      </c>
      <c r="R13" s="368"/>
      <c r="S13" s="367">
        <v>19075</v>
      </c>
      <c r="T13" s="368"/>
      <c r="U13" s="367">
        <v>19615</v>
      </c>
      <c r="V13" s="368"/>
      <c r="W13" s="367">
        <v>19726</v>
      </c>
      <c r="X13" s="368"/>
      <c r="Y13" s="367">
        <v>20711</v>
      </c>
      <c r="Z13" s="368"/>
      <c r="AA13" s="367">
        <v>20582</v>
      </c>
      <c r="AB13" s="368"/>
      <c r="AC13" s="369">
        <f>20462</f>
        <v>20462</v>
      </c>
      <c r="AD13" s="363"/>
      <c r="AE13" s="370"/>
      <c r="AF13" s="365">
        <f t="shared" ref="AF13:AF21" si="0">AVERAGE(W13,U13,Y13,AC13,AA13)</f>
        <v>20219.2</v>
      </c>
      <c r="AG13" s="318">
        <f t="shared" ref="AG13:AG21" si="1">+(AC13-U13)/U13</f>
        <v>4.3181238847820547E-2</v>
      </c>
    </row>
    <row r="14" spans="1:33" ht="30" customHeight="1" thickBot="1" x14ac:dyDescent="0.25">
      <c r="A14" s="206" t="s">
        <v>27</v>
      </c>
      <c r="B14" s="191"/>
      <c r="C14" s="286">
        <f>548353+44092</f>
        <v>592445</v>
      </c>
      <c r="D14" s="164"/>
      <c r="E14" s="287">
        <f>569944</f>
        <v>569944</v>
      </c>
      <c r="F14" s="288"/>
      <c r="G14" s="289">
        <f>618945+2149156</f>
        <v>2768101</v>
      </c>
      <c r="H14" s="122"/>
      <c r="I14" s="290">
        <v>2811883</v>
      </c>
      <c r="J14" s="288"/>
      <c r="K14" s="290">
        <v>2901422</v>
      </c>
      <c r="L14" s="288"/>
      <c r="M14" s="289">
        <v>2947029</v>
      </c>
      <c r="N14" s="371"/>
      <c r="O14" s="372">
        <v>5532876</v>
      </c>
      <c r="P14" s="373"/>
      <c r="Q14" s="372">
        <v>15499896</v>
      </c>
      <c r="R14" s="373"/>
      <c r="S14" s="372">
        <v>15435613</v>
      </c>
      <c r="T14" s="373"/>
      <c r="U14" s="372">
        <v>15520756</v>
      </c>
      <c r="V14" s="373"/>
      <c r="W14" s="372">
        <v>14047846</v>
      </c>
      <c r="X14" s="373"/>
      <c r="Y14" s="372">
        <v>14034547</v>
      </c>
      <c r="Z14" s="373"/>
      <c r="AA14" s="372">
        <v>12944556</v>
      </c>
      <c r="AB14" s="373"/>
      <c r="AC14" s="374">
        <f>1377050+11622911</f>
        <v>12999961</v>
      </c>
      <c r="AD14" s="363"/>
      <c r="AE14" s="375"/>
      <c r="AF14" s="376">
        <f t="shared" si="0"/>
        <v>13909533.199999999</v>
      </c>
      <c r="AG14" s="318">
        <f t="shared" si="1"/>
        <v>-0.16241444682204914</v>
      </c>
    </row>
    <row r="15" spans="1:33" ht="18.75" customHeight="1" thickBot="1" x14ac:dyDescent="0.25">
      <c r="A15" s="213" t="s">
        <v>8</v>
      </c>
      <c r="B15" s="198"/>
      <c r="C15" s="291">
        <f>SUM(C12:C14)</f>
        <v>1910334</v>
      </c>
      <c r="D15" s="292"/>
      <c r="E15" s="293">
        <f>SUM(E12:E14)</f>
        <v>2048598</v>
      </c>
      <c r="F15" s="294"/>
      <c r="G15" s="295">
        <f>SUM(G12:G14)</f>
        <v>4347967</v>
      </c>
      <c r="H15" s="296"/>
      <c r="I15" s="297">
        <f>SUM(I12:I14)</f>
        <v>4468097</v>
      </c>
      <c r="J15" s="294"/>
      <c r="K15" s="297">
        <f>SUM(K12:K14)</f>
        <v>4787852</v>
      </c>
      <c r="L15" s="294"/>
      <c r="M15" s="295">
        <f>SUM(M12:M14)</f>
        <v>4892845</v>
      </c>
      <c r="N15" s="377"/>
      <c r="O15" s="378">
        <f>SUM(O12:O14)</f>
        <v>7425408</v>
      </c>
      <c r="P15" s="379"/>
      <c r="Q15" s="378">
        <f>SUM(Q12:Q14)</f>
        <v>17595665</v>
      </c>
      <c r="R15" s="379"/>
      <c r="S15" s="378">
        <f>SUM(S12:S14)</f>
        <v>17569063</v>
      </c>
      <c r="T15" s="379"/>
      <c r="U15" s="378">
        <f>SUM(U12:U14)</f>
        <v>17708648</v>
      </c>
      <c r="V15" s="379"/>
      <c r="W15" s="378">
        <f>SUM(W12:W14)</f>
        <v>16452544</v>
      </c>
      <c r="X15" s="379"/>
      <c r="Y15" s="378">
        <f>SUM(Y12:Y14)</f>
        <v>17346115</v>
      </c>
      <c r="Z15" s="379"/>
      <c r="AA15" s="378">
        <f>SUM(AA12:AA14)</f>
        <v>16702735</v>
      </c>
      <c r="AB15" s="379"/>
      <c r="AC15" s="380">
        <f>SUM(AC12:AC14)</f>
        <v>17410884</v>
      </c>
      <c r="AD15" s="363"/>
      <c r="AE15" s="381"/>
      <c r="AF15" s="382">
        <f t="shared" si="0"/>
        <v>17124185.199999999</v>
      </c>
      <c r="AG15" s="320">
        <f t="shared" si="1"/>
        <v>-1.6814609449575146E-2</v>
      </c>
    </row>
    <row r="16" spans="1:33" ht="15" customHeight="1" x14ac:dyDescent="0.2">
      <c r="A16" s="111" t="s">
        <v>9</v>
      </c>
      <c r="B16" s="19"/>
      <c r="C16" s="277"/>
      <c r="D16" s="278"/>
      <c r="E16" s="279"/>
      <c r="F16" s="118"/>
      <c r="G16" s="280"/>
      <c r="H16" s="116"/>
      <c r="I16" s="281"/>
      <c r="J16" s="118"/>
      <c r="K16" s="281"/>
      <c r="L16" s="118"/>
      <c r="M16" s="280"/>
      <c r="N16" s="359"/>
      <c r="O16" s="383"/>
      <c r="P16" s="361"/>
      <c r="Q16" s="383"/>
      <c r="R16" s="361"/>
      <c r="S16" s="383"/>
      <c r="T16" s="361"/>
      <c r="U16" s="383"/>
      <c r="V16" s="361"/>
      <c r="W16" s="383"/>
      <c r="X16" s="361"/>
      <c r="Y16" s="383"/>
      <c r="Z16" s="361"/>
      <c r="AA16" s="383"/>
      <c r="AB16" s="361"/>
      <c r="AC16" s="384"/>
      <c r="AD16" s="363"/>
      <c r="AE16" s="385"/>
      <c r="AF16" s="386"/>
      <c r="AG16" s="184"/>
    </row>
    <row r="17" spans="1:33" ht="15" customHeight="1" x14ac:dyDescent="0.2">
      <c r="A17" s="77" t="s">
        <v>7</v>
      </c>
      <c r="B17" s="5"/>
      <c r="C17" s="298">
        <v>6068</v>
      </c>
      <c r="D17" s="282"/>
      <c r="E17" s="284">
        <v>6068</v>
      </c>
      <c r="F17" s="124"/>
      <c r="G17" s="284">
        <f>6068</f>
        <v>6068</v>
      </c>
      <c r="H17" s="124"/>
      <c r="I17" s="283">
        <f>6068</f>
        <v>6068</v>
      </c>
      <c r="J17" s="282"/>
      <c r="K17" s="283">
        <v>6068</v>
      </c>
      <c r="L17" s="282"/>
      <c r="M17" s="284">
        <v>6068</v>
      </c>
      <c r="N17" s="366"/>
      <c r="O17" s="367">
        <v>6068</v>
      </c>
      <c r="P17" s="368"/>
      <c r="Q17" s="367">
        <v>6068</v>
      </c>
      <c r="R17" s="368"/>
      <c r="S17" s="367">
        <v>6068</v>
      </c>
      <c r="T17" s="368"/>
      <c r="U17" s="367">
        <v>6068</v>
      </c>
      <c r="V17" s="368"/>
      <c r="W17" s="367">
        <v>16375</v>
      </c>
      <c r="X17" s="368"/>
      <c r="Y17" s="367">
        <v>16640</v>
      </c>
      <c r="Z17" s="368"/>
      <c r="AA17" s="367">
        <v>16490</v>
      </c>
      <c r="AB17" s="368"/>
      <c r="AC17" s="369">
        <v>42818</v>
      </c>
      <c r="AD17" s="363"/>
      <c r="AE17" s="364"/>
      <c r="AF17" s="365">
        <f t="shared" si="0"/>
        <v>19678.2</v>
      </c>
      <c r="AG17" s="318">
        <f t="shared" si="1"/>
        <v>6.0563612392880684</v>
      </c>
    </row>
    <row r="18" spans="1:33" ht="15" customHeight="1" x14ac:dyDescent="0.2">
      <c r="A18" s="77" t="s">
        <v>26</v>
      </c>
      <c r="B18" s="5"/>
      <c r="C18" s="298"/>
      <c r="D18" s="282"/>
      <c r="E18" s="284"/>
      <c r="F18" s="124"/>
      <c r="G18" s="299"/>
      <c r="H18" s="124"/>
      <c r="I18" s="283"/>
      <c r="J18" s="282"/>
      <c r="K18" s="283"/>
      <c r="L18" s="282"/>
      <c r="M18" s="284"/>
      <c r="N18" s="366"/>
      <c r="O18" s="367"/>
      <c r="P18" s="368"/>
      <c r="Q18" s="367"/>
      <c r="R18" s="368"/>
      <c r="S18" s="367"/>
      <c r="T18" s="368"/>
      <c r="U18" s="367"/>
      <c r="V18" s="368"/>
      <c r="W18" s="367"/>
      <c r="X18" s="368"/>
      <c r="Y18" s="367"/>
      <c r="Z18" s="368"/>
      <c r="AA18" s="367"/>
      <c r="AB18" s="368"/>
      <c r="AC18" s="369"/>
      <c r="AD18" s="363"/>
      <c r="AE18" s="370"/>
      <c r="AF18" s="365"/>
      <c r="AG18" s="318"/>
    </row>
    <row r="19" spans="1:33" ht="29.25" customHeight="1" thickBot="1" x14ac:dyDescent="0.25">
      <c r="A19" s="206" t="s">
        <v>27</v>
      </c>
      <c r="B19" s="165"/>
      <c r="C19" s="287">
        <v>68434</v>
      </c>
      <c r="D19" s="288"/>
      <c r="E19" s="289">
        <v>2460418</v>
      </c>
      <c r="F19" s="122"/>
      <c r="G19" s="289">
        <f>3807787</f>
        <v>3807787</v>
      </c>
      <c r="H19" s="122"/>
      <c r="I19" s="290">
        <f>3986469</f>
        <v>3986469</v>
      </c>
      <c r="J19" s="288"/>
      <c r="K19" s="290">
        <v>3987105</v>
      </c>
      <c r="L19" s="288"/>
      <c r="M19" s="289">
        <v>3977393</v>
      </c>
      <c r="N19" s="371"/>
      <c r="O19" s="372">
        <v>4043464</v>
      </c>
      <c r="P19" s="373"/>
      <c r="Q19" s="372">
        <v>4050550</v>
      </c>
      <c r="R19" s="373"/>
      <c r="S19" s="372">
        <v>3972839</v>
      </c>
      <c r="T19" s="373"/>
      <c r="U19" s="372">
        <v>3972608</v>
      </c>
      <c r="V19" s="373"/>
      <c r="W19" s="372">
        <v>3942431</v>
      </c>
      <c r="X19" s="373"/>
      <c r="Y19" s="372">
        <v>3941228</v>
      </c>
      <c r="Z19" s="373"/>
      <c r="AA19" s="372">
        <v>3940797</v>
      </c>
      <c r="AB19" s="373"/>
      <c r="AC19" s="374">
        <v>3935209</v>
      </c>
      <c r="AD19" s="363"/>
      <c r="AE19" s="375"/>
      <c r="AF19" s="365">
        <f t="shared" si="0"/>
        <v>3946454.6</v>
      </c>
      <c r="AG19" s="318">
        <f t="shared" si="1"/>
        <v>-9.4142185687588614E-3</v>
      </c>
    </row>
    <row r="20" spans="1:33" ht="18.75" customHeight="1" thickBot="1" x14ac:dyDescent="0.25">
      <c r="A20" s="213" t="s">
        <v>10</v>
      </c>
      <c r="B20" s="198"/>
      <c r="C20" s="291">
        <f>SUM(C17:C19)</f>
        <v>74502</v>
      </c>
      <c r="D20" s="292"/>
      <c r="E20" s="293">
        <f>SUM(E17:E19)</f>
        <v>2466486</v>
      </c>
      <c r="F20" s="294"/>
      <c r="G20" s="291">
        <f>SUM(G17:G19)</f>
        <v>3813855</v>
      </c>
      <c r="H20" s="296"/>
      <c r="I20" s="297">
        <f>SUM(I17:I19)</f>
        <v>3992537</v>
      </c>
      <c r="J20" s="294"/>
      <c r="K20" s="297">
        <f>SUM(K17:K19)</f>
        <v>3993173</v>
      </c>
      <c r="L20" s="294"/>
      <c r="M20" s="295">
        <f>SUM(M17:M19)</f>
        <v>3983461</v>
      </c>
      <c r="N20" s="377"/>
      <c r="O20" s="378">
        <f>SUM(O17:O19)</f>
        <v>4049532</v>
      </c>
      <c r="P20" s="379"/>
      <c r="Q20" s="378">
        <f>SUM(Q17:Q19)</f>
        <v>4056618</v>
      </c>
      <c r="R20" s="379"/>
      <c r="S20" s="378">
        <f>SUM(S17:S19)</f>
        <v>3978907</v>
      </c>
      <c r="T20" s="379"/>
      <c r="U20" s="378">
        <f>SUM(U17:U19)</f>
        <v>3978676</v>
      </c>
      <c r="V20" s="379"/>
      <c r="W20" s="378">
        <f>SUM(W17:W19)</f>
        <v>3958806</v>
      </c>
      <c r="X20" s="379"/>
      <c r="Y20" s="378">
        <f>SUM(Y17:Y19)</f>
        <v>3957868</v>
      </c>
      <c r="Z20" s="379"/>
      <c r="AA20" s="378">
        <f>SUM(AA17:AA19)</f>
        <v>3957287</v>
      </c>
      <c r="AB20" s="379"/>
      <c r="AC20" s="380">
        <f>SUM(AC17:AC19)</f>
        <v>3978027</v>
      </c>
      <c r="AD20" s="363"/>
      <c r="AE20" s="381"/>
      <c r="AF20" s="382">
        <f t="shared" si="0"/>
        <v>3966132.8</v>
      </c>
      <c r="AG20" s="321">
        <f t="shared" si="1"/>
        <v>-1.6311959053715356E-4</v>
      </c>
    </row>
    <row r="21" spans="1:33" ht="18.75" customHeight="1" thickBot="1" x14ac:dyDescent="0.25">
      <c r="A21" s="260" t="s">
        <v>11</v>
      </c>
      <c r="B21" s="253"/>
      <c r="C21" s="300">
        <f>SUM(C15,C20)</f>
        <v>1984836</v>
      </c>
      <c r="D21" s="301"/>
      <c r="E21" s="302">
        <f>SUM(E15,E20)</f>
        <v>4515084</v>
      </c>
      <c r="F21" s="303"/>
      <c r="G21" s="300">
        <f>SUM(G15,G20)</f>
        <v>8161822</v>
      </c>
      <c r="H21" s="304"/>
      <c r="I21" s="305">
        <f>SUM(I15,I20)</f>
        <v>8460634</v>
      </c>
      <c r="J21" s="303"/>
      <c r="K21" s="305">
        <f>SUM(K15,K20)</f>
        <v>8781025</v>
      </c>
      <c r="L21" s="303"/>
      <c r="M21" s="306">
        <f>SUM(M15,M20)</f>
        <v>8876306</v>
      </c>
      <c r="N21" s="387"/>
      <c r="O21" s="388">
        <f>SUM(O15,O20)</f>
        <v>11474940</v>
      </c>
      <c r="P21" s="389"/>
      <c r="Q21" s="388">
        <f>SUM(Q15,Q20)</f>
        <v>21652283</v>
      </c>
      <c r="R21" s="389"/>
      <c r="S21" s="388">
        <f>SUM(S15,S20)</f>
        <v>21547970</v>
      </c>
      <c r="T21" s="389"/>
      <c r="U21" s="388">
        <f>SUM(U15,U20)</f>
        <v>21687324</v>
      </c>
      <c r="V21" s="389"/>
      <c r="W21" s="388">
        <f>SUM(W15,W20)</f>
        <v>20411350</v>
      </c>
      <c r="X21" s="389"/>
      <c r="Y21" s="388">
        <f>SUM(Y15,Y20)</f>
        <v>21303983</v>
      </c>
      <c r="Z21" s="389"/>
      <c r="AA21" s="388">
        <f>SUM(AA15,AA20)</f>
        <v>20660022</v>
      </c>
      <c r="AB21" s="389"/>
      <c r="AC21" s="390">
        <f>SUM(AC15,AC20)</f>
        <v>21388911</v>
      </c>
      <c r="AD21" s="363"/>
      <c r="AE21" s="391"/>
      <c r="AF21" s="392">
        <f t="shared" si="0"/>
        <v>21090318</v>
      </c>
      <c r="AG21" s="322">
        <f t="shared" si="1"/>
        <v>-1.3759788897883391E-2</v>
      </c>
    </row>
    <row r="22" spans="1:33" ht="18" customHeight="1" x14ac:dyDescent="0.2">
      <c r="A22" s="210" t="s">
        <v>36</v>
      </c>
      <c r="B22" s="19"/>
      <c r="C22" s="183"/>
      <c r="D22" s="4"/>
      <c r="E22" s="4"/>
      <c r="F22" s="188"/>
      <c r="G22" s="189"/>
      <c r="H22" s="188"/>
      <c r="I22" s="189"/>
      <c r="J22" s="188"/>
      <c r="K22" s="189"/>
      <c r="L22" s="190"/>
      <c r="M22" s="189"/>
      <c r="N22" s="393"/>
      <c r="O22" s="394"/>
      <c r="P22" s="393"/>
      <c r="Q22" s="394"/>
      <c r="R22" s="393"/>
      <c r="S22" s="394"/>
      <c r="T22" s="393"/>
      <c r="U22" s="394"/>
      <c r="V22" s="393"/>
      <c r="W22" s="394"/>
      <c r="X22" s="499"/>
      <c r="Y22" s="499"/>
      <c r="Z22" s="500"/>
      <c r="AA22" s="501"/>
      <c r="AB22" s="502"/>
      <c r="AC22" s="503"/>
      <c r="AD22" s="363"/>
      <c r="AE22" s="495"/>
      <c r="AF22" s="496"/>
      <c r="AG22" s="323"/>
    </row>
    <row r="23" spans="1:33" ht="15" customHeight="1" x14ac:dyDescent="0.2">
      <c r="A23" s="77" t="s">
        <v>54</v>
      </c>
      <c r="B23" s="24"/>
      <c r="C23" s="25">
        <v>266179</v>
      </c>
      <c r="D23" s="9"/>
      <c r="E23" s="53">
        <v>521694</v>
      </c>
      <c r="F23" s="228"/>
      <c r="G23" s="226">
        <v>55657.27</v>
      </c>
      <c r="H23" s="227"/>
      <c r="I23" s="227">
        <v>40731.980000000003</v>
      </c>
      <c r="J23" s="228"/>
      <c r="K23" s="227">
        <v>30552</v>
      </c>
      <c r="L23" s="228"/>
      <c r="M23" s="229">
        <v>55077</v>
      </c>
      <c r="N23" s="395"/>
      <c r="O23" s="396">
        <v>66052</v>
      </c>
      <c r="P23" s="397"/>
      <c r="Q23" s="396">
        <v>57020</v>
      </c>
      <c r="R23" s="397"/>
      <c r="S23" s="396">
        <v>51137</v>
      </c>
      <c r="T23" s="397"/>
      <c r="U23" s="396">
        <v>53408</v>
      </c>
      <c r="V23" s="397"/>
      <c r="W23" s="396">
        <v>15987.2</v>
      </c>
      <c r="X23" s="397"/>
      <c r="Y23" s="398">
        <v>47220</v>
      </c>
      <c r="Z23" s="397"/>
      <c r="AA23" s="398">
        <v>66749</v>
      </c>
      <c r="AB23" s="361"/>
      <c r="AC23" s="399"/>
      <c r="AD23" s="363"/>
      <c r="AE23" s="364"/>
      <c r="AF23" s="365">
        <f>AVERAGE(U23,AA23,S23,W23,Y23)</f>
        <v>46900.240000000005</v>
      </c>
      <c r="AG23" s="318">
        <f>+(AA23-S23)/S23</f>
        <v>0.30529753407513149</v>
      </c>
    </row>
    <row r="24" spans="1:33" ht="15" customHeight="1" x14ac:dyDescent="0.2">
      <c r="A24" s="77" t="s">
        <v>46</v>
      </c>
      <c r="B24" s="26"/>
      <c r="C24" s="27"/>
      <c r="D24" s="10"/>
      <c r="E24" s="307"/>
      <c r="F24" s="308"/>
      <c r="G24" s="309">
        <v>659118.49</v>
      </c>
      <c r="H24" s="307"/>
      <c r="I24" s="307">
        <v>471147.81</v>
      </c>
      <c r="J24" s="308"/>
      <c r="K24" s="307">
        <v>498190.88</v>
      </c>
      <c r="L24" s="308"/>
      <c r="M24" s="72">
        <v>305426.78000000003</v>
      </c>
      <c r="N24" s="400"/>
      <c r="O24" s="401">
        <v>534586.66</v>
      </c>
      <c r="P24" s="402"/>
      <c r="Q24" s="401">
        <v>689724</v>
      </c>
      <c r="R24" s="402"/>
      <c r="S24" s="401">
        <v>678689</v>
      </c>
      <c r="T24" s="402"/>
      <c r="U24" s="401">
        <v>710588.35</v>
      </c>
      <c r="V24" s="402"/>
      <c r="W24" s="401">
        <v>371647.93</v>
      </c>
      <c r="X24" s="402"/>
      <c r="Y24" s="403">
        <v>346964</v>
      </c>
      <c r="Z24" s="402"/>
      <c r="AA24" s="403">
        <v>389915</v>
      </c>
      <c r="AB24" s="373"/>
      <c r="AC24" s="404"/>
      <c r="AD24" s="363"/>
      <c r="AE24" s="364"/>
      <c r="AF24" s="365">
        <f t="shared" ref="AF24:AF25" si="2">AVERAGE(U24,AA24,S24,W24,Y24)</f>
        <v>499560.85600000003</v>
      </c>
      <c r="AG24" s="318">
        <f t="shared" ref="AG24:AG25" si="3">+(AA24-S24)/S24</f>
        <v>-0.4254879628224415</v>
      </c>
    </row>
    <row r="25" spans="1:33" ht="15" customHeight="1" thickBot="1" x14ac:dyDescent="0.25">
      <c r="A25" s="78" t="s">
        <v>47</v>
      </c>
      <c r="B25" s="29"/>
      <c r="C25" s="139"/>
      <c r="D25" s="12"/>
      <c r="E25" s="163"/>
      <c r="F25" s="91"/>
      <c r="G25" s="114">
        <v>3893469.54</v>
      </c>
      <c r="H25" s="163"/>
      <c r="I25" s="163">
        <v>4921626.21</v>
      </c>
      <c r="J25" s="91"/>
      <c r="K25" s="163">
        <v>3341242.78</v>
      </c>
      <c r="L25" s="91"/>
      <c r="M25" s="138">
        <v>1771651.21</v>
      </c>
      <c r="N25" s="405"/>
      <c r="O25" s="406">
        <v>1614401.45</v>
      </c>
      <c r="P25" s="407"/>
      <c r="Q25" s="406">
        <v>1677411.68</v>
      </c>
      <c r="R25" s="407"/>
      <c r="S25" s="406">
        <v>1798395.45</v>
      </c>
      <c r="T25" s="407"/>
      <c r="U25" s="406">
        <v>1951708.59</v>
      </c>
      <c r="V25" s="407"/>
      <c r="W25" s="406">
        <v>1401682.29</v>
      </c>
      <c r="X25" s="407"/>
      <c r="Y25" s="408">
        <v>1670926</v>
      </c>
      <c r="Z25" s="407"/>
      <c r="AA25" s="408">
        <v>1890844</v>
      </c>
      <c r="AB25" s="409"/>
      <c r="AC25" s="410"/>
      <c r="AD25" s="363"/>
      <c r="AE25" s="411"/>
      <c r="AF25" s="365">
        <f t="shared" si="2"/>
        <v>1742711.2660000001</v>
      </c>
      <c r="AG25" s="318">
        <f t="shared" si="3"/>
        <v>5.1406129836460632E-2</v>
      </c>
    </row>
    <row r="26" spans="1:33" ht="18" customHeight="1" thickTop="1" x14ac:dyDescent="0.2">
      <c r="A26" s="127" t="s">
        <v>41</v>
      </c>
      <c r="B26" s="151" t="s">
        <v>15</v>
      </c>
      <c r="C26" s="129" t="s">
        <v>16</v>
      </c>
      <c r="D26" s="151" t="s">
        <v>15</v>
      </c>
      <c r="E26" s="131" t="s">
        <v>16</v>
      </c>
      <c r="F26" s="152" t="s">
        <v>15</v>
      </c>
      <c r="G26" s="153" t="s">
        <v>16</v>
      </c>
      <c r="H26" s="154" t="s">
        <v>15</v>
      </c>
      <c r="I26" s="132" t="s">
        <v>16</v>
      </c>
      <c r="J26" s="155" t="s">
        <v>15</v>
      </c>
      <c r="K26" s="132" t="s">
        <v>16</v>
      </c>
      <c r="L26" s="252" t="s">
        <v>15</v>
      </c>
      <c r="M26" s="221" t="s">
        <v>16</v>
      </c>
      <c r="N26" s="412" t="s">
        <v>15</v>
      </c>
      <c r="O26" s="413" t="s">
        <v>16</v>
      </c>
      <c r="P26" s="412" t="s">
        <v>15</v>
      </c>
      <c r="Q26" s="413" t="s">
        <v>16</v>
      </c>
      <c r="R26" s="412" t="s">
        <v>15</v>
      </c>
      <c r="S26" s="413" t="s">
        <v>16</v>
      </c>
      <c r="T26" s="412" t="s">
        <v>15</v>
      </c>
      <c r="U26" s="413" t="s">
        <v>16</v>
      </c>
      <c r="V26" s="412" t="s">
        <v>15</v>
      </c>
      <c r="W26" s="413" t="s">
        <v>16</v>
      </c>
      <c r="X26" s="412" t="s">
        <v>15</v>
      </c>
      <c r="Y26" s="413" t="s">
        <v>16</v>
      </c>
      <c r="Z26" s="412" t="s">
        <v>15</v>
      </c>
      <c r="AA26" s="413" t="s">
        <v>16</v>
      </c>
      <c r="AB26" s="414" t="s">
        <v>15</v>
      </c>
      <c r="AC26" s="415" t="s">
        <v>16</v>
      </c>
      <c r="AD26" s="416"/>
      <c r="AE26" s="417" t="s">
        <v>15</v>
      </c>
      <c r="AF26" s="418" t="s">
        <v>16</v>
      </c>
      <c r="AG26" s="251" t="s">
        <v>45</v>
      </c>
    </row>
    <row r="27" spans="1:33" ht="15" customHeight="1" x14ac:dyDescent="0.2">
      <c r="A27" s="77" t="s">
        <v>42</v>
      </c>
      <c r="B27" s="98">
        <v>12</v>
      </c>
      <c r="C27" s="69">
        <v>147250</v>
      </c>
      <c r="D27" s="98">
        <v>6</v>
      </c>
      <c r="E27" s="70">
        <v>848211</v>
      </c>
      <c r="F27" s="102">
        <v>9</v>
      </c>
      <c r="G27" s="71">
        <v>49287</v>
      </c>
      <c r="H27" s="102">
        <v>6</v>
      </c>
      <c r="I27" s="73">
        <v>281251</v>
      </c>
      <c r="J27" s="102">
        <v>3</v>
      </c>
      <c r="K27" s="73">
        <v>35037</v>
      </c>
      <c r="L27" s="99">
        <v>7</v>
      </c>
      <c r="M27" s="248">
        <v>728992</v>
      </c>
      <c r="N27" s="419">
        <v>8</v>
      </c>
      <c r="O27" s="420">
        <f>2055266+73197+58557</f>
        <v>2187020</v>
      </c>
      <c r="P27" s="419">
        <v>7</v>
      </c>
      <c r="Q27" s="420">
        <v>1310800</v>
      </c>
      <c r="R27" s="419">
        <v>4</v>
      </c>
      <c r="S27" s="420">
        <v>438806</v>
      </c>
      <c r="T27" s="419">
        <v>3</v>
      </c>
      <c r="U27" s="420">
        <v>376777</v>
      </c>
      <c r="V27" s="419">
        <v>4</v>
      </c>
      <c r="W27" s="420">
        <v>568238</v>
      </c>
      <c r="X27" s="419">
        <v>1</v>
      </c>
      <c r="Y27" s="420">
        <v>59584</v>
      </c>
      <c r="Z27" s="419">
        <v>7</v>
      </c>
      <c r="AA27" s="420">
        <v>393103</v>
      </c>
      <c r="AB27" s="421"/>
      <c r="AC27" s="422"/>
      <c r="AD27" s="363"/>
      <c r="AE27" s="259">
        <f>AVERAGE(T27,R27,Z27,X27,V27)</f>
        <v>3.8</v>
      </c>
      <c r="AF27" s="423">
        <f t="shared" ref="AF27:AF28" si="4">AVERAGE(U27,AA27,S27,W27,Y27)</f>
        <v>367301.6</v>
      </c>
      <c r="AG27" s="324">
        <f t="shared" ref="AG27:AG28" si="5">+(AA27-S27)/S27</f>
        <v>-0.10415308815285114</v>
      </c>
    </row>
    <row r="28" spans="1:33" ht="15" customHeight="1" thickBot="1" x14ac:dyDescent="0.25">
      <c r="A28" s="78" t="s">
        <v>43</v>
      </c>
      <c r="B28" s="156">
        <v>11</v>
      </c>
      <c r="C28" s="141">
        <v>1069681</v>
      </c>
      <c r="D28" s="157">
        <v>13</v>
      </c>
      <c r="E28" s="158">
        <v>956585</v>
      </c>
      <c r="F28" s="135">
        <v>10</v>
      </c>
      <c r="G28" s="138">
        <v>126841</v>
      </c>
      <c r="H28" s="135">
        <v>5</v>
      </c>
      <c r="I28" s="137">
        <v>970818</v>
      </c>
      <c r="J28" s="135">
        <v>2</v>
      </c>
      <c r="K28" s="137">
        <v>318516</v>
      </c>
      <c r="L28" s="249">
        <v>3</v>
      </c>
      <c r="M28" s="250">
        <v>355627</v>
      </c>
      <c r="N28" s="424">
        <v>6</v>
      </c>
      <c r="O28" s="425">
        <v>2757068</v>
      </c>
      <c r="P28" s="424">
        <v>4</v>
      </c>
      <c r="Q28" s="425">
        <v>320913</v>
      </c>
      <c r="R28" s="424">
        <v>4</v>
      </c>
      <c r="S28" s="425">
        <v>428501</v>
      </c>
      <c r="T28" s="424">
        <v>1</v>
      </c>
      <c r="U28" s="425">
        <v>110461</v>
      </c>
      <c r="V28" s="424">
        <v>3</v>
      </c>
      <c r="W28" s="425">
        <v>491557</v>
      </c>
      <c r="X28" s="424">
        <v>5</v>
      </c>
      <c r="Y28" s="425">
        <v>408764</v>
      </c>
      <c r="Z28" s="424">
        <v>9</v>
      </c>
      <c r="AA28" s="425">
        <v>746412</v>
      </c>
      <c r="AB28" s="426"/>
      <c r="AC28" s="427"/>
      <c r="AD28" s="363"/>
      <c r="AE28" s="259">
        <f>AVERAGE(T28,R28,Z28,X28,V28)</f>
        <v>4.4000000000000004</v>
      </c>
      <c r="AF28" s="428">
        <f t="shared" si="4"/>
        <v>437139</v>
      </c>
      <c r="AG28" s="324">
        <f t="shared" si="5"/>
        <v>0.74191425457583526</v>
      </c>
    </row>
    <row r="29" spans="1:33" ht="17.25" customHeight="1" thickTop="1" x14ac:dyDescent="0.2">
      <c r="A29" s="127" t="s">
        <v>12</v>
      </c>
      <c r="B29" s="159"/>
      <c r="C29" s="160"/>
      <c r="D29" s="161"/>
      <c r="E29" s="162"/>
      <c r="F29" s="507"/>
      <c r="G29" s="508"/>
      <c r="H29" s="507"/>
      <c r="I29" s="508"/>
      <c r="J29" s="507"/>
      <c r="K29" s="508"/>
      <c r="L29" s="507"/>
      <c r="M29" s="508"/>
      <c r="N29" s="493"/>
      <c r="O29" s="494"/>
      <c r="P29" s="493"/>
      <c r="Q29" s="494"/>
      <c r="R29" s="493"/>
      <c r="S29" s="494"/>
      <c r="T29" s="493"/>
      <c r="U29" s="494"/>
      <c r="V29" s="493"/>
      <c r="W29" s="494"/>
      <c r="X29" s="493"/>
      <c r="Y29" s="494"/>
      <c r="Z29" s="493"/>
      <c r="AA29" s="494"/>
      <c r="AB29" s="493"/>
      <c r="AC29" s="504"/>
      <c r="AD29" s="363"/>
      <c r="AE29" s="497"/>
      <c r="AF29" s="498"/>
      <c r="AG29" s="325"/>
    </row>
    <row r="30" spans="1:33" ht="15" customHeight="1" x14ac:dyDescent="0.2">
      <c r="A30" s="77" t="s">
        <v>13</v>
      </c>
      <c r="B30" s="67"/>
      <c r="C30" s="46">
        <v>1802247.85</v>
      </c>
      <c r="D30" s="24"/>
      <c r="E30" s="47">
        <f>963774.13+3050</f>
        <v>966824.13</v>
      </c>
      <c r="F30" s="207"/>
      <c r="G30" s="82">
        <f>604724.66+1650</f>
        <v>606374.66</v>
      </c>
      <c r="H30" s="81"/>
      <c r="I30" s="83">
        <f>1429207.67+3225</f>
        <v>1432432.67</v>
      </c>
      <c r="J30" s="81"/>
      <c r="K30" s="96">
        <f>626611.7+11195</f>
        <v>637806.69999999995</v>
      </c>
      <c r="L30" s="81"/>
      <c r="M30" s="107">
        <f>77170+2095587</f>
        <v>2172757</v>
      </c>
      <c r="N30" s="429"/>
      <c r="O30" s="430">
        <f>4665+1185457</f>
        <v>1190122</v>
      </c>
      <c r="P30" s="431"/>
      <c r="Q30" s="430">
        <f>42594.77+1611459.76</f>
        <v>1654054.53</v>
      </c>
      <c r="R30" s="431"/>
      <c r="S30" s="430">
        <f>26504.25+1331851.98</f>
        <v>1358356.23</v>
      </c>
      <c r="T30" s="431"/>
      <c r="U30" s="430">
        <f>12935+1608053.67</f>
        <v>1620988.67</v>
      </c>
      <c r="V30" s="431"/>
      <c r="W30" s="430">
        <f>13229.05+1994757.21</f>
        <v>2007986.26</v>
      </c>
      <c r="X30" s="431"/>
      <c r="Y30" s="430">
        <f>461339.35+1481186.24</f>
        <v>1942525.5899999999</v>
      </c>
      <c r="Z30" s="431"/>
      <c r="AA30" s="430">
        <f>1020563+12969</f>
        <v>1033532</v>
      </c>
      <c r="AB30" s="431"/>
      <c r="AC30" s="432"/>
      <c r="AD30" s="363"/>
      <c r="AE30" s="364"/>
      <c r="AF30" s="423">
        <f t="shared" ref="AF30:AF31" si="6">AVERAGE(U30,AA30,S30,W30,Y30)</f>
        <v>1592677.75</v>
      </c>
      <c r="AG30" s="324">
        <f t="shared" ref="AG30:AG31" si="7">+(AA30-S30)/S30</f>
        <v>-0.23913037156681646</v>
      </c>
    </row>
    <row r="31" spans="1:33" ht="15" customHeight="1" thickBot="1" x14ac:dyDescent="0.25">
      <c r="A31" s="78" t="s">
        <v>14</v>
      </c>
      <c r="B31" s="68"/>
      <c r="C31" s="33">
        <v>99634.14</v>
      </c>
      <c r="D31" s="29"/>
      <c r="E31" s="40">
        <v>272266.15000000002</v>
      </c>
      <c r="F31" s="105"/>
      <c r="G31" s="104">
        <v>399279.96</v>
      </c>
      <c r="H31" s="86"/>
      <c r="I31" s="104">
        <v>624271.29</v>
      </c>
      <c r="J31" s="86"/>
      <c r="K31" s="106">
        <v>622791.01</v>
      </c>
      <c r="L31" s="86"/>
      <c r="M31" s="104">
        <v>490509.09</v>
      </c>
      <c r="N31" s="433"/>
      <c r="O31" s="434">
        <v>526966</v>
      </c>
      <c r="P31" s="435"/>
      <c r="Q31" s="434">
        <v>606545.85</v>
      </c>
      <c r="R31" s="435"/>
      <c r="S31" s="434">
        <v>582783.43000000005</v>
      </c>
      <c r="T31" s="435"/>
      <c r="U31" s="434">
        <v>595926.69999999995</v>
      </c>
      <c r="V31" s="435"/>
      <c r="W31" s="434">
        <v>1733599.64</v>
      </c>
      <c r="X31" s="435"/>
      <c r="Y31" s="434">
        <v>1640080.6</v>
      </c>
      <c r="Z31" s="435"/>
      <c r="AA31" s="434">
        <v>1586774</v>
      </c>
      <c r="AB31" s="435"/>
      <c r="AC31" s="436"/>
      <c r="AD31" s="363"/>
      <c r="AE31" s="411"/>
      <c r="AF31" s="437">
        <f t="shared" si="6"/>
        <v>1227832.8740000003</v>
      </c>
      <c r="AG31" s="230">
        <f t="shared" si="7"/>
        <v>1.722750713759998</v>
      </c>
    </row>
    <row r="32" spans="1:33" s="3" customFormat="1" ht="15" customHeight="1" thickTop="1" x14ac:dyDescent="0.2">
      <c r="A32" s="143"/>
      <c r="B32" s="10"/>
      <c r="C32" s="48"/>
      <c r="D32" s="10"/>
      <c r="E32" s="48"/>
      <c r="F32" s="57"/>
      <c r="G32" s="52"/>
      <c r="H32" s="57"/>
      <c r="I32" s="52"/>
      <c r="J32" s="57"/>
      <c r="K32" s="52"/>
      <c r="L32" s="57"/>
      <c r="M32" s="52"/>
      <c r="N32" s="373"/>
      <c r="O32" s="438"/>
      <c r="P32" s="373"/>
      <c r="Q32" s="438"/>
      <c r="R32" s="373"/>
      <c r="S32" s="438"/>
      <c r="T32" s="373"/>
      <c r="U32" s="438"/>
      <c r="V32" s="373"/>
      <c r="W32" s="438"/>
      <c r="X32" s="373"/>
      <c r="Y32" s="438"/>
      <c r="Z32" s="373"/>
      <c r="AA32" s="438"/>
      <c r="AB32" s="373"/>
      <c r="AC32" s="438"/>
      <c r="AD32" s="439"/>
      <c r="AE32" s="439"/>
      <c r="AF32" s="439"/>
      <c r="AG32" s="1"/>
    </row>
    <row r="33" spans="1:32" x14ac:dyDescent="0.2">
      <c r="A33" s="310" t="s">
        <v>48</v>
      </c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</row>
    <row r="34" spans="1:32" x14ac:dyDescent="0.2"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</row>
  </sheetData>
  <mergeCells count="32">
    <mergeCell ref="B9:C9"/>
    <mergeCell ref="D9:E9"/>
    <mergeCell ref="F29:G29"/>
    <mergeCell ref="H29:I29"/>
    <mergeCell ref="T29:U29"/>
    <mergeCell ref="J29:K29"/>
    <mergeCell ref="L29:M29"/>
    <mergeCell ref="N29:O29"/>
    <mergeCell ref="P29:Q29"/>
    <mergeCell ref="R29:S29"/>
    <mergeCell ref="V29:W29"/>
    <mergeCell ref="X29:Y29"/>
    <mergeCell ref="AE22:AF22"/>
    <mergeCell ref="AE29:AF29"/>
    <mergeCell ref="X22:Y22"/>
    <mergeCell ref="Z22:AA22"/>
    <mergeCell ref="Z29:AA29"/>
    <mergeCell ref="AB22:AC22"/>
    <mergeCell ref="AB29:AC29"/>
    <mergeCell ref="AE9:AF9"/>
    <mergeCell ref="L9:M9"/>
    <mergeCell ref="F9:G9"/>
    <mergeCell ref="V9:W9"/>
    <mergeCell ref="T9:U9"/>
    <mergeCell ref="Z9:AA9"/>
    <mergeCell ref="X9:Y9"/>
    <mergeCell ref="N9:O9"/>
    <mergeCell ref="H9:I9"/>
    <mergeCell ref="J9:K9"/>
    <mergeCell ref="R9:S9"/>
    <mergeCell ref="P9:Q9"/>
    <mergeCell ref="AB9:AC9"/>
  </mergeCells>
  <phoneticPr fontId="0" type="noConversion"/>
  <pageMargins left="0.5" right="0.5" top="0.5" bottom="0.5" header="0.5" footer="0.25"/>
  <pageSetup scale="75" orientation="landscape" r:id="rId1"/>
  <headerFooter>
    <oddFooter>&amp;L&amp;9Prepared by Planning and Analysis&amp;C&amp;9&amp;P of &amp;N&amp;R&amp;9Updated &amp;D</oddFoot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zoomScaleNormal="100" zoomScaleSheetLayoutView="100" workbookViewId="0">
      <pane xSplit="1" topLeftCell="N1" activePane="topRight" state="frozen"/>
      <selection activeCell="AA26" sqref="AA26"/>
      <selection pane="topRight" activeCell="AA26" sqref="AA26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hidden="1" customWidth="1"/>
    <col min="7" max="7" width="10.7109375" hidden="1" customWidth="1"/>
    <col min="8" max="8" width="4.7109375" style="36" hidden="1" customWidth="1"/>
    <col min="9" max="9" width="10.7109375" style="36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570312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5.75" x14ac:dyDescent="0.25">
      <c r="A1" s="169" t="s">
        <v>37</v>
      </c>
      <c r="F1" s="36"/>
      <c r="G1" s="36"/>
    </row>
    <row r="2" spans="1:33" ht="15.75" x14ac:dyDescent="0.25">
      <c r="A2" s="169" t="s">
        <v>38</v>
      </c>
      <c r="F2" s="36"/>
      <c r="G2" s="36"/>
    </row>
    <row r="3" spans="1:33" ht="5.25" customHeight="1" x14ac:dyDescent="0.25">
      <c r="A3" s="169"/>
      <c r="F3" s="36"/>
      <c r="G3" s="36"/>
    </row>
    <row r="4" spans="1:33" ht="15.75" x14ac:dyDescent="0.25">
      <c r="A4" s="170" t="s">
        <v>39</v>
      </c>
      <c r="F4" s="36"/>
      <c r="G4" s="36"/>
    </row>
    <row r="5" spans="1:33" ht="6" customHeight="1" x14ac:dyDescent="0.25">
      <c r="A5" s="170"/>
      <c r="F5" s="36"/>
      <c r="G5" s="36"/>
    </row>
    <row r="6" spans="1:33" ht="25.5" x14ac:dyDescent="0.2">
      <c r="A6" s="276" t="s">
        <v>2</v>
      </c>
      <c r="B6" s="1"/>
      <c r="C6" s="1"/>
      <c r="D6" s="1"/>
      <c r="E6" s="1"/>
      <c r="F6" s="18"/>
      <c r="G6" s="18"/>
      <c r="H6" s="18"/>
      <c r="I6" s="18"/>
    </row>
    <row r="7" spans="1:33" x14ac:dyDescent="0.2">
      <c r="A7" s="171">
        <v>367005502</v>
      </c>
      <c r="B7" s="1"/>
      <c r="C7" s="1"/>
      <c r="D7" s="1"/>
      <c r="E7" s="1"/>
      <c r="F7" s="18"/>
      <c r="G7" s="18"/>
      <c r="H7" s="18"/>
      <c r="I7" s="18"/>
    </row>
    <row r="8" spans="1:33" ht="10.5" customHeight="1" thickBot="1" x14ac:dyDescent="0.25">
      <c r="A8" s="13"/>
      <c r="B8" s="3"/>
      <c r="C8" s="3"/>
      <c r="D8" s="3"/>
      <c r="E8" s="3"/>
      <c r="F8" s="37"/>
      <c r="G8" s="37"/>
      <c r="H8" s="37"/>
      <c r="I8" s="37"/>
      <c r="J8" s="37"/>
      <c r="K8" s="37"/>
      <c r="L8" s="37"/>
      <c r="M8" s="37"/>
    </row>
    <row r="9" spans="1:33" ht="30" customHeight="1" thickTop="1" thickBot="1" x14ac:dyDescent="0.25">
      <c r="A9" s="75"/>
      <c r="B9" s="505" t="s">
        <v>3</v>
      </c>
      <c r="C9" s="506"/>
      <c r="D9" s="505" t="s">
        <v>4</v>
      </c>
      <c r="E9" s="506"/>
      <c r="F9" s="489" t="s">
        <v>17</v>
      </c>
      <c r="G9" s="490"/>
      <c r="H9" s="489" t="s">
        <v>19</v>
      </c>
      <c r="I9" s="490"/>
      <c r="J9" s="489" t="s">
        <v>20</v>
      </c>
      <c r="K9" s="490"/>
      <c r="L9" s="489" t="s">
        <v>22</v>
      </c>
      <c r="M9" s="490"/>
      <c r="N9" s="491" t="s">
        <v>24</v>
      </c>
      <c r="O9" s="490"/>
      <c r="P9" s="491" t="s">
        <v>25</v>
      </c>
      <c r="Q9" s="490"/>
      <c r="R9" s="491" t="s">
        <v>28</v>
      </c>
      <c r="S9" s="490"/>
      <c r="T9" s="491" t="s">
        <v>30</v>
      </c>
      <c r="U9" s="490"/>
      <c r="V9" s="491" t="s">
        <v>33</v>
      </c>
      <c r="W9" s="490"/>
      <c r="X9" s="491" t="s">
        <v>34</v>
      </c>
      <c r="Y9" s="490"/>
      <c r="Z9" s="491" t="s">
        <v>35</v>
      </c>
      <c r="AA9" s="490"/>
      <c r="AB9" s="491" t="s">
        <v>52</v>
      </c>
      <c r="AC9" s="492"/>
      <c r="AE9" s="487" t="s">
        <v>23</v>
      </c>
      <c r="AF9" s="488"/>
      <c r="AG9" s="181" t="s">
        <v>40</v>
      </c>
    </row>
    <row r="10" spans="1:33" ht="18" customHeight="1" x14ac:dyDescent="0.2">
      <c r="A10" s="172" t="s">
        <v>5</v>
      </c>
      <c r="B10" s="54"/>
      <c r="C10" s="173"/>
      <c r="D10" s="54"/>
      <c r="E10" s="54"/>
      <c r="F10" s="174"/>
      <c r="G10" s="175"/>
      <c r="H10" s="176"/>
      <c r="I10" s="176"/>
      <c r="J10" s="174"/>
      <c r="K10" s="176"/>
      <c r="L10" s="174"/>
      <c r="M10" s="177"/>
      <c r="N10" s="352"/>
      <c r="O10" s="354"/>
      <c r="P10" s="352"/>
      <c r="Q10" s="354"/>
      <c r="R10" s="352"/>
      <c r="S10" s="354"/>
      <c r="T10" s="352"/>
      <c r="U10" s="354"/>
      <c r="V10" s="352"/>
      <c r="W10" s="354"/>
      <c r="X10" s="352"/>
      <c r="Y10" s="354"/>
      <c r="Z10" s="352"/>
      <c r="AA10" s="354"/>
      <c r="AB10" s="352"/>
      <c r="AC10" s="353"/>
      <c r="AE10" s="225"/>
      <c r="AF10" s="355"/>
      <c r="AG10" s="182"/>
    </row>
    <row r="11" spans="1:33" ht="15" customHeight="1" x14ac:dyDescent="0.2">
      <c r="A11" s="111" t="s">
        <v>6</v>
      </c>
      <c r="B11" s="5"/>
      <c r="C11" s="21"/>
      <c r="D11" s="5"/>
      <c r="E11" s="5"/>
      <c r="F11" s="38"/>
      <c r="G11" s="59"/>
      <c r="H11" s="56"/>
      <c r="I11" s="56"/>
      <c r="J11" s="43"/>
      <c r="K11" s="56"/>
      <c r="L11" s="359"/>
      <c r="M11" s="360"/>
      <c r="N11" s="359"/>
      <c r="O11" s="360"/>
      <c r="P11" s="361"/>
      <c r="Q11" s="360"/>
      <c r="R11" s="361"/>
      <c r="S11" s="360"/>
      <c r="T11" s="361"/>
      <c r="U11" s="360"/>
      <c r="V11" s="361"/>
      <c r="W11" s="360"/>
      <c r="X11" s="361"/>
      <c r="Y11" s="360"/>
      <c r="Z11" s="361"/>
      <c r="AA11" s="360"/>
      <c r="AB11" s="361"/>
      <c r="AC11" s="362"/>
      <c r="AD11" s="363"/>
      <c r="AE11" s="364"/>
      <c r="AF11" s="365"/>
      <c r="AG11" s="63"/>
    </row>
    <row r="12" spans="1:33" ht="15" customHeight="1" x14ac:dyDescent="0.2">
      <c r="A12" s="77" t="s">
        <v>7</v>
      </c>
      <c r="B12" s="4"/>
      <c r="C12" s="279">
        <v>1091367</v>
      </c>
      <c r="D12" s="118"/>
      <c r="E12" s="280">
        <v>1197848</v>
      </c>
      <c r="F12" s="116"/>
      <c r="G12" s="284">
        <v>1263425</v>
      </c>
      <c r="H12" s="116"/>
      <c r="I12" s="281">
        <v>1312042</v>
      </c>
      <c r="J12" s="118"/>
      <c r="K12" s="281">
        <v>1359734</v>
      </c>
      <c r="L12" s="359"/>
      <c r="M12" s="383">
        <v>1402628</v>
      </c>
      <c r="N12" s="366"/>
      <c r="O12" s="367">
        <v>1362310</v>
      </c>
      <c r="P12" s="368"/>
      <c r="Q12" s="367">
        <v>1406488</v>
      </c>
      <c r="R12" s="368"/>
      <c r="S12" s="367">
        <v>1428862</v>
      </c>
      <c r="T12" s="368"/>
      <c r="U12" s="367">
        <v>1456296</v>
      </c>
      <c r="V12" s="368"/>
      <c r="W12" s="367">
        <v>1499819</v>
      </c>
      <c r="X12" s="368"/>
      <c r="Y12" s="367">
        <v>1574811</v>
      </c>
      <c r="Z12" s="368"/>
      <c r="AA12" s="367">
        <v>1592363</v>
      </c>
      <c r="AB12" s="368"/>
      <c r="AC12" s="369">
        <v>1543424</v>
      </c>
      <c r="AD12" s="363"/>
      <c r="AE12" s="364"/>
      <c r="AF12" s="365">
        <f>AVERAGE(W12,U12,Y12,AC12,AA12)</f>
        <v>1533342.6</v>
      </c>
      <c r="AG12" s="318">
        <f>+(AC12-U12)/U12</f>
        <v>5.9828496404577089E-2</v>
      </c>
    </row>
    <row r="13" spans="1:33" ht="15" customHeight="1" x14ac:dyDescent="0.2">
      <c r="A13" s="77" t="s">
        <v>26</v>
      </c>
      <c r="B13" s="4"/>
      <c r="C13" s="279"/>
      <c r="D13" s="118"/>
      <c r="E13" s="280"/>
      <c r="F13" s="116"/>
      <c r="G13" s="284"/>
      <c r="H13" s="116"/>
      <c r="I13" s="281"/>
      <c r="J13" s="118"/>
      <c r="K13" s="281"/>
      <c r="L13" s="359"/>
      <c r="M13" s="383"/>
      <c r="N13" s="366"/>
      <c r="O13" s="367"/>
      <c r="P13" s="368"/>
      <c r="Q13" s="367"/>
      <c r="R13" s="368"/>
      <c r="S13" s="367"/>
      <c r="T13" s="368"/>
      <c r="U13" s="367"/>
      <c r="V13" s="368"/>
      <c r="W13" s="367"/>
      <c r="X13" s="368"/>
      <c r="Y13" s="367"/>
      <c r="Z13" s="368"/>
      <c r="AA13" s="367"/>
      <c r="AB13" s="368"/>
      <c r="AC13" s="369"/>
      <c r="AD13" s="363"/>
      <c r="AE13" s="370"/>
      <c r="AF13" s="365"/>
      <c r="AG13" s="319"/>
    </row>
    <row r="14" spans="1:33" ht="30" customHeight="1" thickBot="1" x14ac:dyDescent="0.25">
      <c r="A14" s="206" t="s">
        <v>27</v>
      </c>
      <c r="B14" s="165"/>
      <c r="C14" s="287">
        <v>210137</v>
      </c>
      <c r="D14" s="288"/>
      <c r="E14" s="289">
        <v>95203</v>
      </c>
      <c r="F14" s="122"/>
      <c r="G14" s="289">
        <v>96595</v>
      </c>
      <c r="H14" s="122"/>
      <c r="I14" s="290">
        <v>99286</v>
      </c>
      <c r="J14" s="288"/>
      <c r="K14" s="290">
        <v>42762</v>
      </c>
      <c r="L14" s="371"/>
      <c r="M14" s="372">
        <v>42341</v>
      </c>
      <c r="N14" s="371"/>
      <c r="O14" s="372">
        <v>82986</v>
      </c>
      <c r="P14" s="373"/>
      <c r="Q14" s="372">
        <v>84850</v>
      </c>
      <c r="R14" s="373"/>
      <c r="S14" s="372">
        <v>107933</v>
      </c>
      <c r="T14" s="373"/>
      <c r="U14" s="372">
        <v>150994</v>
      </c>
      <c r="V14" s="373"/>
      <c r="W14" s="372">
        <v>311618</v>
      </c>
      <c r="X14" s="373"/>
      <c r="Y14" s="372">
        <v>222593</v>
      </c>
      <c r="Z14" s="373"/>
      <c r="AA14" s="372">
        <v>305028</v>
      </c>
      <c r="AB14" s="373"/>
      <c r="AC14" s="374">
        <v>181942</v>
      </c>
      <c r="AD14" s="363"/>
      <c r="AE14" s="375"/>
      <c r="AF14" s="376">
        <f t="shared" ref="AF14:AF21" si="0">AVERAGE(W14,U14,Y14,AC14,AA14)</f>
        <v>234435</v>
      </c>
      <c r="AG14" s="318">
        <f t="shared" ref="AG14:AG21" si="1">+(AC14-U14)/U14</f>
        <v>0.2049617865610554</v>
      </c>
    </row>
    <row r="15" spans="1:33" ht="18.75" customHeight="1" thickBot="1" x14ac:dyDescent="0.25">
      <c r="A15" s="213" t="s">
        <v>8</v>
      </c>
      <c r="B15" s="200"/>
      <c r="C15" s="293">
        <f>SUM(C12:C14)</f>
        <v>1301504</v>
      </c>
      <c r="D15" s="294"/>
      <c r="E15" s="291">
        <f>SUM(E12:E14)</f>
        <v>1293051</v>
      </c>
      <c r="F15" s="296"/>
      <c r="G15" s="295">
        <f>SUM(G12:G14)</f>
        <v>1360020</v>
      </c>
      <c r="H15" s="296"/>
      <c r="I15" s="297">
        <f>SUM(I12:I14)</f>
        <v>1411328</v>
      </c>
      <c r="J15" s="294"/>
      <c r="K15" s="297">
        <f>SUM(K12:K14)</f>
        <v>1402496</v>
      </c>
      <c r="L15" s="377"/>
      <c r="M15" s="378">
        <f>SUM(M12:M14)</f>
        <v>1444969</v>
      </c>
      <c r="N15" s="377"/>
      <c r="O15" s="378">
        <f>SUM(O12:O14)</f>
        <v>1445296</v>
      </c>
      <c r="P15" s="379"/>
      <c r="Q15" s="378">
        <f>SUM(Q12:Q14)</f>
        <v>1491338</v>
      </c>
      <c r="R15" s="379"/>
      <c r="S15" s="378">
        <f>SUM(S12:S14)</f>
        <v>1536795</v>
      </c>
      <c r="T15" s="379"/>
      <c r="U15" s="378">
        <f>SUM(U12:U14)</f>
        <v>1607290</v>
      </c>
      <c r="V15" s="379"/>
      <c r="W15" s="378">
        <f>SUM(W12:W14)</f>
        <v>1811437</v>
      </c>
      <c r="X15" s="379"/>
      <c r="Y15" s="378">
        <f>SUM(Y12:Y14)</f>
        <v>1797404</v>
      </c>
      <c r="Z15" s="379"/>
      <c r="AA15" s="378">
        <f>SUM(AA12:AA14)</f>
        <v>1897391</v>
      </c>
      <c r="AB15" s="379"/>
      <c r="AC15" s="380">
        <f>SUM(AC12:AC14)</f>
        <v>1725366</v>
      </c>
      <c r="AD15" s="363"/>
      <c r="AE15" s="381"/>
      <c r="AF15" s="382">
        <f t="shared" si="0"/>
        <v>1767777.6</v>
      </c>
      <c r="AG15" s="320">
        <f t="shared" si="1"/>
        <v>7.3462785185000837E-2</v>
      </c>
    </row>
    <row r="16" spans="1:33" ht="14.25" customHeight="1" x14ac:dyDescent="0.2">
      <c r="A16" s="111" t="s">
        <v>9</v>
      </c>
      <c r="B16" s="4"/>
      <c r="C16" s="279"/>
      <c r="D16" s="118"/>
      <c r="E16" s="280"/>
      <c r="F16" s="116"/>
      <c r="G16" s="280"/>
      <c r="H16" s="116"/>
      <c r="I16" s="281"/>
      <c r="J16" s="118"/>
      <c r="K16" s="281"/>
      <c r="L16" s="359"/>
      <c r="M16" s="383"/>
      <c r="N16" s="359"/>
      <c r="O16" s="383"/>
      <c r="P16" s="361"/>
      <c r="Q16" s="383"/>
      <c r="R16" s="361"/>
      <c r="S16" s="383"/>
      <c r="T16" s="361"/>
      <c r="U16" s="383"/>
      <c r="V16" s="361"/>
      <c r="W16" s="383"/>
      <c r="X16" s="361"/>
      <c r="Y16" s="383"/>
      <c r="Z16" s="361"/>
      <c r="AA16" s="383"/>
      <c r="AB16" s="361"/>
      <c r="AC16" s="384"/>
      <c r="AD16" s="363"/>
      <c r="AE16" s="385"/>
      <c r="AF16" s="386"/>
      <c r="AG16" s="184"/>
    </row>
    <row r="17" spans="1:33" ht="15" customHeight="1" x14ac:dyDescent="0.2">
      <c r="A17" s="77" t="s">
        <v>7</v>
      </c>
      <c r="B17" s="5"/>
      <c r="C17" s="298">
        <v>104558</v>
      </c>
      <c r="D17" s="282"/>
      <c r="E17" s="284">
        <v>90838</v>
      </c>
      <c r="F17" s="124"/>
      <c r="G17" s="284">
        <v>90450</v>
      </c>
      <c r="H17" s="124"/>
      <c r="I17" s="283">
        <v>88439</v>
      </c>
      <c r="J17" s="282"/>
      <c r="K17" s="283">
        <v>91830</v>
      </c>
      <c r="L17" s="366"/>
      <c r="M17" s="367">
        <v>94047</v>
      </c>
      <c r="N17" s="366"/>
      <c r="O17" s="367">
        <v>86155</v>
      </c>
      <c r="P17" s="368"/>
      <c r="Q17" s="367">
        <v>87327</v>
      </c>
      <c r="R17" s="368"/>
      <c r="S17" s="367">
        <v>88345</v>
      </c>
      <c r="T17" s="368"/>
      <c r="U17" s="367">
        <v>89141</v>
      </c>
      <c r="V17" s="368"/>
      <c r="W17" s="367">
        <v>81956</v>
      </c>
      <c r="X17" s="368"/>
      <c r="Y17" s="367">
        <v>87924</v>
      </c>
      <c r="Z17" s="368"/>
      <c r="AA17" s="367">
        <v>88118</v>
      </c>
      <c r="AB17" s="368"/>
      <c r="AC17" s="369">
        <v>89878</v>
      </c>
      <c r="AD17" s="363"/>
      <c r="AE17" s="364"/>
      <c r="AF17" s="365">
        <f t="shared" si="0"/>
        <v>87403.4</v>
      </c>
      <c r="AG17" s="318">
        <f t="shared" si="1"/>
        <v>8.267800450970933E-3</v>
      </c>
    </row>
    <row r="18" spans="1:33" ht="15" customHeight="1" x14ac:dyDescent="0.2">
      <c r="A18" s="77" t="s">
        <v>26</v>
      </c>
      <c r="B18" s="5"/>
      <c r="C18" s="298"/>
      <c r="D18" s="282"/>
      <c r="E18" s="284"/>
      <c r="F18" s="124"/>
      <c r="G18" s="284"/>
      <c r="H18" s="124"/>
      <c r="I18" s="283"/>
      <c r="J18" s="282"/>
      <c r="K18" s="283"/>
      <c r="L18" s="366"/>
      <c r="M18" s="367"/>
      <c r="N18" s="366"/>
      <c r="O18" s="367"/>
      <c r="P18" s="368"/>
      <c r="Q18" s="367"/>
      <c r="R18" s="368"/>
      <c r="S18" s="367"/>
      <c r="T18" s="368"/>
      <c r="U18" s="367"/>
      <c r="V18" s="368"/>
      <c r="W18" s="367"/>
      <c r="X18" s="368"/>
      <c r="Y18" s="367"/>
      <c r="Z18" s="368"/>
      <c r="AA18" s="367"/>
      <c r="AB18" s="368"/>
      <c r="AC18" s="369"/>
      <c r="AD18" s="363"/>
      <c r="AE18" s="370"/>
      <c r="AF18" s="365"/>
      <c r="AG18" s="318"/>
    </row>
    <row r="19" spans="1:33" ht="30" customHeight="1" thickBot="1" x14ac:dyDescent="0.25">
      <c r="A19" s="206" t="s">
        <v>27</v>
      </c>
      <c r="B19" s="165"/>
      <c r="C19" s="287">
        <v>27602</v>
      </c>
      <c r="D19" s="288"/>
      <c r="E19" s="289">
        <v>29452</v>
      </c>
      <c r="F19" s="122"/>
      <c r="G19" s="289">
        <v>29994</v>
      </c>
      <c r="H19" s="122"/>
      <c r="I19" s="290">
        <v>30742</v>
      </c>
      <c r="J19" s="288"/>
      <c r="K19" s="290">
        <v>31363</v>
      </c>
      <c r="L19" s="371"/>
      <c r="M19" s="372">
        <v>33543</v>
      </c>
      <c r="N19" s="371"/>
      <c r="O19" s="372">
        <v>36763</v>
      </c>
      <c r="P19" s="373"/>
      <c r="Q19" s="372">
        <v>39210</v>
      </c>
      <c r="R19" s="373"/>
      <c r="S19" s="372">
        <v>40205</v>
      </c>
      <c r="T19" s="373"/>
      <c r="U19" s="372">
        <v>0</v>
      </c>
      <c r="V19" s="373"/>
      <c r="W19" s="372">
        <v>10082</v>
      </c>
      <c r="X19" s="373"/>
      <c r="Y19" s="372">
        <v>10115</v>
      </c>
      <c r="Z19" s="373"/>
      <c r="AA19" s="372">
        <v>9972</v>
      </c>
      <c r="AB19" s="373"/>
      <c r="AC19" s="374">
        <v>9912</v>
      </c>
      <c r="AD19" s="363"/>
      <c r="AE19" s="375"/>
      <c r="AF19" s="365">
        <f t="shared" si="0"/>
        <v>8016.2</v>
      </c>
      <c r="AG19" s="318">
        <v>1</v>
      </c>
    </row>
    <row r="20" spans="1:33" ht="18.75" customHeight="1" thickBot="1" x14ac:dyDescent="0.25">
      <c r="A20" s="213" t="s">
        <v>10</v>
      </c>
      <c r="B20" s="198"/>
      <c r="C20" s="291">
        <f>SUM(C17:C19)</f>
        <v>132160</v>
      </c>
      <c r="D20" s="292"/>
      <c r="E20" s="293">
        <f>SUM(E17:E19)</f>
        <v>120290</v>
      </c>
      <c r="F20" s="294"/>
      <c r="G20" s="291">
        <f>SUM(G17:G19)</f>
        <v>120444</v>
      </c>
      <c r="H20" s="296"/>
      <c r="I20" s="297">
        <f>SUM(I17:I19)</f>
        <v>119181</v>
      </c>
      <c r="J20" s="294"/>
      <c r="K20" s="297">
        <f>SUM(K17:K19)</f>
        <v>123193</v>
      </c>
      <c r="L20" s="377"/>
      <c r="M20" s="378">
        <f>SUM(M17:M19)</f>
        <v>127590</v>
      </c>
      <c r="N20" s="377"/>
      <c r="O20" s="378">
        <f>SUM(O17:O19)</f>
        <v>122918</v>
      </c>
      <c r="P20" s="379"/>
      <c r="Q20" s="378">
        <f>SUM(Q17:Q19)</f>
        <v>126537</v>
      </c>
      <c r="R20" s="379"/>
      <c r="S20" s="378">
        <f>SUM(S17:S19)</f>
        <v>128550</v>
      </c>
      <c r="T20" s="379"/>
      <c r="U20" s="378">
        <f>SUM(U17:U19)</f>
        <v>89141</v>
      </c>
      <c r="V20" s="379"/>
      <c r="W20" s="378">
        <f>SUM(W17:W19)</f>
        <v>92038</v>
      </c>
      <c r="X20" s="379"/>
      <c r="Y20" s="378">
        <f>SUM(Y17:Y19)</f>
        <v>98039</v>
      </c>
      <c r="Z20" s="379"/>
      <c r="AA20" s="378">
        <f>SUM(AA17:AA19)</f>
        <v>98090</v>
      </c>
      <c r="AB20" s="379"/>
      <c r="AC20" s="380">
        <f>SUM(AC17:AC19)</f>
        <v>99790</v>
      </c>
      <c r="AD20" s="363"/>
      <c r="AE20" s="381"/>
      <c r="AF20" s="382">
        <f t="shared" si="0"/>
        <v>95419.6</v>
      </c>
      <c r="AG20" s="321">
        <f t="shared" si="1"/>
        <v>0.11946242469795043</v>
      </c>
    </row>
    <row r="21" spans="1:33" ht="18.75" customHeight="1" thickBot="1" x14ac:dyDescent="0.25">
      <c r="A21" s="260" t="s">
        <v>11</v>
      </c>
      <c r="B21" s="253"/>
      <c r="C21" s="300">
        <f>SUM(C15,C20)</f>
        <v>1433664</v>
      </c>
      <c r="D21" s="301"/>
      <c r="E21" s="302">
        <f>SUM(E15,E20)</f>
        <v>1413341</v>
      </c>
      <c r="F21" s="303"/>
      <c r="G21" s="300">
        <f>SUM(G15,G20)</f>
        <v>1480464</v>
      </c>
      <c r="H21" s="304"/>
      <c r="I21" s="305">
        <f>SUM(I15,I20)</f>
        <v>1530509</v>
      </c>
      <c r="J21" s="303"/>
      <c r="K21" s="305">
        <f>SUM(K15,K20)</f>
        <v>1525689</v>
      </c>
      <c r="L21" s="387"/>
      <c r="M21" s="388">
        <f>SUM(M15,M20)</f>
        <v>1572559</v>
      </c>
      <c r="N21" s="387"/>
      <c r="O21" s="388">
        <f>SUM(O15,O20)</f>
        <v>1568214</v>
      </c>
      <c r="P21" s="389"/>
      <c r="Q21" s="388">
        <f>SUM(Q15,Q20)</f>
        <v>1617875</v>
      </c>
      <c r="R21" s="389"/>
      <c r="S21" s="388">
        <f>SUM(S15,S20)</f>
        <v>1665345</v>
      </c>
      <c r="T21" s="389"/>
      <c r="U21" s="388">
        <f>SUM(U15,U20)</f>
        <v>1696431</v>
      </c>
      <c r="V21" s="389"/>
      <c r="W21" s="388">
        <f>SUM(W15,W20)</f>
        <v>1903475</v>
      </c>
      <c r="X21" s="389"/>
      <c r="Y21" s="388">
        <f>SUM(Y15,Y20)</f>
        <v>1895443</v>
      </c>
      <c r="Z21" s="389"/>
      <c r="AA21" s="388">
        <f>SUM(AA15,AA20)</f>
        <v>1995481</v>
      </c>
      <c r="AB21" s="389"/>
      <c r="AC21" s="390">
        <f>SUM(AC15,AC20)</f>
        <v>1825156</v>
      </c>
      <c r="AD21" s="363"/>
      <c r="AE21" s="391"/>
      <c r="AF21" s="392">
        <f t="shared" si="0"/>
        <v>1863197.2</v>
      </c>
      <c r="AG21" s="322">
        <f t="shared" si="1"/>
        <v>7.587989137194498E-2</v>
      </c>
    </row>
    <row r="22" spans="1:33" ht="18" customHeight="1" x14ac:dyDescent="0.2">
      <c r="A22" s="210" t="s">
        <v>36</v>
      </c>
      <c r="B22" s="509"/>
      <c r="C22" s="510"/>
      <c r="D22" s="509"/>
      <c r="E22" s="510"/>
      <c r="F22" s="511"/>
      <c r="G22" s="512"/>
      <c r="H22" s="511"/>
      <c r="I22" s="512"/>
      <c r="J22" s="511"/>
      <c r="K22" s="512"/>
      <c r="L22" s="502"/>
      <c r="M22" s="513"/>
      <c r="N22" s="393"/>
      <c r="O22" s="394"/>
      <c r="P22" s="393"/>
      <c r="Q22" s="394"/>
      <c r="R22" s="393"/>
      <c r="S22" s="394"/>
      <c r="T22" s="393"/>
      <c r="U22" s="394"/>
      <c r="V22" s="393"/>
      <c r="W22" s="394"/>
      <c r="X22" s="499"/>
      <c r="Y22" s="499"/>
      <c r="Z22" s="500"/>
      <c r="AA22" s="501"/>
      <c r="AB22" s="502"/>
      <c r="AC22" s="503"/>
      <c r="AD22" s="363"/>
      <c r="AE22" s="495"/>
      <c r="AF22" s="496"/>
      <c r="AG22" s="323"/>
    </row>
    <row r="23" spans="1:33" ht="15" customHeight="1" x14ac:dyDescent="0.2">
      <c r="A23" s="77" t="s">
        <v>54</v>
      </c>
      <c r="B23" s="311"/>
      <c r="C23" s="211">
        <f>1168+302765+859474</f>
        <v>1163407</v>
      </c>
      <c r="D23" s="312"/>
      <c r="E23" s="312">
        <v>1285968</v>
      </c>
      <c r="F23" s="228"/>
      <c r="G23" s="226">
        <v>1388232.52</v>
      </c>
      <c r="H23" s="227"/>
      <c r="I23" s="227">
        <v>1428995.07</v>
      </c>
      <c r="J23" s="228"/>
      <c r="K23" s="227">
        <v>1455373</v>
      </c>
      <c r="L23" s="395"/>
      <c r="M23" s="396">
        <v>1589651</v>
      </c>
      <c r="N23" s="395"/>
      <c r="O23" s="396">
        <v>1518126</v>
      </c>
      <c r="P23" s="397"/>
      <c r="Q23" s="396">
        <v>1498825</v>
      </c>
      <c r="R23" s="397"/>
      <c r="S23" s="396">
        <v>1524508</v>
      </c>
      <c r="T23" s="397"/>
      <c r="U23" s="396">
        <v>1705564</v>
      </c>
      <c r="V23" s="397"/>
      <c r="W23" s="396">
        <v>1567415.62</v>
      </c>
      <c r="X23" s="397"/>
      <c r="Y23" s="398">
        <v>1739375</v>
      </c>
      <c r="Z23" s="397"/>
      <c r="AA23" s="398">
        <v>1995433</v>
      </c>
      <c r="AB23" s="361"/>
      <c r="AC23" s="399"/>
      <c r="AD23" s="363"/>
      <c r="AE23" s="364"/>
      <c r="AF23" s="365">
        <f>AVERAGE(U23,AA23,S23,W23,Y23)</f>
        <v>1706459.1240000003</v>
      </c>
      <c r="AG23" s="318">
        <f>+(AA23-S23)/S23</f>
        <v>0.30890293786585576</v>
      </c>
    </row>
    <row r="24" spans="1:33" ht="15" customHeight="1" x14ac:dyDescent="0.2">
      <c r="A24" s="77" t="s">
        <v>46</v>
      </c>
      <c r="B24" s="35"/>
      <c r="C24" s="27"/>
      <c r="D24" s="7"/>
      <c r="E24" s="7"/>
      <c r="F24" s="35"/>
      <c r="G24" s="168">
        <v>92012.32</v>
      </c>
      <c r="H24" s="35"/>
      <c r="I24" s="27">
        <v>111138.32000000002</v>
      </c>
      <c r="J24" s="35"/>
      <c r="K24" s="27">
        <v>113442.04000000004</v>
      </c>
      <c r="L24" s="440"/>
      <c r="M24" s="441">
        <v>139277.13999999996</v>
      </c>
      <c r="N24" s="400"/>
      <c r="O24" s="401">
        <v>133421.48000000001</v>
      </c>
      <c r="P24" s="402"/>
      <c r="Q24" s="401">
        <v>104074</v>
      </c>
      <c r="R24" s="402"/>
      <c r="S24" s="401">
        <v>165304.07000000004</v>
      </c>
      <c r="T24" s="402"/>
      <c r="U24" s="401">
        <v>210190.49</v>
      </c>
      <c r="V24" s="402"/>
      <c r="W24" s="401">
        <v>299822.11999999994</v>
      </c>
      <c r="X24" s="402"/>
      <c r="Y24" s="403">
        <v>443775</v>
      </c>
      <c r="Z24" s="402"/>
      <c r="AA24" s="403">
        <v>264008</v>
      </c>
      <c r="AB24" s="373"/>
      <c r="AC24" s="404"/>
      <c r="AD24" s="363"/>
      <c r="AE24" s="364"/>
      <c r="AF24" s="365">
        <f t="shared" ref="AF24:AF25" si="2">AVERAGE(U24,AA24,S24,W24,Y24)</f>
        <v>276619.93599999999</v>
      </c>
      <c r="AG24" s="318">
        <f t="shared" ref="AG24" si="3">+(AA24-S24)/S24</f>
        <v>0.59710526183656543</v>
      </c>
    </row>
    <row r="25" spans="1:33" ht="15" customHeight="1" thickBot="1" x14ac:dyDescent="0.25">
      <c r="A25" s="78" t="s">
        <v>47</v>
      </c>
      <c r="B25" s="90"/>
      <c r="C25" s="139"/>
      <c r="D25" s="8"/>
      <c r="E25" s="8"/>
      <c r="F25" s="90"/>
      <c r="G25" s="139">
        <v>3893469.54</v>
      </c>
      <c r="H25" s="90"/>
      <c r="I25" s="139">
        <v>0</v>
      </c>
      <c r="J25" s="90"/>
      <c r="K25" s="139">
        <v>0</v>
      </c>
      <c r="L25" s="442"/>
      <c r="M25" s="443">
        <v>0</v>
      </c>
      <c r="N25" s="405"/>
      <c r="O25" s="406">
        <v>0</v>
      </c>
      <c r="P25" s="407"/>
      <c r="Q25" s="406">
        <v>0</v>
      </c>
      <c r="R25" s="407"/>
      <c r="S25" s="406">
        <v>0</v>
      </c>
      <c r="T25" s="407"/>
      <c r="U25" s="406">
        <v>0</v>
      </c>
      <c r="V25" s="407"/>
      <c r="W25" s="406">
        <v>0</v>
      </c>
      <c r="X25" s="407"/>
      <c r="Y25" s="408">
        <v>0</v>
      </c>
      <c r="Z25" s="407"/>
      <c r="AA25" s="408">
        <v>0</v>
      </c>
      <c r="AB25" s="409"/>
      <c r="AC25" s="410"/>
      <c r="AD25" s="363"/>
      <c r="AE25" s="411"/>
      <c r="AF25" s="365">
        <f t="shared" si="2"/>
        <v>0</v>
      </c>
      <c r="AG25" s="318"/>
    </row>
    <row r="26" spans="1:33" ht="18" customHeight="1" thickTop="1" x14ac:dyDescent="0.2">
      <c r="A26" s="127" t="s">
        <v>41</v>
      </c>
      <c r="B26" s="128" t="s">
        <v>15</v>
      </c>
      <c r="C26" s="129" t="s">
        <v>16</v>
      </c>
      <c r="D26" s="130" t="s">
        <v>15</v>
      </c>
      <c r="E26" s="131" t="s">
        <v>16</v>
      </c>
      <c r="F26" s="220" t="s">
        <v>15</v>
      </c>
      <c r="G26" s="221" t="s">
        <v>16</v>
      </c>
      <c r="H26" s="222" t="s">
        <v>15</v>
      </c>
      <c r="I26" s="223" t="s">
        <v>16</v>
      </c>
      <c r="J26" s="272" t="s">
        <v>15</v>
      </c>
      <c r="K26" s="273" t="s">
        <v>16</v>
      </c>
      <c r="L26" s="444" t="s">
        <v>15</v>
      </c>
      <c r="M26" s="445" t="s">
        <v>16</v>
      </c>
      <c r="N26" s="412" t="s">
        <v>15</v>
      </c>
      <c r="O26" s="413" t="s">
        <v>16</v>
      </c>
      <c r="P26" s="412" t="s">
        <v>15</v>
      </c>
      <c r="Q26" s="413" t="s">
        <v>16</v>
      </c>
      <c r="R26" s="412" t="s">
        <v>15</v>
      </c>
      <c r="S26" s="413" t="s">
        <v>16</v>
      </c>
      <c r="T26" s="412" t="s">
        <v>15</v>
      </c>
      <c r="U26" s="413" t="s">
        <v>16</v>
      </c>
      <c r="V26" s="412" t="s">
        <v>15</v>
      </c>
      <c r="W26" s="413" t="s">
        <v>16</v>
      </c>
      <c r="X26" s="412" t="s">
        <v>15</v>
      </c>
      <c r="Y26" s="413" t="s">
        <v>16</v>
      </c>
      <c r="Z26" s="412" t="s">
        <v>15</v>
      </c>
      <c r="AA26" s="413" t="s">
        <v>16</v>
      </c>
      <c r="AB26" s="414" t="s">
        <v>15</v>
      </c>
      <c r="AC26" s="415" t="s">
        <v>16</v>
      </c>
      <c r="AD26" s="416"/>
      <c r="AE26" s="417" t="s">
        <v>15</v>
      </c>
      <c r="AF26" s="418" t="s">
        <v>16</v>
      </c>
      <c r="AG26" s="251" t="s">
        <v>45</v>
      </c>
    </row>
    <row r="27" spans="1:33" ht="15" customHeight="1" x14ac:dyDescent="0.2">
      <c r="A27" s="77" t="s">
        <v>42</v>
      </c>
      <c r="B27" s="79">
        <v>6</v>
      </c>
      <c r="C27" s="69">
        <v>1571730</v>
      </c>
      <c r="D27" s="101">
        <v>6</v>
      </c>
      <c r="E27" s="70">
        <v>536157</v>
      </c>
      <c r="F27" s="102">
        <v>3</v>
      </c>
      <c r="G27" s="71">
        <v>466984</v>
      </c>
      <c r="H27" s="103">
        <v>0</v>
      </c>
      <c r="I27" s="73">
        <v>0</v>
      </c>
      <c r="J27" s="99">
        <v>2</v>
      </c>
      <c r="K27" s="248">
        <v>7619</v>
      </c>
      <c r="L27" s="419">
        <v>3</v>
      </c>
      <c r="M27" s="420">
        <v>29424</v>
      </c>
      <c r="N27" s="419">
        <v>3</v>
      </c>
      <c r="O27" s="420">
        <v>178404</v>
      </c>
      <c r="P27" s="419">
        <v>2</v>
      </c>
      <c r="Q27" s="420">
        <v>48391</v>
      </c>
      <c r="R27" s="419">
        <v>1</v>
      </c>
      <c r="S27" s="420">
        <v>240905</v>
      </c>
      <c r="T27" s="419">
        <v>0</v>
      </c>
      <c r="U27" s="420">
        <v>0</v>
      </c>
      <c r="V27" s="419">
        <v>1</v>
      </c>
      <c r="W27" s="420">
        <v>5636</v>
      </c>
      <c r="X27" s="419">
        <v>4</v>
      </c>
      <c r="Y27" s="420">
        <v>901110</v>
      </c>
      <c r="Z27" s="419">
        <v>6</v>
      </c>
      <c r="AA27" s="420">
        <v>198570</v>
      </c>
      <c r="AB27" s="421"/>
      <c r="AC27" s="422"/>
      <c r="AD27" s="363"/>
      <c r="AE27" s="259">
        <f>AVERAGE(T27,R27,Z27,X27,V27)</f>
        <v>2.4</v>
      </c>
      <c r="AF27" s="423">
        <f t="shared" ref="AF27:AF28" si="4">AVERAGE(U27,AA27,S27,W27,Y27)</f>
        <v>269244.2</v>
      </c>
      <c r="AG27" s="324">
        <f t="shared" ref="AG27:AG28" si="5">+(AA27-S27)/S27</f>
        <v>-0.17573317282746312</v>
      </c>
    </row>
    <row r="28" spans="1:33" ht="15" customHeight="1" thickBot="1" x14ac:dyDescent="0.25">
      <c r="A28" s="78" t="s">
        <v>43</v>
      </c>
      <c r="B28" s="144">
        <v>3</v>
      </c>
      <c r="C28" s="141">
        <v>111512</v>
      </c>
      <c r="D28" s="134">
        <v>1</v>
      </c>
      <c r="E28" s="145">
        <v>557577</v>
      </c>
      <c r="F28" s="135">
        <v>0</v>
      </c>
      <c r="G28" s="138">
        <v>287835</v>
      </c>
      <c r="H28" s="136">
        <v>0</v>
      </c>
      <c r="I28" s="137">
        <v>0</v>
      </c>
      <c r="J28" s="249">
        <v>1</v>
      </c>
      <c r="K28" s="250">
        <v>6119</v>
      </c>
      <c r="L28" s="424">
        <v>1</v>
      </c>
      <c r="M28" s="425">
        <v>40303</v>
      </c>
      <c r="N28" s="424">
        <v>0</v>
      </c>
      <c r="O28" s="425">
        <v>0</v>
      </c>
      <c r="P28" s="424">
        <v>2</v>
      </c>
      <c r="Q28" s="425">
        <v>74499</v>
      </c>
      <c r="R28" s="424">
        <v>2</v>
      </c>
      <c r="S28" s="425">
        <v>28854</v>
      </c>
      <c r="T28" s="424">
        <v>1</v>
      </c>
      <c r="U28" s="425">
        <v>716847</v>
      </c>
      <c r="V28" s="424">
        <v>0</v>
      </c>
      <c r="W28" s="425">
        <v>0</v>
      </c>
      <c r="X28" s="424">
        <v>1</v>
      </c>
      <c r="Y28" s="425">
        <v>51190</v>
      </c>
      <c r="Z28" s="424">
        <v>5</v>
      </c>
      <c r="AA28" s="425">
        <v>115702</v>
      </c>
      <c r="AB28" s="426"/>
      <c r="AC28" s="427"/>
      <c r="AD28" s="363"/>
      <c r="AE28" s="259">
        <f>AVERAGE(T28,R28,Z28,X28,V28)</f>
        <v>1.8</v>
      </c>
      <c r="AF28" s="428">
        <f t="shared" si="4"/>
        <v>182518.6</v>
      </c>
      <c r="AG28" s="324">
        <f t="shared" si="5"/>
        <v>3.0099119706106605</v>
      </c>
    </row>
    <row r="29" spans="1:33" ht="18" customHeight="1" thickTop="1" x14ac:dyDescent="0.2">
      <c r="A29" s="127" t="s">
        <v>12</v>
      </c>
      <c r="B29" s="514"/>
      <c r="C29" s="515"/>
      <c r="D29" s="514"/>
      <c r="E29" s="515"/>
      <c r="F29" s="507"/>
      <c r="G29" s="508"/>
      <c r="H29" s="507"/>
      <c r="I29" s="508"/>
      <c r="J29" s="507"/>
      <c r="K29" s="508"/>
      <c r="L29" s="516"/>
      <c r="M29" s="494"/>
      <c r="N29" s="493"/>
      <c r="O29" s="494"/>
      <c r="P29" s="493"/>
      <c r="Q29" s="494"/>
      <c r="R29" s="493"/>
      <c r="S29" s="494"/>
      <c r="T29" s="493"/>
      <c r="U29" s="494"/>
      <c r="V29" s="493"/>
      <c r="W29" s="494"/>
      <c r="X29" s="493"/>
      <c r="Y29" s="494"/>
      <c r="Z29" s="493"/>
      <c r="AA29" s="494"/>
      <c r="AB29" s="493"/>
      <c r="AC29" s="504"/>
      <c r="AD29" s="363"/>
      <c r="AE29" s="497"/>
      <c r="AF29" s="498"/>
      <c r="AG29" s="325"/>
    </row>
    <row r="30" spans="1:33" ht="15" customHeight="1" x14ac:dyDescent="0.2">
      <c r="A30" s="110" t="s">
        <v>13</v>
      </c>
      <c r="B30" s="28"/>
      <c r="C30" s="32">
        <v>33181.26</v>
      </c>
      <c r="D30" s="11"/>
      <c r="E30" s="39">
        <v>1404007.49</v>
      </c>
      <c r="F30" s="49"/>
      <c r="G30" s="82">
        <v>218898.34</v>
      </c>
      <c r="H30" s="80"/>
      <c r="I30" s="83">
        <v>331377.13</v>
      </c>
      <c r="J30" s="81"/>
      <c r="K30" s="83">
        <v>1590941.55</v>
      </c>
      <c r="L30" s="429"/>
      <c r="M30" s="430">
        <v>59744</v>
      </c>
      <c r="N30" s="429"/>
      <c r="O30" s="430">
        <v>1619147</v>
      </c>
      <c r="P30" s="431"/>
      <c r="Q30" s="430">
        <v>62258.5</v>
      </c>
      <c r="R30" s="431"/>
      <c r="S30" s="430">
        <v>120946.5</v>
      </c>
      <c r="T30" s="431"/>
      <c r="U30" s="430">
        <v>58160.639999999999</v>
      </c>
      <c r="V30" s="431"/>
      <c r="W30" s="430">
        <v>72601.22</v>
      </c>
      <c r="X30" s="431"/>
      <c r="Y30" s="430">
        <v>170056.79</v>
      </c>
      <c r="Z30" s="431"/>
      <c r="AA30" s="430">
        <v>129722</v>
      </c>
      <c r="AB30" s="431"/>
      <c r="AC30" s="432"/>
      <c r="AD30" s="363"/>
      <c r="AE30" s="364"/>
      <c r="AF30" s="423">
        <f t="shared" ref="AF30:AF31" si="6">AVERAGE(U30,AA30,S30,W30,Y30)</f>
        <v>110297.43000000001</v>
      </c>
      <c r="AG30" s="324">
        <f t="shared" ref="AG30" si="7">+(AA30-S30)/S30</f>
        <v>7.255687432046401E-2</v>
      </c>
    </row>
    <row r="31" spans="1:33" ht="15" customHeight="1" thickBot="1" x14ac:dyDescent="0.25">
      <c r="A31" s="78" t="s">
        <v>14</v>
      </c>
      <c r="B31" s="29"/>
      <c r="C31" s="33">
        <v>0</v>
      </c>
      <c r="D31" s="12"/>
      <c r="E31" s="40">
        <v>0</v>
      </c>
      <c r="F31" s="50"/>
      <c r="G31" s="66">
        <v>0</v>
      </c>
      <c r="H31" s="58"/>
      <c r="I31" s="65">
        <v>0</v>
      </c>
      <c r="J31" s="50"/>
      <c r="K31" s="65">
        <v>0</v>
      </c>
      <c r="L31" s="446"/>
      <c r="M31" s="447">
        <v>0</v>
      </c>
      <c r="N31" s="433"/>
      <c r="O31" s="434">
        <v>0</v>
      </c>
      <c r="P31" s="435"/>
      <c r="Q31" s="434">
        <v>0</v>
      </c>
      <c r="R31" s="435"/>
      <c r="S31" s="434">
        <v>0</v>
      </c>
      <c r="T31" s="435"/>
      <c r="U31" s="434">
        <v>0</v>
      </c>
      <c r="V31" s="435"/>
      <c r="W31" s="434">
        <v>0</v>
      </c>
      <c r="X31" s="435"/>
      <c r="Y31" s="434">
        <v>0</v>
      </c>
      <c r="Z31" s="435"/>
      <c r="AA31" s="434">
        <v>0</v>
      </c>
      <c r="AB31" s="435"/>
      <c r="AC31" s="436"/>
      <c r="AD31" s="363"/>
      <c r="AE31" s="411"/>
      <c r="AF31" s="437">
        <f t="shared" si="6"/>
        <v>0</v>
      </c>
      <c r="AG31" s="230"/>
    </row>
    <row r="32" spans="1:33" ht="13.5" thickTop="1" x14ac:dyDescent="0.2">
      <c r="L32" s="363"/>
      <c r="M32" s="363"/>
      <c r="N32" s="373"/>
      <c r="O32" s="438"/>
      <c r="P32" s="373"/>
      <c r="Q32" s="438"/>
      <c r="R32" s="373"/>
      <c r="S32" s="438"/>
      <c r="T32" s="373"/>
      <c r="U32" s="438"/>
      <c r="V32" s="373"/>
      <c r="W32" s="438"/>
      <c r="X32" s="373"/>
      <c r="Y32" s="438"/>
      <c r="Z32" s="373"/>
      <c r="AA32" s="438"/>
      <c r="AB32" s="373"/>
      <c r="AC32" s="438"/>
      <c r="AD32" s="439"/>
      <c r="AE32" s="439"/>
      <c r="AF32" s="439"/>
    </row>
    <row r="33" spans="1:32" x14ac:dyDescent="0.2">
      <c r="A33" s="310" t="s">
        <v>48</v>
      </c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</row>
  </sheetData>
  <mergeCells count="40">
    <mergeCell ref="AE9:AF9"/>
    <mergeCell ref="R9:S9"/>
    <mergeCell ref="V9:W9"/>
    <mergeCell ref="H9:I9"/>
    <mergeCell ref="B9:C9"/>
    <mergeCell ref="D9:E9"/>
    <mergeCell ref="J9:K9"/>
    <mergeCell ref="F9:G9"/>
    <mergeCell ref="L9:M9"/>
    <mergeCell ref="X9:Y9"/>
    <mergeCell ref="P9:Q9"/>
    <mergeCell ref="T9:U9"/>
    <mergeCell ref="Z9:AA9"/>
    <mergeCell ref="AB9:AC9"/>
    <mergeCell ref="L29:M29"/>
    <mergeCell ref="N29:O29"/>
    <mergeCell ref="P29:Q29"/>
    <mergeCell ref="R29:S29"/>
    <mergeCell ref="N9:O9"/>
    <mergeCell ref="B29:C29"/>
    <mergeCell ref="D29:E29"/>
    <mergeCell ref="F29:G29"/>
    <mergeCell ref="H29:I29"/>
    <mergeCell ref="J29:K29"/>
    <mergeCell ref="AE22:AF22"/>
    <mergeCell ref="B22:C22"/>
    <mergeCell ref="D22:E22"/>
    <mergeCell ref="F22:G22"/>
    <mergeCell ref="H22:I22"/>
    <mergeCell ref="J22:K22"/>
    <mergeCell ref="L22:M22"/>
    <mergeCell ref="X22:Y22"/>
    <mergeCell ref="Z22:AA22"/>
    <mergeCell ref="AB22:AC22"/>
    <mergeCell ref="T29:U29"/>
    <mergeCell ref="V29:W29"/>
    <mergeCell ref="X29:Y29"/>
    <mergeCell ref="Z29:AA29"/>
    <mergeCell ref="AE29:AF29"/>
    <mergeCell ref="AB29:AC29"/>
  </mergeCells>
  <phoneticPr fontId="0" type="noConversion"/>
  <pageMargins left="0.5" right="0.5" top="0.5" bottom="0.5" header="0.5" footer="0.25"/>
  <pageSetup scale="75" orientation="landscape" r:id="rId1"/>
  <headerFooter alignWithMargins="0">
    <oddFooter>&amp;L&amp;9Prepared by Planning and Analysis&amp;C&amp;9&amp;P of &amp;N&amp;R&amp;9Updated &amp;D</oddFooter>
  </headerFooter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zoomScaleNormal="100" zoomScaleSheetLayoutView="100" workbookViewId="0">
      <pane xSplit="1" ySplit="7" topLeftCell="L20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36" hidden="1" customWidth="1"/>
    <col min="7" max="7" width="10.7109375" style="36" hidden="1" customWidth="1"/>
    <col min="8" max="8" width="4.7109375" style="36" hidden="1" customWidth="1"/>
    <col min="9" max="9" width="10.7109375" style="36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570312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5.75" x14ac:dyDescent="0.25">
      <c r="A1" s="169" t="s">
        <v>37</v>
      </c>
    </row>
    <row r="2" spans="1:33" ht="15.75" x14ac:dyDescent="0.25">
      <c r="A2" s="169" t="s">
        <v>38</v>
      </c>
    </row>
    <row r="3" spans="1:33" ht="5.25" customHeight="1" x14ac:dyDescent="0.25">
      <c r="A3" s="169"/>
    </row>
    <row r="4" spans="1:33" ht="15.75" x14ac:dyDescent="0.25">
      <c r="A4" s="170" t="s">
        <v>39</v>
      </c>
    </row>
    <row r="5" spans="1:33" ht="6" customHeight="1" x14ac:dyDescent="0.25">
      <c r="A5" s="170"/>
    </row>
    <row r="6" spans="1:33" ht="25.5" x14ac:dyDescent="0.2">
      <c r="A6" s="276" t="s">
        <v>21</v>
      </c>
      <c r="B6" s="1"/>
      <c r="C6" s="1"/>
      <c r="D6" s="1"/>
      <c r="E6" s="1"/>
      <c r="F6" s="18"/>
      <c r="G6" s="18"/>
      <c r="H6" s="18"/>
      <c r="I6" s="18"/>
    </row>
    <row r="7" spans="1:33" x14ac:dyDescent="0.2">
      <c r="A7" s="171">
        <v>3670055030</v>
      </c>
      <c r="B7" s="1"/>
      <c r="C7" s="1"/>
      <c r="D7" s="1"/>
      <c r="E7" s="1"/>
      <c r="F7" s="18"/>
      <c r="G7" s="18"/>
      <c r="H7" s="18"/>
      <c r="I7" s="18"/>
    </row>
    <row r="8" spans="1:33" thickBot="1" x14ac:dyDescent="0.25">
      <c r="A8" s="13"/>
      <c r="B8" s="3"/>
      <c r="C8" s="3"/>
      <c r="D8" s="3"/>
      <c r="E8" s="3"/>
      <c r="F8" s="37"/>
      <c r="G8" s="37"/>
      <c r="H8" s="37"/>
      <c r="I8" s="37"/>
      <c r="J8" s="37"/>
      <c r="K8" s="37"/>
      <c r="L8" s="37"/>
      <c r="M8" s="37"/>
    </row>
    <row r="9" spans="1:33" ht="30" customHeight="1" thickTop="1" thickBot="1" x14ac:dyDescent="0.25">
      <c r="A9" s="75"/>
      <c r="B9" s="505" t="s">
        <v>3</v>
      </c>
      <c r="C9" s="506"/>
      <c r="D9" s="517" t="s">
        <v>4</v>
      </c>
      <c r="E9" s="517"/>
      <c r="F9" s="489" t="s">
        <v>17</v>
      </c>
      <c r="G9" s="490"/>
      <c r="H9" s="521" t="s">
        <v>19</v>
      </c>
      <c r="I9" s="522"/>
      <c r="J9" s="521" t="s">
        <v>20</v>
      </c>
      <c r="K9" s="522"/>
      <c r="L9" s="521" t="s">
        <v>22</v>
      </c>
      <c r="M9" s="523"/>
      <c r="N9" s="491" t="s">
        <v>24</v>
      </c>
      <c r="O9" s="490"/>
      <c r="P9" s="491" t="s">
        <v>25</v>
      </c>
      <c r="Q9" s="490"/>
      <c r="R9" s="491" t="s">
        <v>28</v>
      </c>
      <c r="S9" s="490"/>
      <c r="T9" s="491" t="s">
        <v>30</v>
      </c>
      <c r="U9" s="490"/>
      <c r="V9" s="491" t="s">
        <v>33</v>
      </c>
      <c r="W9" s="490"/>
      <c r="X9" s="491" t="s">
        <v>34</v>
      </c>
      <c r="Y9" s="490"/>
      <c r="Z9" s="491" t="s">
        <v>35</v>
      </c>
      <c r="AA9" s="490"/>
      <c r="AB9" s="491" t="s">
        <v>52</v>
      </c>
      <c r="AC9" s="492"/>
      <c r="AE9" s="487" t="s">
        <v>23</v>
      </c>
      <c r="AF9" s="488"/>
      <c r="AG9" s="181" t="s">
        <v>40</v>
      </c>
    </row>
    <row r="10" spans="1:33" ht="18" customHeight="1" x14ac:dyDescent="0.2">
      <c r="A10" s="172" t="s">
        <v>5</v>
      </c>
      <c r="B10" s="178"/>
      <c r="C10" s="173"/>
      <c r="D10" s="54"/>
      <c r="E10" s="54"/>
      <c r="F10" s="174"/>
      <c r="G10" s="177"/>
      <c r="H10" s="176"/>
      <c r="I10" s="176"/>
      <c r="J10" s="174"/>
      <c r="K10" s="176"/>
      <c r="L10" s="174"/>
      <c r="M10" s="177"/>
      <c r="N10" s="352"/>
      <c r="O10" s="354"/>
      <c r="P10" s="352"/>
      <c r="Q10" s="354"/>
      <c r="R10" s="352"/>
      <c r="S10" s="354"/>
      <c r="T10" s="352"/>
      <c r="U10" s="354"/>
      <c r="V10" s="352"/>
      <c r="W10" s="354"/>
      <c r="X10" s="352"/>
      <c r="Y10" s="354"/>
      <c r="Z10" s="352"/>
      <c r="AA10" s="354"/>
      <c r="AB10" s="352"/>
      <c r="AC10" s="353"/>
      <c r="AE10" s="225"/>
      <c r="AF10" s="355"/>
      <c r="AG10" s="182"/>
    </row>
    <row r="11" spans="1:33" ht="15" customHeight="1" x14ac:dyDescent="0.2">
      <c r="A11" s="76" t="s">
        <v>6</v>
      </c>
      <c r="B11" s="20"/>
      <c r="C11" s="21"/>
      <c r="D11" s="5"/>
      <c r="E11" s="5"/>
      <c r="F11" s="38"/>
      <c r="G11" s="59"/>
      <c r="H11" s="56"/>
      <c r="I11" s="56"/>
      <c r="J11" s="43"/>
      <c r="K11" s="56"/>
      <c r="L11" s="43"/>
      <c r="M11" s="62"/>
      <c r="N11" s="359"/>
      <c r="O11" s="360"/>
      <c r="P11" s="361"/>
      <c r="Q11" s="360"/>
      <c r="R11" s="361"/>
      <c r="S11" s="360"/>
      <c r="T11" s="361"/>
      <c r="U11" s="360"/>
      <c r="V11" s="361"/>
      <c r="W11" s="360"/>
      <c r="X11" s="361"/>
      <c r="Y11" s="360"/>
      <c r="Z11" s="361"/>
      <c r="AA11" s="360"/>
      <c r="AB11" s="361"/>
      <c r="AC11" s="362"/>
      <c r="AD11" s="363"/>
      <c r="AE11" s="364"/>
      <c r="AF11" s="365"/>
      <c r="AG11" s="63"/>
    </row>
    <row r="12" spans="1:33" ht="15" customHeight="1" x14ac:dyDescent="0.2">
      <c r="A12" s="77" t="s">
        <v>7</v>
      </c>
      <c r="B12" s="4"/>
      <c r="C12" s="279">
        <v>848916</v>
      </c>
      <c r="D12" s="118"/>
      <c r="E12" s="280">
        <v>886204</v>
      </c>
      <c r="F12" s="116"/>
      <c r="G12" s="284">
        <v>876369</v>
      </c>
      <c r="H12" s="116"/>
      <c r="I12" s="281">
        <v>914859</v>
      </c>
      <c r="J12" s="118"/>
      <c r="K12" s="281">
        <v>961604</v>
      </c>
      <c r="L12" s="118"/>
      <c r="M12" s="280">
        <v>984753</v>
      </c>
      <c r="N12" s="366"/>
      <c r="O12" s="367">
        <v>944425</v>
      </c>
      <c r="P12" s="368"/>
      <c r="Q12" s="367">
        <v>980943</v>
      </c>
      <c r="R12" s="368"/>
      <c r="S12" s="367">
        <v>1125206</v>
      </c>
      <c r="T12" s="368"/>
      <c r="U12" s="367">
        <v>1151611</v>
      </c>
      <c r="V12" s="368"/>
      <c r="W12" s="367">
        <v>1167235</v>
      </c>
      <c r="X12" s="368"/>
      <c r="Y12" s="367">
        <v>1268260</v>
      </c>
      <c r="Z12" s="368"/>
      <c r="AA12" s="367">
        <v>1260930</v>
      </c>
      <c r="AB12" s="368"/>
      <c r="AC12" s="369">
        <v>830302</v>
      </c>
      <c r="AD12" s="363"/>
      <c r="AE12" s="364"/>
      <c r="AF12" s="365">
        <f>AVERAGE(W12,U12,Y12,AC12,AA12)</f>
        <v>1135667.6000000001</v>
      </c>
      <c r="AG12" s="318">
        <f>+(AC12-U12)/U12</f>
        <v>-0.27900827623216518</v>
      </c>
    </row>
    <row r="13" spans="1:33" ht="15" customHeight="1" x14ac:dyDescent="0.2">
      <c r="A13" s="77" t="s">
        <v>26</v>
      </c>
      <c r="B13" s="4"/>
      <c r="C13" s="279"/>
      <c r="D13" s="118"/>
      <c r="E13" s="280"/>
      <c r="F13" s="116"/>
      <c r="G13" s="284"/>
      <c r="H13" s="116"/>
      <c r="I13" s="281"/>
      <c r="J13" s="118"/>
      <c r="K13" s="281"/>
      <c r="L13" s="118"/>
      <c r="M13" s="280"/>
      <c r="N13" s="366"/>
      <c r="O13" s="367"/>
      <c r="P13" s="368"/>
      <c r="Q13" s="367"/>
      <c r="R13" s="368"/>
      <c r="S13" s="367"/>
      <c r="T13" s="368"/>
      <c r="U13" s="367"/>
      <c r="V13" s="368"/>
      <c r="W13" s="367"/>
      <c r="X13" s="368"/>
      <c r="Y13" s="367"/>
      <c r="Z13" s="368"/>
      <c r="AA13" s="367"/>
      <c r="AB13" s="368"/>
      <c r="AC13" s="369"/>
      <c r="AD13" s="363"/>
      <c r="AE13" s="370"/>
      <c r="AF13" s="365"/>
      <c r="AG13" s="319"/>
    </row>
    <row r="14" spans="1:33" ht="30" customHeight="1" thickBot="1" x14ac:dyDescent="0.25">
      <c r="A14" s="206" t="s">
        <v>27</v>
      </c>
      <c r="B14" s="165"/>
      <c r="C14" s="287">
        <v>110132</v>
      </c>
      <c r="D14" s="288"/>
      <c r="E14" s="289">
        <v>70200</v>
      </c>
      <c r="F14" s="122"/>
      <c r="G14" s="289">
        <v>70199</v>
      </c>
      <c r="H14" s="122"/>
      <c r="I14" s="290">
        <v>70334</v>
      </c>
      <c r="J14" s="288"/>
      <c r="K14" s="290">
        <v>90508</v>
      </c>
      <c r="L14" s="288"/>
      <c r="M14" s="289">
        <v>86152</v>
      </c>
      <c r="N14" s="371"/>
      <c r="O14" s="372">
        <v>149343</v>
      </c>
      <c r="P14" s="373"/>
      <c r="Q14" s="372">
        <v>112128</v>
      </c>
      <c r="R14" s="373"/>
      <c r="S14" s="372">
        <v>167401</v>
      </c>
      <c r="T14" s="373"/>
      <c r="U14" s="372">
        <v>267504</v>
      </c>
      <c r="V14" s="373"/>
      <c r="W14" s="372">
        <v>407095</v>
      </c>
      <c r="X14" s="373"/>
      <c r="Y14" s="372">
        <v>528431</v>
      </c>
      <c r="Z14" s="373"/>
      <c r="AA14" s="372">
        <v>808389</v>
      </c>
      <c r="AB14" s="373"/>
      <c r="AC14" s="374">
        <v>551652</v>
      </c>
      <c r="AD14" s="363"/>
      <c r="AE14" s="375"/>
      <c r="AF14" s="376">
        <f t="shared" ref="AF14:AF21" si="0">AVERAGE(W14,U14,Y14,AC14,AA14)</f>
        <v>512614.2</v>
      </c>
      <c r="AG14" s="318">
        <f t="shared" ref="AG14:AG21" si="1">+(AC14-U14)/U14</f>
        <v>1.0622196303606675</v>
      </c>
    </row>
    <row r="15" spans="1:33" ht="18.75" customHeight="1" thickBot="1" x14ac:dyDescent="0.25">
      <c r="A15" s="213" t="s">
        <v>8</v>
      </c>
      <c r="B15" s="200"/>
      <c r="C15" s="293">
        <f>SUM(C12:C14)</f>
        <v>959048</v>
      </c>
      <c r="D15" s="294"/>
      <c r="E15" s="291">
        <f>SUM(E12:E14)</f>
        <v>956404</v>
      </c>
      <c r="F15" s="296"/>
      <c r="G15" s="295">
        <f>SUM(G12:G14)</f>
        <v>946568</v>
      </c>
      <c r="H15" s="296"/>
      <c r="I15" s="297">
        <f>SUM(I12:I14)</f>
        <v>985193</v>
      </c>
      <c r="J15" s="294"/>
      <c r="K15" s="297">
        <f>SUM(K12:K14)</f>
        <v>1052112</v>
      </c>
      <c r="L15" s="294"/>
      <c r="M15" s="295">
        <f>SUM(M12:M14)</f>
        <v>1070905</v>
      </c>
      <c r="N15" s="377"/>
      <c r="O15" s="378">
        <f>SUM(O12:O14)</f>
        <v>1093768</v>
      </c>
      <c r="P15" s="379"/>
      <c r="Q15" s="378">
        <f>SUM(Q12:Q14)</f>
        <v>1093071</v>
      </c>
      <c r="R15" s="379"/>
      <c r="S15" s="378">
        <f>SUM(S12:S14)</f>
        <v>1292607</v>
      </c>
      <c r="T15" s="379"/>
      <c r="U15" s="378">
        <f>SUM(U12:U14)</f>
        <v>1419115</v>
      </c>
      <c r="V15" s="379"/>
      <c r="W15" s="378">
        <f>SUM(W12:W14)</f>
        <v>1574330</v>
      </c>
      <c r="X15" s="379"/>
      <c r="Y15" s="378">
        <f>SUM(Y12:Y14)</f>
        <v>1796691</v>
      </c>
      <c r="Z15" s="379"/>
      <c r="AA15" s="378">
        <f>SUM(AA12:AA14)</f>
        <v>2069319</v>
      </c>
      <c r="AB15" s="379"/>
      <c r="AC15" s="380">
        <f>SUM(AC12:AC14)</f>
        <v>1381954</v>
      </c>
      <c r="AD15" s="363"/>
      <c r="AE15" s="381"/>
      <c r="AF15" s="382">
        <f t="shared" si="0"/>
        <v>1648281.8</v>
      </c>
      <c r="AG15" s="320">
        <f t="shared" si="1"/>
        <v>-2.6186038481729811E-2</v>
      </c>
    </row>
    <row r="16" spans="1:33" ht="15" customHeight="1" x14ac:dyDescent="0.2">
      <c r="A16" s="111" t="s">
        <v>9</v>
      </c>
      <c r="B16" s="4"/>
      <c r="C16" s="279"/>
      <c r="D16" s="118"/>
      <c r="E16" s="280"/>
      <c r="F16" s="116"/>
      <c r="G16" s="280"/>
      <c r="H16" s="116"/>
      <c r="I16" s="281"/>
      <c r="J16" s="118"/>
      <c r="K16" s="281"/>
      <c r="L16" s="118"/>
      <c r="M16" s="280"/>
      <c r="N16" s="359"/>
      <c r="O16" s="383"/>
      <c r="P16" s="361"/>
      <c r="Q16" s="383"/>
      <c r="R16" s="361"/>
      <c r="S16" s="383"/>
      <c r="T16" s="361"/>
      <c r="U16" s="383"/>
      <c r="V16" s="361"/>
      <c r="W16" s="383"/>
      <c r="X16" s="361"/>
      <c r="Y16" s="383"/>
      <c r="Z16" s="361"/>
      <c r="AA16" s="383"/>
      <c r="AB16" s="361"/>
      <c r="AC16" s="384"/>
      <c r="AD16" s="363"/>
      <c r="AE16" s="385"/>
      <c r="AF16" s="386"/>
      <c r="AG16" s="184"/>
    </row>
    <row r="17" spans="1:33" ht="15" customHeight="1" x14ac:dyDescent="0.2">
      <c r="A17" s="77" t="s">
        <v>7</v>
      </c>
      <c r="B17" s="5"/>
      <c r="C17" s="298">
        <v>88936</v>
      </c>
      <c r="D17" s="282"/>
      <c r="E17" s="284">
        <v>92574</v>
      </c>
      <c r="F17" s="124"/>
      <c r="G17" s="284">
        <v>94373</v>
      </c>
      <c r="H17" s="124"/>
      <c r="I17" s="283">
        <v>95882</v>
      </c>
      <c r="J17" s="282"/>
      <c r="K17" s="283">
        <v>67595</v>
      </c>
      <c r="L17" s="282"/>
      <c r="M17" s="284">
        <v>69843</v>
      </c>
      <c r="N17" s="366"/>
      <c r="O17" s="367">
        <v>49932</v>
      </c>
      <c r="P17" s="368"/>
      <c r="Q17" s="367">
        <v>50239</v>
      </c>
      <c r="R17" s="368"/>
      <c r="S17" s="367">
        <v>50595</v>
      </c>
      <c r="T17" s="368"/>
      <c r="U17" s="367">
        <v>53470</v>
      </c>
      <c r="V17" s="368"/>
      <c r="W17" s="367">
        <v>22260</v>
      </c>
      <c r="X17" s="368"/>
      <c r="Y17" s="367">
        <v>14257</v>
      </c>
      <c r="Z17" s="368"/>
      <c r="AA17" s="367">
        <v>14269</v>
      </c>
      <c r="AB17" s="368"/>
      <c r="AC17" s="369">
        <v>14276</v>
      </c>
      <c r="AD17" s="363"/>
      <c r="AE17" s="364"/>
      <c r="AF17" s="365">
        <f t="shared" si="0"/>
        <v>23706.400000000001</v>
      </c>
      <c r="AG17" s="318">
        <f t="shared" si="1"/>
        <v>-0.73300916401720595</v>
      </c>
    </row>
    <row r="18" spans="1:33" ht="15" customHeight="1" x14ac:dyDescent="0.2">
      <c r="A18" s="77" t="s">
        <v>26</v>
      </c>
      <c r="B18" s="5"/>
      <c r="C18" s="298"/>
      <c r="D18" s="282"/>
      <c r="E18" s="284"/>
      <c r="F18" s="124"/>
      <c r="G18" s="284"/>
      <c r="H18" s="124"/>
      <c r="I18" s="283"/>
      <c r="J18" s="282"/>
      <c r="K18" s="283"/>
      <c r="L18" s="282"/>
      <c r="M18" s="284"/>
      <c r="N18" s="366"/>
      <c r="O18" s="367"/>
      <c r="P18" s="368"/>
      <c r="Q18" s="367"/>
      <c r="R18" s="368"/>
      <c r="S18" s="367"/>
      <c r="T18" s="368"/>
      <c r="U18" s="367"/>
      <c r="V18" s="368"/>
      <c r="W18" s="367"/>
      <c r="X18" s="368"/>
      <c r="Y18" s="367"/>
      <c r="Z18" s="368"/>
      <c r="AA18" s="367"/>
      <c r="AB18" s="368"/>
      <c r="AC18" s="369"/>
      <c r="AD18" s="363"/>
      <c r="AE18" s="370"/>
      <c r="AF18" s="365"/>
      <c r="AG18" s="318"/>
    </row>
    <row r="19" spans="1:33" ht="30" customHeight="1" thickBot="1" x14ac:dyDescent="0.25">
      <c r="A19" s="206" t="s">
        <v>27</v>
      </c>
      <c r="B19" s="165"/>
      <c r="C19" s="287"/>
      <c r="D19" s="288"/>
      <c r="E19" s="289"/>
      <c r="F19" s="122"/>
      <c r="G19" s="289"/>
      <c r="H19" s="122"/>
      <c r="I19" s="290"/>
      <c r="J19" s="288"/>
      <c r="K19" s="290"/>
      <c r="L19" s="288"/>
      <c r="M19" s="289"/>
      <c r="N19" s="371"/>
      <c r="O19" s="372"/>
      <c r="P19" s="373"/>
      <c r="Q19" s="372"/>
      <c r="R19" s="373"/>
      <c r="S19" s="372"/>
      <c r="T19" s="373"/>
      <c r="U19" s="372"/>
      <c r="V19" s="373"/>
      <c r="W19" s="372"/>
      <c r="X19" s="373"/>
      <c r="Y19" s="372"/>
      <c r="Z19" s="373"/>
      <c r="AA19" s="372"/>
      <c r="AB19" s="373"/>
      <c r="AC19" s="374"/>
      <c r="AD19" s="363"/>
      <c r="AE19" s="375"/>
      <c r="AF19" s="365"/>
      <c r="AG19" s="318"/>
    </row>
    <row r="20" spans="1:33" ht="18.75" customHeight="1" thickBot="1" x14ac:dyDescent="0.25">
      <c r="A20" s="213" t="s">
        <v>10</v>
      </c>
      <c r="B20" s="198"/>
      <c r="C20" s="291">
        <f>SUM(C17:C19)</f>
        <v>88936</v>
      </c>
      <c r="D20" s="292"/>
      <c r="E20" s="293">
        <f>SUM(E17:E19)</f>
        <v>92574</v>
      </c>
      <c r="F20" s="294"/>
      <c r="G20" s="291">
        <f>SUM(G17:G19)</f>
        <v>94373</v>
      </c>
      <c r="H20" s="296"/>
      <c r="I20" s="297">
        <f>SUM(I17:I19)</f>
        <v>95882</v>
      </c>
      <c r="J20" s="294"/>
      <c r="K20" s="297">
        <f>SUM(K17:K19)</f>
        <v>67595</v>
      </c>
      <c r="L20" s="294"/>
      <c r="M20" s="295">
        <f>SUM(M17:M19)</f>
        <v>69843</v>
      </c>
      <c r="N20" s="377"/>
      <c r="O20" s="378">
        <f>SUM(O17:O19)</f>
        <v>49932</v>
      </c>
      <c r="P20" s="379"/>
      <c r="Q20" s="378">
        <f>SUM(Q17:Q19)</f>
        <v>50239</v>
      </c>
      <c r="R20" s="379"/>
      <c r="S20" s="378">
        <f>SUM(S17:S19)</f>
        <v>50595</v>
      </c>
      <c r="T20" s="379"/>
      <c r="U20" s="378">
        <f>SUM(U17:U19)</f>
        <v>53470</v>
      </c>
      <c r="V20" s="379"/>
      <c r="W20" s="378">
        <f>SUM(W17:W19)</f>
        <v>22260</v>
      </c>
      <c r="X20" s="379"/>
      <c r="Y20" s="378">
        <f>SUM(Y17:Y19)</f>
        <v>14257</v>
      </c>
      <c r="Z20" s="379"/>
      <c r="AA20" s="378">
        <f>SUM(AA17:AA19)</f>
        <v>14269</v>
      </c>
      <c r="AB20" s="379"/>
      <c r="AC20" s="380">
        <f>SUM(AC17:AC19)</f>
        <v>14276</v>
      </c>
      <c r="AD20" s="363"/>
      <c r="AE20" s="381"/>
      <c r="AF20" s="382">
        <f t="shared" si="0"/>
        <v>23706.400000000001</v>
      </c>
      <c r="AG20" s="321">
        <f t="shared" si="1"/>
        <v>-0.73300916401720595</v>
      </c>
    </row>
    <row r="21" spans="1:33" ht="18.75" customHeight="1" thickBot="1" x14ac:dyDescent="0.25">
      <c r="A21" s="261" t="s">
        <v>11</v>
      </c>
      <c r="B21" s="253"/>
      <c r="C21" s="300">
        <f>SUM(C15,C20)</f>
        <v>1047984</v>
      </c>
      <c r="D21" s="301"/>
      <c r="E21" s="302">
        <f>SUM(E15,E20)</f>
        <v>1048978</v>
      </c>
      <c r="F21" s="303"/>
      <c r="G21" s="300">
        <f>SUM(G15,G20)</f>
        <v>1040941</v>
      </c>
      <c r="H21" s="304"/>
      <c r="I21" s="305">
        <f>SUM(I15,I20)</f>
        <v>1081075</v>
      </c>
      <c r="J21" s="303"/>
      <c r="K21" s="305">
        <f>SUM(K15,K20)</f>
        <v>1119707</v>
      </c>
      <c r="L21" s="303"/>
      <c r="M21" s="306">
        <f>SUM(M15,M20)</f>
        <v>1140748</v>
      </c>
      <c r="N21" s="387"/>
      <c r="O21" s="388">
        <f>SUM(O15,O20)</f>
        <v>1143700</v>
      </c>
      <c r="P21" s="389"/>
      <c r="Q21" s="388">
        <f>SUM(Q15,Q20)</f>
        <v>1143310</v>
      </c>
      <c r="R21" s="389"/>
      <c r="S21" s="388">
        <f>SUM(S15,S20)</f>
        <v>1343202</v>
      </c>
      <c r="T21" s="389"/>
      <c r="U21" s="388">
        <f>SUM(U15,U20)</f>
        <v>1472585</v>
      </c>
      <c r="V21" s="389"/>
      <c r="W21" s="388">
        <f>SUM(W15,W20)</f>
        <v>1596590</v>
      </c>
      <c r="X21" s="389"/>
      <c r="Y21" s="388">
        <f>SUM(Y15,Y20)</f>
        <v>1810948</v>
      </c>
      <c r="Z21" s="389"/>
      <c r="AA21" s="388">
        <f>SUM(AA15,AA20)</f>
        <v>2083588</v>
      </c>
      <c r="AB21" s="389"/>
      <c r="AC21" s="390">
        <f>SUM(AC15,AC20)</f>
        <v>1396230</v>
      </c>
      <c r="AD21" s="363"/>
      <c r="AE21" s="391"/>
      <c r="AF21" s="392">
        <f t="shared" si="0"/>
        <v>1671988.2</v>
      </c>
      <c r="AG21" s="322">
        <f t="shared" si="1"/>
        <v>-5.1850996716658118E-2</v>
      </c>
    </row>
    <row r="22" spans="1:33" ht="18" customHeight="1" x14ac:dyDescent="0.2">
      <c r="A22" s="210" t="s">
        <v>36</v>
      </c>
      <c r="B22" s="509"/>
      <c r="C22" s="510"/>
      <c r="D22" s="518"/>
      <c r="E22" s="518"/>
      <c r="F22" s="511"/>
      <c r="G22" s="512"/>
      <c r="H22" s="524"/>
      <c r="I22" s="525"/>
      <c r="J22" s="524"/>
      <c r="K22" s="525"/>
      <c r="L22" s="524"/>
      <c r="M22" s="526"/>
      <c r="N22" s="393"/>
      <c r="O22" s="394"/>
      <c r="P22" s="393"/>
      <c r="Q22" s="394"/>
      <c r="R22" s="393"/>
      <c r="S22" s="394"/>
      <c r="T22" s="393"/>
      <c r="U22" s="394"/>
      <c r="V22" s="393"/>
      <c r="W22" s="394"/>
      <c r="X22" s="499"/>
      <c r="Y22" s="499"/>
      <c r="Z22" s="500"/>
      <c r="AA22" s="501"/>
      <c r="AB22" s="502"/>
      <c r="AC22" s="503"/>
      <c r="AD22" s="363"/>
      <c r="AE22" s="495"/>
      <c r="AF22" s="496"/>
      <c r="AG22" s="323"/>
    </row>
    <row r="23" spans="1:33" ht="15" customHeight="1" x14ac:dyDescent="0.2">
      <c r="A23" s="77" t="s">
        <v>54</v>
      </c>
      <c r="B23" s="28"/>
      <c r="C23" s="211">
        <f>388994+455062</f>
        <v>844056</v>
      </c>
      <c r="D23" s="11"/>
      <c r="E23" s="212">
        <v>936019</v>
      </c>
      <c r="F23" s="49"/>
      <c r="G23" s="226">
        <v>910409.44</v>
      </c>
      <c r="H23" s="227"/>
      <c r="I23" s="227">
        <v>947050.86</v>
      </c>
      <c r="J23" s="228"/>
      <c r="K23" s="227">
        <f>950575</f>
        <v>950575</v>
      </c>
      <c r="L23" s="228"/>
      <c r="M23" s="229">
        <v>1205401</v>
      </c>
      <c r="N23" s="395"/>
      <c r="O23" s="396">
        <v>1219774</v>
      </c>
      <c r="P23" s="397"/>
      <c r="Q23" s="396">
        <v>1210943</v>
      </c>
      <c r="R23" s="397"/>
      <c r="S23" s="396">
        <v>1235099</v>
      </c>
      <c r="T23" s="397"/>
      <c r="U23" s="396">
        <v>1239825</v>
      </c>
      <c r="V23" s="397"/>
      <c r="W23" s="396">
        <v>1373241.449</v>
      </c>
      <c r="X23" s="397"/>
      <c r="Y23" s="398">
        <v>1559618</v>
      </c>
      <c r="Z23" s="397"/>
      <c r="AA23" s="398">
        <v>1482663</v>
      </c>
      <c r="AB23" s="361"/>
      <c r="AC23" s="399"/>
      <c r="AD23" s="363"/>
      <c r="AE23" s="364"/>
      <c r="AF23" s="365">
        <f>AVERAGE(U23,AA23,S23,W23,Y23)</f>
        <v>1378089.2897999999</v>
      </c>
      <c r="AG23" s="318">
        <f>+(AA23-S23)/S23</f>
        <v>0.20044061245292888</v>
      </c>
    </row>
    <row r="24" spans="1:33" ht="15" customHeight="1" x14ac:dyDescent="0.2">
      <c r="A24" s="77" t="s">
        <v>46</v>
      </c>
      <c r="B24" s="26"/>
      <c r="C24" s="27"/>
      <c r="D24" s="10"/>
      <c r="E24" s="48"/>
      <c r="F24" s="26"/>
      <c r="G24" s="168">
        <v>2198797.5</v>
      </c>
      <c r="H24" s="26"/>
      <c r="I24" s="27">
        <v>210775.05999999994</v>
      </c>
      <c r="J24" s="26"/>
      <c r="K24" s="27">
        <v>156844.42000000001</v>
      </c>
      <c r="L24" s="26"/>
      <c r="M24" s="27">
        <v>176846.97</v>
      </c>
      <c r="N24" s="400"/>
      <c r="O24" s="401">
        <v>156926.71</v>
      </c>
      <c r="P24" s="402"/>
      <c r="Q24" s="401">
        <v>260543.12999999992</v>
      </c>
      <c r="R24" s="402"/>
      <c r="S24" s="401">
        <v>587198.28000000014</v>
      </c>
      <c r="T24" s="402"/>
      <c r="U24" s="401">
        <v>752795.60000000021</v>
      </c>
      <c r="V24" s="402"/>
      <c r="W24" s="401">
        <v>640965.93999999994</v>
      </c>
      <c r="X24" s="402"/>
      <c r="Y24" s="403">
        <v>779190</v>
      </c>
      <c r="Z24" s="402"/>
      <c r="AA24" s="403">
        <v>622246</v>
      </c>
      <c r="AB24" s="373"/>
      <c r="AC24" s="404"/>
      <c r="AD24" s="363"/>
      <c r="AE24" s="364"/>
      <c r="AF24" s="365">
        <f t="shared" ref="AF24:AF25" si="2">AVERAGE(U24,AA24,S24,W24,Y24)</f>
        <v>676479.16400000011</v>
      </c>
      <c r="AG24" s="318">
        <f t="shared" ref="AG24" si="3">+(AA24-S24)/S24</f>
        <v>5.9686346492704045E-2</v>
      </c>
    </row>
    <row r="25" spans="1:33" ht="15" customHeight="1" thickBot="1" x14ac:dyDescent="0.25">
      <c r="A25" s="78" t="s">
        <v>47</v>
      </c>
      <c r="B25" s="29"/>
      <c r="C25" s="139"/>
      <c r="D25" s="12"/>
      <c r="E25" s="140"/>
      <c r="F25" s="29"/>
      <c r="G25" s="139">
        <v>243106.14</v>
      </c>
      <c r="H25" s="29"/>
      <c r="I25" s="139">
        <v>0</v>
      </c>
      <c r="J25" s="29"/>
      <c r="K25" s="139">
        <v>0</v>
      </c>
      <c r="L25" s="29"/>
      <c r="M25" s="139">
        <v>0</v>
      </c>
      <c r="N25" s="405"/>
      <c r="O25" s="406">
        <v>0</v>
      </c>
      <c r="P25" s="407"/>
      <c r="Q25" s="406">
        <v>0</v>
      </c>
      <c r="R25" s="407"/>
      <c r="S25" s="406">
        <v>0</v>
      </c>
      <c r="T25" s="407"/>
      <c r="U25" s="406">
        <v>0</v>
      </c>
      <c r="V25" s="407"/>
      <c r="W25" s="406">
        <v>0</v>
      </c>
      <c r="X25" s="407"/>
      <c r="Y25" s="408">
        <v>0</v>
      </c>
      <c r="Z25" s="407"/>
      <c r="AA25" s="408">
        <v>0</v>
      </c>
      <c r="AB25" s="409"/>
      <c r="AC25" s="410"/>
      <c r="AD25" s="363"/>
      <c r="AE25" s="411"/>
      <c r="AF25" s="365">
        <f t="shared" si="2"/>
        <v>0</v>
      </c>
      <c r="AG25" s="318"/>
    </row>
    <row r="26" spans="1:33" ht="18" customHeight="1" thickTop="1" x14ac:dyDescent="0.2">
      <c r="A26" s="127" t="s">
        <v>44</v>
      </c>
      <c r="B26" s="128" t="s">
        <v>15</v>
      </c>
      <c r="C26" s="129" t="s">
        <v>16</v>
      </c>
      <c r="D26" s="130" t="s">
        <v>15</v>
      </c>
      <c r="E26" s="131" t="s">
        <v>16</v>
      </c>
      <c r="F26" s="220" t="s">
        <v>15</v>
      </c>
      <c r="G26" s="221" t="s">
        <v>16</v>
      </c>
      <c r="H26" s="222" t="s">
        <v>15</v>
      </c>
      <c r="I26" s="223" t="s">
        <v>16</v>
      </c>
      <c r="J26" s="272" t="s">
        <v>15</v>
      </c>
      <c r="K26" s="273" t="s">
        <v>16</v>
      </c>
      <c r="L26" s="272" t="s">
        <v>15</v>
      </c>
      <c r="M26" s="273" t="s">
        <v>16</v>
      </c>
      <c r="N26" s="412" t="s">
        <v>15</v>
      </c>
      <c r="O26" s="413" t="s">
        <v>16</v>
      </c>
      <c r="P26" s="412" t="s">
        <v>15</v>
      </c>
      <c r="Q26" s="413" t="s">
        <v>16</v>
      </c>
      <c r="R26" s="412" t="s">
        <v>15</v>
      </c>
      <c r="S26" s="413" t="s">
        <v>16</v>
      </c>
      <c r="T26" s="412" t="s">
        <v>15</v>
      </c>
      <c r="U26" s="413" t="s">
        <v>16</v>
      </c>
      <c r="V26" s="412" t="s">
        <v>15</v>
      </c>
      <c r="W26" s="413" t="s">
        <v>16</v>
      </c>
      <c r="X26" s="412" t="s">
        <v>15</v>
      </c>
      <c r="Y26" s="413" t="s">
        <v>16</v>
      </c>
      <c r="Z26" s="412" t="s">
        <v>15</v>
      </c>
      <c r="AA26" s="413" t="s">
        <v>16</v>
      </c>
      <c r="AB26" s="414" t="s">
        <v>15</v>
      </c>
      <c r="AC26" s="415" t="s">
        <v>16</v>
      </c>
      <c r="AD26" s="416"/>
      <c r="AE26" s="417" t="s">
        <v>15</v>
      </c>
      <c r="AF26" s="418" t="s">
        <v>16</v>
      </c>
      <c r="AG26" s="251" t="s">
        <v>45</v>
      </c>
    </row>
    <row r="27" spans="1:33" ht="15" customHeight="1" x14ac:dyDescent="0.2">
      <c r="A27" s="77" t="s">
        <v>42</v>
      </c>
      <c r="B27" s="79">
        <v>5</v>
      </c>
      <c r="C27" s="69">
        <v>147479</v>
      </c>
      <c r="D27" s="101">
        <v>5</v>
      </c>
      <c r="E27" s="70">
        <v>93296</v>
      </c>
      <c r="F27" s="102">
        <v>7</v>
      </c>
      <c r="G27" s="71">
        <v>106051</v>
      </c>
      <c r="H27" s="103">
        <v>7</v>
      </c>
      <c r="I27" s="73">
        <v>99996</v>
      </c>
      <c r="J27" s="99">
        <v>1</v>
      </c>
      <c r="K27" s="248">
        <v>117495</v>
      </c>
      <c r="L27" s="99">
        <v>3</v>
      </c>
      <c r="M27" s="248">
        <v>299883</v>
      </c>
      <c r="N27" s="419">
        <v>5</v>
      </c>
      <c r="O27" s="420">
        <v>1229720</v>
      </c>
      <c r="P27" s="419">
        <v>4</v>
      </c>
      <c r="Q27" s="420">
        <v>1707943</v>
      </c>
      <c r="R27" s="419">
        <v>1</v>
      </c>
      <c r="S27" s="420">
        <v>8760</v>
      </c>
      <c r="T27" s="419">
        <v>5</v>
      </c>
      <c r="U27" s="420">
        <v>1496212</v>
      </c>
      <c r="V27" s="419">
        <v>2</v>
      </c>
      <c r="W27" s="420">
        <v>1991</v>
      </c>
      <c r="X27" s="419">
        <v>9</v>
      </c>
      <c r="Y27" s="420">
        <v>699372</v>
      </c>
      <c r="Z27" s="419">
        <v>4</v>
      </c>
      <c r="AA27" s="420">
        <v>6868</v>
      </c>
      <c r="AB27" s="421"/>
      <c r="AC27" s="422"/>
      <c r="AD27" s="363"/>
      <c r="AE27" s="259">
        <f>AVERAGE(T27,R27,Z27,X27,V27)</f>
        <v>4.2</v>
      </c>
      <c r="AF27" s="423">
        <f t="shared" ref="AF27:AF28" si="4">AVERAGE(U27,AA27,S27,W27,Y27)</f>
        <v>442640.6</v>
      </c>
      <c r="AG27" s="324">
        <f t="shared" ref="AG27:AG28" si="5">+(AA27-S27)/S27</f>
        <v>-0.21598173515981736</v>
      </c>
    </row>
    <row r="28" spans="1:33" ht="15" customHeight="1" thickBot="1" x14ac:dyDescent="0.25">
      <c r="A28" s="78" t="s">
        <v>43</v>
      </c>
      <c r="B28" s="144">
        <v>16</v>
      </c>
      <c r="C28" s="141">
        <v>11998</v>
      </c>
      <c r="D28" s="134">
        <v>6</v>
      </c>
      <c r="E28" s="145">
        <v>372072</v>
      </c>
      <c r="F28" s="135">
        <v>21</v>
      </c>
      <c r="G28" s="138">
        <v>6665</v>
      </c>
      <c r="H28" s="136">
        <v>12</v>
      </c>
      <c r="I28" s="137">
        <v>331981</v>
      </c>
      <c r="J28" s="249">
        <v>1</v>
      </c>
      <c r="K28" s="250">
        <v>3500</v>
      </c>
      <c r="L28" s="249">
        <v>3</v>
      </c>
      <c r="M28" s="250">
        <v>218058</v>
      </c>
      <c r="N28" s="424">
        <v>4</v>
      </c>
      <c r="O28" s="425">
        <v>15204</v>
      </c>
      <c r="P28" s="424">
        <v>4</v>
      </c>
      <c r="Q28" s="425">
        <v>2282480</v>
      </c>
      <c r="R28" s="424">
        <v>2</v>
      </c>
      <c r="S28" s="425">
        <v>145168</v>
      </c>
      <c r="T28" s="424">
        <v>1</v>
      </c>
      <c r="U28" s="425">
        <v>500000</v>
      </c>
      <c r="V28" s="424">
        <v>4</v>
      </c>
      <c r="W28" s="425">
        <v>827642</v>
      </c>
      <c r="X28" s="424">
        <v>4</v>
      </c>
      <c r="Y28" s="425">
        <v>648372</v>
      </c>
      <c r="Z28" s="424">
        <v>3</v>
      </c>
      <c r="AA28" s="425">
        <v>865776</v>
      </c>
      <c r="AB28" s="426"/>
      <c r="AC28" s="427"/>
      <c r="AD28" s="363"/>
      <c r="AE28" s="259">
        <f>AVERAGE(T28,R28,Z28,X28,V28)</f>
        <v>2.8</v>
      </c>
      <c r="AF28" s="428">
        <f t="shared" si="4"/>
        <v>597391.6</v>
      </c>
      <c r="AG28" s="324">
        <f t="shared" si="5"/>
        <v>4.9639589992284803</v>
      </c>
    </row>
    <row r="29" spans="1:33" ht="18" customHeight="1" thickTop="1" thickBot="1" x14ac:dyDescent="0.25">
      <c r="A29" s="127" t="s">
        <v>12</v>
      </c>
      <c r="B29" s="505"/>
      <c r="C29" s="506"/>
      <c r="D29" s="517"/>
      <c r="E29" s="517"/>
      <c r="F29" s="489"/>
      <c r="G29" s="490"/>
      <c r="H29" s="519"/>
      <c r="I29" s="520"/>
      <c r="J29" s="519"/>
      <c r="K29" s="520"/>
      <c r="L29" s="519"/>
      <c r="M29" s="527"/>
      <c r="N29" s="493"/>
      <c r="O29" s="494"/>
      <c r="P29" s="493"/>
      <c r="Q29" s="494"/>
      <c r="R29" s="493"/>
      <c r="S29" s="494"/>
      <c r="T29" s="493"/>
      <c r="U29" s="494"/>
      <c r="V29" s="493"/>
      <c r="W29" s="494"/>
      <c r="X29" s="493"/>
      <c r="Y29" s="494"/>
      <c r="Z29" s="493"/>
      <c r="AA29" s="494"/>
      <c r="AB29" s="493"/>
      <c r="AC29" s="504"/>
      <c r="AD29" s="363"/>
      <c r="AE29" s="497"/>
      <c r="AF29" s="498"/>
      <c r="AG29" s="325"/>
    </row>
    <row r="30" spans="1:33" ht="15" customHeight="1" x14ac:dyDescent="0.2">
      <c r="A30" s="77" t="s">
        <v>13</v>
      </c>
      <c r="B30" s="24"/>
      <c r="C30" s="46">
        <v>24622</v>
      </c>
      <c r="D30" s="9"/>
      <c r="E30" s="47">
        <v>41720</v>
      </c>
      <c r="F30" s="44"/>
      <c r="G30" s="84">
        <v>33986.5</v>
      </c>
      <c r="H30" s="80"/>
      <c r="I30" s="83">
        <v>1113147.1200000001</v>
      </c>
      <c r="J30" s="81"/>
      <c r="K30" s="96">
        <v>130794.07</v>
      </c>
      <c r="L30" s="81"/>
      <c r="M30" s="107">
        <v>1891029</v>
      </c>
      <c r="N30" s="429"/>
      <c r="O30" s="430">
        <v>167641</v>
      </c>
      <c r="P30" s="431"/>
      <c r="Q30" s="430">
        <v>193065.85</v>
      </c>
      <c r="R30" s="431"/>
      <c r="S30" s="430">
        <v>184275.78</v>
      </c>
      <c r="T30" s="431"/>
      <c r="U30" s="430">
        <v>527144.19999999995</v>
      </c>
      <c r="V30" s="431"/>
      <c r="W30" s="430">
        <v>230124.35</v>
      </c>
      <c r="X30" s="431"/>
      <c r="Y30" s="430">
        <v>134301</v>
      </c>
      <c r="Z30" s="431"/>
      <c r="AA30" s="430">
        <v>89405</v>
      </c>
      <c r="AB30" s="431"/>
      <c r="AC30" s="432"/>
      <c r="AD30" s="363"/>
      <c r="AE30" s="364"/>
      <c r="AF30" s="423">
        <f t="shared" ref="AF30:AF31" si="6">AVERAGE(U30,AA30,S30,W30,Y30)</f>
        <v>233050.06600000002</v>
      </c>
      <c r="AG30" s="324">
        <f t="shared" ref="AG30" si="7">+(AA30-S30)/S30</f>
        <v>-0.51483043512283599</v>
      </c>
    </row>
    <row r="31" spans="1:33" ht="15" customHeight="1" thickBot="1" x14ac:dyDescent="0.25">
      <c r="A31" s="78" t="s">
        <v>14</v>
      </c>
      <c r="B31" s="29"/>
      <c r="C31" s="33">
        <v>0</v>
      </c>
      <c r="D31" s="12"/>
      <c r="E31" s="40">
        <v>0</v>
      </c>
      <c r="F31" s="50"/>
      <c r="G31" s="65">
        <v>0</v>
      </c>
      <c r="H31" s="50"/>
      <c r="I31" s="65">
        <v>0</v>
      </c>
      <c r="J31" s="50"/>
      <c r="K31" s="65">
        <v>0</v>
      </c>
      <c r="L31" s="50"/>
      <c r="M31" s="66">
        <v>0</v>
      </c>
      <c r="N31" s="433"/>
      <c r="O31" s="434">
        <v>0</v>
      </c>
      <c r="P31" s="435"/>
      <c r="Q31" s="434">
        <v>0</v>
      </c>
      <c r="R31" s="435"/>
      <c r="S31" s="434">
        <v>0</v>
      </c>
      <c r="T31" s="435"/>
      <c r="U31" s="434">
        <v>0</v>
      </c>
      <c r="V31" s="435"/>
      <c r="W31" s="434">
        <v>0</v>
      </c>
      <c r="X31" s="435"/>
      <c r="Y31" s="434">
        <v>0</v>
      </c>
      <c r="Z31" s="435"/>
      <c r="AA31" s="434">
        <v>0</v>
      </c>
      <c r="AB31" s="435"/>
      <c r="AC31" s="436"/>
      <c r="AD31" s="363"/>
      <c r="AE31" s="411"/>
      <c r="AF31" s="437">
        <f t="shared" si="6"/>
        <v>0</v>
      </c>
      <c r="AG31" s="230"/>
    </row>
    <row r="32" spans="1:33" thickTop="1" x14ac:dyDescent="0.2">
      <c r="A32" s="13"/>
      <c r="B32" s="14"/>
      <c r="C32" s="15"/>
      <c r="D32" s="14"/>
      <c r="E32" s="16"/>
      <c r="F32" s="41"/>
      <c r="G32" s="42"/>
      <c r="H32" s="41"/>
      <c r="I32" s="42"/>
      <c r="J32" s="41"/>
      <c r="K32" s="42"/>
      <c r="L32" s="41"/>
      <c r="M32" s="42"/>
      <c r="N32" s="373"/>
      <c r="O32" s="438"/>
      <c r="P32" s="373"/>
      <c r="Q32" s="438"/>
      <c r="R32" s="373"/>
      <c r="S32" s="438"/>
      <c r="T32" s="373"/>
      <c r="U32" s="438"/>
      <c r="V32" s="373"/>
      <c r="W32" s="438"/>
      <c r="X32" s="373"/>
      <c r="Y32" s="438"/>
      <c r="Z32" s="373"/>
      <c r="AA32" s="438"/>
      <c r="AB32" s="373"/>
      <c r="AC32" s="438"/>
      <c r="AD32" s="439"/>
      <c r="AE32" s="439"/>
      <c r="AF32" s="439"/>
    </row>
    <row r="33" spans="1:32" x14ac:dyDescent="0.2">
      <c r="A33" s="310" t="s">
        <v>48</v>
      </c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</row>
  </sheetData>
  <mergeCells count="40">
    <mergeCell ref="H29:I29"/>
    <mergeCell ref="H9:I9"/>
    <mergeCell ref="P9:Q9"/>
    <mergeCell ref="L9:M9"/>
    <mergeCell ref="J9:K9"/>
    <mergeCell ref="H22:I22"/>
    <mergeCell ref="J22:K22"/>
    <mergeCell ref="L22:M22"/>
    <mergeCell ref="J29:K29"/>
    <mergeCell ref="L29:M29"/>
    <mergeCell ref="N29:O29"/>
    <mergeCell ref="P29:Q29"/>
    <mergeCell ref="B29:C29"/>
    <mergeCell ref="D29:E29"/>
    <mergeCell ref="B9:C9"/>
    <mergeCell ref="D9:E9"/>
    <mergeCell ref="F9:G9"/>
    <mergeCell ref="F29:G29"/>
    <mergeCell ref="B22:C22"/>
    <mergeCell ref="D22:E22"/>
    <mergeCell ref="F22:G22"/>
    <mergeCell ref="AE9:AF9"/>
    <mergeCell ref="N9:O9"/>
    <mergeCell ref="R9:S9"/>
    <mergeCell ref="V9:W9"/>
    <mergeCell ref="AE22:AF22"/>
    <mergeCell ref="Z9:AA9"/>
    <mergeCell ref="X9:Y9"/>
    <mergeCell ref="X22:Y22"/>
    <mergeCell ref="Z22:AA22"/>
    <mergeCell ref="AB9:AC9"/>
    <mergeCell ref="AB22:AC22"/>
    <mergeCell ref="T9:U9"/>
    <mergeCell ref="R29:S29"/>
    <mergeCell ref="T29:U29"/>
    <mergeCell ref="V29:W29"/>
    <mergeCell ref="AE29:AF29"/>
    <mergeCell ref="X29:Y29"/>
    <mergeCell ref="Z29:AA29"/>
    <mergeCell ref="AB29:AC29"/>
  </mergeCells>
  <phoneticPr fontId="0" type="noConversion"/>
  <pageMargins left="0.5" right="0.5" top="0.5" bottom="0.5" header="0.5" footer="0.25"/>
  <pageSetup scale="75" orientation="landscape" r:id="rId1"/>
  <headerFooter alignWithMargins="0">
    <oddFooter>&amp;L&amp;9Prepared by Planning and Analysis&amp;C&amp;9&amp;P of &amp;N&amp;R&amp;9Updated &amp;D</oddFoot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opLeftCell="A16" zoomScaleNormal="100" zoomScaleSheetLayoutView="85" workbookViewId="0">
      <pane xSplit="1" topLeftCell="B1" activePane="topRight" state="frozen"/>
      <selection activeCell="AA26" sqref="AA26"/>
      <selection pane="topRight" activeCell="AA26" sqref="AA26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36" hidden="1" customWidth="1"/>
    <col min="7" max="7" width="10.7109375" style="36" hidden="1" customWidth="1"/>
    <col min="8" max="8" width="4.7109375" style="36" hidden="1" customWidth="1"/>
    <col min="9" max="9" width="10.7109375" style="36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0.7109375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570312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5.75" x14ac:dyDescent="0.25">
      <c r="A1" s="169" t="s">
        <v>37</v>
      </c>
    </row>
    <row r="2" spans="1:33" ht="15.75" x14ac:dyDescent="0.25">
      <c r="A2" s="169" t="s">
        <v>38</v>
      </c>
    </row>
    <row r="3" spans="1:33" ht="5.25" customHeight="1" x14ac:dyDescent="0.25">
      <c r="A3" s="169"/>
    </row>
    <row r="4" spans="1:33" ht="15.75" x14ac:dyDescent="0.25">
      <c r="A4" s="170" t="s">
        <v>39</v>
      </c>
    </row>
    <row r="5" spans="1:33" ht="6" customHeight="1" x14ac:dyDescent="0.25">
      <c r="A5" s="170"/>
    </row>
    <row r="6" spans="1:33" x14ac:dyDescent="0.2">
      <c r="A6" s="2" t="s">
        <v>51</v>
      </c>
      <c r="B6" s="1"/>
      <c r="C6" s="1"/>
      <c r="D6" s="1"/>
      <c r="E6" s="1"/>
      <c r="F6" s="18"/>
      <c r="G6" s="18"/>
      <c r="H6" s="18"/>
      <c r="I6" s="18"/>
    </row>
    <row r="7" spans="1:33" x14ac:dyDescent="0.2">
      <c r="A7" s="247">
        <v>3670055040</v>
      </c>
      <c r="B7" s="1"/>
      <c r="C7" s="1"/>
      <c r="D7" s="1"/>
      <c r="E7" s="1"/>
      <c r="F7" s="18"/>
      <c r="G7" s="18"/>
      <c r="H7" s="18"/>
      <c r="I7" s="18"/>
    </row>
    <row r="8" spans="1:33" ht="13.5" thickBot="1" x14ac:dyDescent="0.25">
      <c r="A8" s="17"/>
      <c r="B8" s="3"/>
      <c r="C8" s="3"/>
      <c r="D8" s="3"/>
      <c r="E8" s="3"/>
      <c r="F8" s="37"/>
      <c r="G8" s="37"/>
      <c r="H8" s="37"/>
      <c r="I8" s="37"/>
      <c r="J8" s="37"/>
      <c r="K8" s="37"/>
      <c r="L8" s="37"/>
      <c r="M8" s="37"/>
    </row>
    <row r="9" spans="1:33" ht="30" customHeight="1" thickTop="1" thickBot="1" x14ac:dyDescent="0.25">
      <c r="A9" s="75"/>
      <c r="B9" s="505" t="s">
        <v>3</v>
      </c>
      <c r="C9" s="506"/>
      <c r="D9" s="517" t="s">
        <v>4</v>
      </c>
      <c r="E9" s="517"/>
      <c r="F9" s="489" t="s">
        <v>17</v>
      </c>
      <c r="G9" s="490"/>
      <c r="H9" s="489" t="s">
        <v>19</v>
      </c>
      <c r="I9" s="491"/>
      <c r="J9" s="489" t="s">
        <v>20</v>
      </c>
      <c r="K9" s="491"/>
      <c r="L9" s="489" t="s">
        <v>22</v>
      </c>
      <c r="M9" s="491"/>
      <c r="N9" s="491" t="s">
        <v>24</v>
      </c>
      <c r="O9" s="490"/>
      <c r="P9" s="491" t="s">
        <v>25</v>
      </c>
      <c r="Q9" s="490"/>
      <c r="R9" s="491" t="s">
        <v>28</v>
      </c>
      <c r="S9" s="490"/>
      <c r="T9" s="491" t="s">
        <v>30</v>
      </c>
      <c r="U9" s="490"/>
      <c r="V9" s="491" t="s">
        <v>33</v>
      </c>
      <c r="W9" s="490"/>
      <c r="X9" s="491" t="s">
        <v>34</v>
      </c>
      <c r="Y9" s="490"/>
      <c r="Z9" s="491" t="s">
        <v>35</v>
      </c>
      <c r="AA9" s="490"/>
      <c r="AB9" s="491" t="s">
        <v>52</v>
      </c>
      <c r="AC9" s="492"/>
      <c r="AE9" s="487" t="s">
        <v>23</v>
      </c>
      <c r="AF9" s="488"/>
      <c r="AG9" s="181" t="s">
        <v>40</v>
      </c>
    </row>
    <row r="10" spans="1:33" ht="18" customHeight="1" x14ac:dyDescent="0.2">
      <c r="A10" s="180" t="s">
        <v>5</v>
      </c>
      <c r="B10" s="187"/>
      <c r="C10" s="187"/>
      <c r="D10" s="187"/>
      <c r="E10" s="187"/>
      <c r="F10" s="214"/>
      <c r="G10" s="215"/>
      <c r="H10" s="209"/>
      <c r="I10" s="209"/>
      <c r="J10" s="214"/>
      <c r="K10" s="209"/>
      <c r="L10" s="214"/>
      <c r="M10" s="275"/>
      <c r="N10" s="352"/>
      <c r="O10" s="354"/>
      <c r="P10" s="352"/>
      <c r="Q10" s="354"/>
      <c r="R10" s="352"/>
      <c r="S10" s="354"/>
      <c r="T10" s="352"/>
      <c r="U10" s="354"/>
      <c r="V10" s="352"/>
      <c r="W10" s="354"/>
      <c r="X10" s="352"/>
      <c r="Y10" s="354"/>
      <c r="Z10" s="352"/>
      <c r="AA10" s="354"/>
      <c r="AB10" s="352"/>
      <c r="AC10" s="353"/>
      <c r="AE10" s="225"/>
      <c r="AF10" s="355"/>
      <c r="AG10" s="182"/>
    </row>
    <row r="11" spans="1:33" ht="15" customHeight="1" x14ac:dyDescent="0.2">
      <c r="A11" s="111" t="s">
        <v>6</v>
      </c>
      <c r="B11" s="4"/>
      <c r="C11" s="4"/>
      <c r="D11" s="19"/>
      <c r="E11" s="4"/>
      <c r="F11" s="43"/>
      <c r="G11" s="62"/>
      <c r="H11" s="56"/>
      <c r="I11" s="56"/>
      <c r="J11" s="43"/>
      <c r="K11" s="56"/>
      <c r="L11" s="43"/>
      <c r="M11" s="62"/>
      <c r="N11" s="359"/>
      <c r="O11" s="360"/>
      <c r="P11" s="361"/>
      <c r="Q11" s="360"/>
      <c r="R11" s="361"/>
      <c r="S11" s="360"/>
      <c r="T11" s="361"/>
      <c r="U11" s="360"/>
      <c r="V11" s="361"/>
      <c r="W11" s="360"/>
      <c r="X11" s="361"/>
      <c r="Y11" s="360"/>
      <c r="Z11" s="361"/>
      <c r="AA11" s="360"/>
      <c r="AB11" s="361"/>
      <c r="AC11" s="362"/>
      <c r="AD11" s="363"/>
      <c r="AE11" s="364"/>
      <c r="AF11" s="365"/>
      <c r="AG11" s="63"/>
    </row>
    <row r="12" spans="1:33" ht="15" customHeight="1" x14ac:dyDescent="0.2">
      <c r="A12" s="77" t="s">
        <v>7</v>
      </c>
      <c r="B12" s="4"/>
      <c r="C12" s="4"/>
      <c r="D12" s="19"/>
      <c r="E12" s="4"/>
      <c r="F12" s="56"/>
      <c r="G12" s="61">
        <v>894569</v>
      </c>
      <c r="H12" s="56"/>
      <c r="I12" s="64">
        <v>942384</v>
      </c>
      <c r="J12" s="43"/>
      <c r="K12" s="64">
        <v>1086484</v>
      </c>
      <c r="L12" s="43"/>
      <c r="M12" s="60">
        <v>1153832</v>
      </c>
      <c r="N12" s="366"/>
      <c r="O12" s="367">
        <v>1121288</v>
      </c>
      <c r="P12" s="368"/>
      <c r="Q12" s="367">
        <v>1164432</v>
      </c>
      <c r="R12" s="368"/>
      <c r="S12" s="367">
        <v>1173616</v>
      </c>
      <c r="T12" s="368"/>
      <c r="U12" s="367">
        <v>1212442</v>
      </c>
      <c r="V12" s="368"/>
      <c r="W12" s="367">
        <v>1272198</v>
      </c>
      <c r="X12" s="368"/>
      <c r="Y12" s="367">
        <v>1444047</v>
      </c>
      <c r="Z12" s="368"/>
      <c r="AA12" s="367">
        <v>1454682</v>
      </c>
      <c r="AB12" s="368"/>
      <c r="AC12" s="369">
        <f>1747575</f>
        <v>1747575</v>
      </c>
      <c r="AD12" s="363"/>
      <c r="AE12" s="364"/>
      <c r="AF12" s="365">
        <f>AVERAGE(W12,U12,Y12,AC12,AA12)</f>
        <v>1426188.8</v>
      </c>
      <c r="AG12" s="318">
        <f>+(AC12-U12)/U12</f>
        <v>0.44136791698077105</v>
      </c>
    </row>
    <row r="13" spans="1:33" ht="15" customHeight="1" x14ac:dyDescent="0.2">
      <c r="A13" s="77" t="s">
        <v>26</v>
      </c>
      <c r="B13" s="4"/>
      <c r="C13" s="30">
        <v>838992</v>
      </c>
      <c r="D13" s="43"/>
      <c r="E13" s="60">
        <v>858079</v>
      </c>
      <c r="F13" s="56"/>
      <c r="G13" s="61"/>
      <c r="H13" s="56"/>
      <c r="I13" s="64"/>
      <c r="J13" s="43"/>
      <c r="K13" s="64"/>
      <c r="L13" s="43"/>
      <c r="M13" s="60"/>
      <c r="N13" s="366"/>
      <c r="O13" s="367"/>
      <c r="P13" s="368"/>
      <c r="Q13" s="367"/>
      <c r="R13" s="368"/>
      <c r="S13" s="367"/>
      <c r="T13" s="368"/>
      <c r="U13" s="367"/>
      <c r="V13" s="368"/>
      <c r="W13" s="367"/>
      <c r="X13" s="368"/>
      <c r="Y13" s="367"/>
      <c r="Z13" s="368"/>
      <c r="AA13" s="367"/>
      <c r="AB13" s="368"/>
      <c r="AC13" s="369"/>
      <c r="AD13" s="363"/>
      <c r="AE13" s="370"/>
      <c r="AF13" s="365"/>
      <c r="AG13" s="319"/>
    </row>
    <row r="14" spans="1:33" ht="30" customHeight="1" thickBot="1" x14ac:dyDescent="0.25">
      <c r="A14" s="206" t="s">
        <v>27</v>
      </c>
      <c r="B14" s="165"/>
      <c r="C14" s="193">
        <v>382073</v>
      </c>
      <c r="D14" s="194"/>
      <c r="E14" s="195">
        <v>604447</v>
      </c>
      <c r="F14" s="196"/>
      <c r="G14" s="195">
        <v>607548</v>
      </c>
      <c r="H14" s="196"/>
      <c r="I14" s="197">
        <v>640625</v>
      </c>
      <c r="J14" s="194"/>
      <c r="K14" s="197">
        <v>687025</v>
      </c>
      <c r="L14" s="194"/>
      <c r="M14" s="195">
        <v>658166</v>
      </c>
      <c r="N14" s="371"/>
      <c r="O14" s="372">
        <v>697174</v>
      </c>
      <c r="P14" s="373"/>
      <c r="Q14" s="372">
        <v>704369</v>
      </c>
      <c r="R14" s="373"/>
      <c r="S14" s="372">
        <v>711728</v>
      </c>
      <c r="T14" s="373"/>
      <c r="U14" s="372">
        <v>686630</v>
      </c>
      <c r="V14" s="373"/>
      <c r="W14" s="372">
        <v>751723</v>
      </c>
      <c r="X14" s="373"/>
      <c r="Y14" s="372">
        <v>802804</v>
      </c>
      <c r="Z14" s="373"/>
      <c r="AA14" s="372">
        <v>893559</v>
      </c>
      <c r="AB14" s="373"/>
      <c r="AC14" s="374">
        <f>1321357</f>
        <v>1321357</v>
      </c>
      <c r="AD14" s="363"/>
      <c r="AE14" s="375"/>
      <c r="AF14" s="376">
        <f t="shared" ref="AF14:AF20" si="0">AVERAGE(W14,U14,Y14,AC14,AA14)</f>
        <v>891214.6</v>
      </c>
      <c r="AG14" s="318">
        <f t="shared" ref="AG14:AG19" si="1">+(AC14-U14)/U14</f>
        <v>0.92440907038725373</v>
      </c>
    </row>
    <row r="15" spans="1:33" ht="18.75" customHeight="1" thickBot="1" x14ac:dyDescent="0.25">
      <c r="A15" s="213" t="s">
        <v>8</v>
      </c>
      <c r="B15" s="200"/>
      <c r="C15" s="201">
        <f>SUM(C13:C14)</f>
        <v>1221065</v>
      </c>
      <c r="D15" s="202"/>
      <c r="E15" s="199">
        <f>SUM(E13:E14)</f>
        <v>1462526</v>
      </c>
      <c r="F15" s="204"/>
      <c r="G15" s="203">
        <f>SUM(G12:G14)</f>
        <v>1502117</v>
      </c>
      <c r="H15" s="204"/>
      <c r="I15" s="205">
        <f>SUM(I12:I14)</f>
        <v>1583009</v>
      </c>
      <c r="J15" s="202"/>
      <c r="K15" s="205">
        <f>SUM(K12:K14)</f>
        <v>1773509</v>
      </c>
      <c r="L15" s="202"/>
      <c r="M15" s="203">
        <f>SUM(M12:M14)</f>
        <v>1811998</v>
      </c>
      <c r="N15" s="377"/>
      <c r="O15" s="378">
        <f>SUM(O12:O14)</f>
        <v>1818462</v>
      </c>
      <c r="P15" s="379"/>
      <c r="Q15" s="378">
        <f>SUM(Q12:Q14)</f>
        <v>1868801</v>
      </c>
      <c r="R15" s="379"/>
      <c r="S15" s="378">
        <f>SUM(S12:S14)</f>
        <v>1885344</v>
      </c>
      <c r="T15" s="379"/>
      <c r="U15" s="378">
        <f>SUM(U12:U14)</f>
        <v>1899072</v>
      </c>
      <c r="V15" s="379"/>
      <c r="W15" s="378">
        <f>SUM(W12:W14)</f>
        <v>2023921</v>
      </c>
      <c r="X15" s="379"/>
      <c r="Y15" s="378">
        <f>SUM(Y12:Y14)</f>
        <v>2246851</v>
      </c>
      <c r="Z15" s="379"/>
      <c r="AA15" s="378">
        <f>SUM(AA12:AA14)</f>
        <v>2348241</v>
      </c>
      <c r="AB15" s="379"/>
      <c r="AC15" s="380">
        <f>SUM(AC12:AC14)</f>
        <v>3068932</v>
      </c>
      <c r="AD15" s="363"/>
      <c r="AE15" s="381"/>
      <c r="AF15" s="382">
        <f t="shared" si="0"/>
        <v>2317403.4</v>
      </c>
      <c r="AG15" s="320">
        <f t="shared" si="1"/>
        <v>0.6160166649816331</v>
      </c>
    </row>
    <row r="16" spans="1:33" ht="15" customHeight="1" x14ac:dyDescent="0.2">
      <c r="A16" s="111" t="s">
        <v>9</v>
      </c>
      <c r="B16" s="4"/>
      <c r="C16" s="30"/>
      <c r="D16" s="43"/>
      <c r="E16" s="60"/>
      <c r="F16" s="56"/>
      <c r="G16" s="60"/>
      <c r="H16" s="56"/>
      <c r="I16" s="64"/>
      <c r="J16" s="43"/>
      <c r="K16" s="64"/>
      <c r="L16" s="43"/>
      <c r="M16" s="60"/>
      <c r="N16" s="359"/>
      <c r="O16" s="383"/>
      <c r="P16" s="361"/>
      <c r="Q16" s="383"/>
      <c r="R16" s="361"/>
      <c r="S16" s="383"/>
      <c r="T16" s="361"/>
      <c r="U16" s="383"/>
      <c r="V16" s="361"/>
      <c r="W16" s="383"/>
      <c r="X16" s="361"/>
      <c r="Y16" s="383"/>
      <c r="Z16" s="361"/>
      <c r="AA16" s="383"/>
      <c r="AB16" s="361"/>
      <c r="AC16" s="384"/>
      <c r="AD16" s="363"/>
      <c r="AE16" s="385"/>
      <c r="AF16" s="386"/>
      <c r="AG16" s="184"/>
    </row>
    <row r="17" spans="1:33" ht="15" customHeight="1" x14ac:dyDescent="0.2">
      <c r="A17" s="77" t="s">
        <v>7</v>
      </c>
      <c r="B17" s="5"/>
      <c r="C17" s="31"/>
      <c r="D17" s="38"/>
      <c r="E17" s="61"/>
      <c r="F17" s="55"/>
      <c r="G17" s="61">
        <v>576873</v>
      </c>
      <c r="H17" s="55"/>
      <c r="I17" s="51">
        <v>689584</v>
      </c>
      <c r="J17" s="38"/>
      <c r="K17" s="51">
        <v>775337</v>
      </c>
      <c r="L17" s="38"/>
      <c r="M17" s="61">
        <v>793050</v>
      </c>
      <c r="N17" s="366"/>
      <c r="O17" s="367">
        <v>741458</v>
      </c>
      <c r="P17" s="368"/>
      <c r="Q17" s="367">
        <v>750768</v>
      </c>
      <c r="R17" s="368"/>
      <c r="S17" s="367">
        <v>765389</v>
      </c>
      <c r="T17" s="368"/>
      <c r="U17" s="367">
        <v>788981</v>
      </c>
      <c r="V17" s="368"/>
      <c r="W17" s="367">
        <v>797386</v>
      </c>
      <c r="X17" s="368"/>
      <c r="Y17" s="367">
        <v>822526</v>
      </c>
      <c r="Z17" s="368"/>
      <c r="AA17" s="367">
        <f>822941+12858</f>
        <v>835799</v>
      </c>
      <c r="AB17" s="368"/>
      <c r="AC17" s="369">
        <f>720238+12718</f>
        <v>732956</v>
      </c>
      <c r="AD17" s="363"/>
      <c r="AE17" s="364"/>
      <c r="AF17" s="365">
        <f t="shared" si="0"/>
        <v>795529.6</v>
      </c>
      <c r="AG17" s="318">
        <f t="shared" si="1"/>
        <v>-7.1009314546231148E-2</v>
      </c>
    </row>
    <row r="18" spans="1:33" ht="15" customHeight="1" x14ac:dyDescent="0.2">
      <c r="A18" s="77" t="s">
        <v>26</v>
      </c>
      <c r="B18" s="5"/>
      <c r="C18" s="31">
        <v>617083</v>
      </c>
      <c r="D18" s="38"/>
      <c r="E18" s="61">
        <v>553182</v>
      </c>
      <c r="F18" s="55"/>
      <c r="G18" s="61"/>
      <c r="H18" s="55"/>
      <c r="I18" s="51"/>
      <c r="J18" s="38"/>
      <c r="K18" s="51"/>
      <c r="L18" s="38"/>
      <c r="M18" s="61"/>
      <c r="N18" s="366"/>
      <c r="O18" s="367"/>
      <c r="P18" s="368"/>
      <c r="Q18" s="367"/>
      <c r="R18" s="368"/>
      <c r="S18" s="367"/>
      <c r="T18" s="368"/>
      <c r="U18" s="367"/>
      <c r="V18" s="368"/>
      <c r="W18" s="367"/>
      <c r="X18" s="368"/>
      <c r="Y18" s="367"/>
      <c r="Z18" s="368"/>
      <c r="AA18" s="367"/>
      <c r="AB18" s="368"/>
      <c r="AC18" s="369"/>
      <c r="AD18" s="363"/>
      <c r="AE18" s="370"/>
      <c r="AF18" s="365"/>
      <c r="AG18" s="318"/>
    </row>
    <row r="19" spans="1:33" ht="30" customHeight="1" thickBot="1" x14ac:dyDescent="0.25">
      <c r="A19" s="206" t="s">
        <v>27</v>
      </c>
      <c r="B19" s="165"/>
      <c r="C19" s="193">
        <v>20263</v>
      </c>
      <c r="D19" s="194"/>
      <c r="E19" s="195">
        <v>275665</v>
      </c>
      <c r="F19" s="196"/>
      <c r="G19" s="195">
        <v>275092</v>
      </c>
      <c r="H19" s="196"/>
      <c r="I19" s="197">
        <v>277270</v>
      </c>
      <c r="J19" s="194"/>
      <c r="K19" s="197">
        <v>319150</v>
      </c>
      <c r="L19" s="194"/>
      <c r="M19" s="195">
        <v>321461</v>
      </c>
      <c r="N19" s="371"/>
      <c r="O19" s="372">
        <v>343677</v>
      </c>
      <c r="P19" s="373"/>
      <c r="Q19" s="372">
        <v>343036</v>
      </c>
      <c r="R19" s="373"/>
      <c r="S19" s="372">
        <v>344139</v>
      </c>
      <c r="T19" s="373"/>
      <c r="U19" s="372">
        <v>345714</v>
      </c>
      <c r="V19" s="373"/>
      <c r="W19" s="372">
        <v>475774</v>
      </c>
      <c r="X19" s="373"/>
      <c r="Y19" s="372">
        <v>480605</v>
      </c>
      <c r="Z19" s="373"/>
      <c r="AA19" s="372">
        <f>3102593+532724</f>
        <v>3635317</v>
      </c>
      <c r="AB19" s="373"/>
      <c r="AC19" s="374">
        <f>595406+3169845</f>
        <v>3765251</v>
      </c>
      <c r="AD19" s="363"/>
      <c r="AE19" s="375"/>
      <c r="AF19" s="365">
        <f t="shared" si="0"/>
        <v>1740532.2</v>
      </c>
      <c r="AG19" s="318">
        <f t="shared" si="1"/>
        <v>9.8912309018437199</v>
      </c>
    </row>
    <row r="20" spans="1:33" ht="18.75" customHeight="1" thickBot="1" x14ac:dyDescent="0.25">
      <c r="A20" s="213" t="s">
        <v>10</v>
      </c>
      <c r="B20" s="198"/>
      <c r="C20" s="199">
        <f>SUM(C18:C19)</f>
        <v>637346</v>
      </c>
      <c r="D20" s="200"/>
      <c r="E20" s="201">
        <f>SUM(E18:E19)</f>
        <v>828847</v>
      </c>
      <c r="F20" s="202"/>
      <c r="G20" s="199">
        <f>SUM(G17:G19)</f>
        <v>851965</v>
      </c>
      <c r="H20" s="204"/>
      <c r="I20" s="205">
        <f>SUM(I17:I19)</f>
        <v>966854</v>
      </c>
      <c r="J20" s="202"/>
      <c r="K20" s="205">
        <f>SUM(K17:K19)</f>
        <v>1094487</v>
      </c>
      <c r="L20" s="202"/>
      <c r="M20" s="203">
        <f>SUM(M17:M19)</f>
        <v>1114511</v>
      </c>
      <c r="N20" s="377"/>
      <c r="O20" s="378">
        <f>SUM(O17:O19)</f>
        <v>1085135</v>
      </c>
      <c r="P20" s="379"/>
      <c r="Q20" s="378">
        <f>SUM(Q17:Q19)</f>
        <v>1093804</v>
      </c>
      <c r="R20" s="379"/>
      <c r="S20" s="378">
        <f>SUM(S17:S19)</f>
        <v>1109528</v>
      </c>
      <c r="T20" s="379"/>
      <c r="U20" s="378">
        <f>SUM(U17:U19)</f>
        <v>1134695</v>
      </c>
      <c r="V20" s="379"/>
      <c r="W20" s="378">
        <f>SUM(W17:W19)</f>
        <v>1273160</v>
      </c>
      <c r="X20" s="379"/>
      <c r="Y20" s="378">
        <f>SUM(Y17:Y19)</f>
        <v>1303131</v>
      </c>
      <c r="Z20" s="379"/>
      <c r="AA20" s="378">
        <f>SUM(AA17:AA19)</f>
        <v>4471116</v>
      </c>
      <c r="AB20" s="379"/>
      <c r="AC20" s="380">
        <f>SUM(AC17:AC19)</f>
        <v>4498207</v>
      </c>
      <c r="AD20" s="363"/>
      <c r="AE20" s="381"/>
      <c r="AF20" s="382">
        <f t="shared" si="0"/>
        <v>2536061.7999999998</v>
      </c>
      <c r="AG20" s="321">
        <f>+(AC20-U20)/U20</f>
        <v>2.9642432547953415</v>
      </c>
    </row>
    <row r="21" spans="1:33" ht="18.75" customHeight="1" thickBot="1" x14ac:dyDescent="0.25">
      <c r="A21" s="262" t="s">
        <v>11</v>
      </c>
      <c r="B21" s="263"/>
      <c r="C21" s="264">
        <f>SUM(C15,C20)</f>
        <v>1858411</v>
      </c>
      <c r="D21" s="265"/>
      <c r="E21" s="266">
        <f>SUM(E15,E20)</f>
        <v>2291373</v>
      </c>
      <c r="F21" s="267"/>
      <c r="G21" s="268">
        <f>SUM(G15,G20)</f>
        <v>2354082</v>
      </c>
      <c r="H21" s="269"/>
      <c r="I21" s="270" t="e">
        <f>SUM(I15,I20,#REF!)</f>
        <v>#REF!</v>
      </c>
      <c r="J21" s="267"/>
      <c r="K21" s="270">
        <f>SUM(K15,K20)</f>
        <v>2867996</v>
      </c>
      <c r="L21" s="267"/>
      <c r="M21" s="268">
        <f>SUM(M15,M20)</f>
        <v>2926509</v>
      </c>
      <c r="N21" s="448"/>
      <c r="O21" s="449">
        <f>SUM(O15,O20)</f>
        <v>2903597</v>
      </c>
      <c r="P21" s="450"/>
      <c r="Q21" s="449">
        <f>SUM(Q15,Q20)</f>
        <v>2962605</v>
      </c>
      <c r="R21" s="450"/>
      <c r="S21" s="449">
        <f>SUM(S15,S20)</f>
        <v>2994872</v>
      </c>
      <c r="T21" s="450"/>
      <c r="U21" s="449">
        <f>SUM(U15,U20)</f>
        <v>3033767</v>
      </c>
      <c r="V21" s="450"/>
      <c r="W21" s="449">
        <f>SUM(W15,W20)</f>
        <v>3297081</v>
      </c>
      <c r="X21" s="450"/>
      <c r="Y21" s="449">
        <f t="shared" ref="Y21" si="2">SUM(Y15,Y20)</f>
        <v>3549982</v>
      </c>
      <c r="Z21" s="450"/>
      <c r="AA21" s="449">
        <f>SUM(AA15,AA20)</f>
        <v>6819357</v>
      </c>
      <c r="AB21" s="528">
        <f>AC15+AC20</f>
        <v>7567139</v>
      </c>
      <c r="AC21" s="529">
        <f>SUM(AC15,AC20)</f>
        <v>7567139</v>
      </c>
      <c r="AD21" s="363"/>
      <c r="AE21" s="530">
        <f>AVERAGE(W21,U21,Y21,AB21,AA21)</f>
        <v>4853465.2</v>
      </c>
      <c r="AF21" s="531" t="e">
        <f t="shared" ref="AF21" si="3">+(AB21-T21)/T21</f>
        <v>#DIV/0!</v>
      </c>
      <c r="AG21" s="356">
        <f>+(AC21-U21)/U21</f>
        <v>1.4943046054624498</v>
      </c>
    </row>
    <row r="22" spans="1:33" ht="18" customHeight="1" x14ac:dyDescent="0.2">
      <c r="A22" s="210" t="s">
        <v>36</v>
      </c>
      <c r="B22" s="509"/>
      <c r="C22" s="510"/>
      <c r="D22" s="518"/>
      <c r="E22" s="518"/>
      <c r="F22" s="511"/>
      <c r="G22" s="512"/>
      <c r="H22" s="524"/>
      <c r="I22" s="525"/>
      <c r="J22" s="524"/>
      <c r="K22" s="525"/>
      <c r="L22" s="524"/>
      <c r="M22" s="526"/>
      <c r="N22" s="393"/>
      <c r="O22" s="394"/>
      <c r="P22" s="393"/>
      <c r="Q22" s="394"/>
      <c r="R22" s="393"/>
      <c r="S22" s="394"/>
      <c r="T22" s="393"/>
      <c r="U22" s="394"/>
      <c r="V22" s="393"/>
      <c r="W22" s="394"/>
      <c r="X22" s="499"/>
      <c r="Y22" s="499"/>
      <c r="Z22" s="500"/>
      <c r="AA22" s="501"/>
      <c r="AB22" s="502"/>
      <c r="AC22" s="503"/>
      <c r="AD22" s="363"/>
      <c r="AE22" s="495"/>
      <c r="AF22" s="496"/>
      <c r="AG22" s="323"/>
    </row>
    <row r="23" spans="1:33" ht="15" customHeight="1" x14ac:dyDescent="0.2">
      <c r="A23" s="77" t="s">
        <v>54</v>
      </c>
      <c r="B23" s="28"/>
      <c r="C23" s="211">
        <f>340419+536486</f>
        <v>876905</v>
      </c>
      <c r="D23" s="11"/>
      <c r="E23" s="212">
        <v>987169</v>
      </c>
      <c r="F23" s="49"/>
      <c r="G23" s="226">
        <v>1083495.8899999999</v>
      </c>
      <c r="H23" s="227"/>
      <c r="I23" s="227">
        <v>1083639.8</v>
      </c>
      <c r="J23" s="228"/>
      <c r="K23" s="227">
        <f>1128620+106864</f>
        <v>1235484</v>
      </c>
      <c r="L23" s="228"/>
      <c r="M23" s="229">
        <v>1234701</v>
      </c>
      <c r="N23" s="395"/>
      <c r="O23" s="396">
        <v>1284641</v>
      </c>
      <c r="P23" s="397"/>
      <c r="Q23" s="396">
        <v>1268193</v>
      </c>
      <c r="R23" s="397"/>
      <c r="S23" s="396">
        <v>1392865</v>
      </c>
      <c r="T23" s="397" t="s">
        <v>0</v>
      </c>
      <c r="U23" s="396">
        <v>909644</v>
      </c>
      <c r="V23" s="397" t="s">
        <v>0</v>
      </c>
      <c r="W23" s="396">
        <v>1461914.25</v>
      </c>
      <c r="X23" s="397" t="s">
        <v>0</v>
      </c>
      <c r="Y23" s="398">
        <v>1631166</v>
      </c>
      <c r="Z23" s="397" t="s">
        <v>0</v>
      </c>
      <c r="AA23" s="398">
        <v>2051975</v>
      </c>
      <c r="AB23" s="361" t="s">
        <v>0</v>
      </c>
      <c r="AC23" s="399"/>
      <c r="AD23" s="363"/>
      <c r="AE23" s="364"/>
      <c r="AF23" s="365">
        <f t="shared" ref="AF23:AF24" si="4">AVERAGE(U23,AA23,S23,W23,Y23)</f>
        <v>1489512.85</v>
      </c>
      <c r="AG23" s="318">
        <f t="shared" ref="AG23:AG24" si="5">+(AA23-S23)/S23</f>
        <v>0.47320451012840442</v>
      </c>
    </row>
    <row r="24" spans="1:33" ht="15" customHeight="1" x14ac:dyDescent="0.2">
      <c r="A24" s="77" t="s">
        <v>46</v>
      </c>
      <c r="B24" s="26"/>
      <c r="C24" s="27"/>
      <c r="D24" s="10"/>
      <c r="E24" s="48"/>
      <c r="F24" s="26"/>
      <c r="G24" s="168">
        <v>228788</v>
      </c>
      <c r="H24" s="26"/>
      <c r="I24" s="27">
        <v>1870012.7699999982</v>
      </c>
      <c r="J24" s="26"/>
      <c r="K24" s="27">
        <v>1785764.0299999996</v>
      </c>
      <c r="L24" s="26"/>
      <c r="M24" s="27">
        <v>2093831.0699999984</v>
      </c>
      <c r="N24" s="400"/>
      <c r="O24" s="401">
        <v>2237692.52</v>
      </c>
      <c r="P24" s="402"/>
      <c r="Q24" s="401">
        <v>1964902.0299999984</v>
      </c>
      <c r="R24" s="402"/>
      <c r="S24" s="401">
        <v>1797865.3500000003</v>
      </c>
      <c r="T24" s="402"/>
      <c r="U24" s="401">
        <v>1514317.72</v>
      </c>
      <c r="V24" s="402"/>
      <c r="W24" s="401">
        <v>1539324.5600000005</v>
      </c>
      <c r="X24" s="402"/>
      <c r="Y24" s="403">
        <v>1567676</v>
      </c>
      <c r="Z24" s="402"/>
      <c r="AA24" s="403">
        <v>1575030</v>
      </c>
      <c r="AB24" s="373"/>
      <c r="AC24" s="404"/>
      <c r="AD24" s="363"/>
      <c r="AE24" s="364"/>
      <c r="AF24" s="365">
        <f t="shared" si="4"/>
        <v>1598842.7260000003</v>
      </c>
      <c r="AG24" s="318">
        <f t="shared" si="5"/>
        <v>-0.12394440440158674</v>
      </c>
    </row>
    <row r="25" spans="1:33" ht="15" customHeight="1" thickBot="1" x14ac:dyDescent="0.25">
      <c r="A25" s="78" t="s">
        <v>47</v>
      </c>
      <c r="B25" s="29"/>
      <c r="C25" s="139"/>
      <c r="D25" s="12"/>
      <c r="E25" s="140"/>
      <c r="F25" s="29"/>
      <c r="G25" s="139">
        <v>1865538.2</v>
      </c>
      <c r="H25" s="29"/>
      <c r="I25" s="139">
        <v>247056.12</v>
      </c>
      <c r="J25" s="29"/>
      <c r="K25" s="139">
        <v>297088.55</v>
      </c>
      <c r="L25" s="29"/>
      <c r="M25" s="139">
        <v>285053.46999999997</v>
      </c>
      <c r="N25" s="405"/>
      <c r="O25" s="406">
        <v>284190.92</v>
      </c>
      <c r="P25" s="407"/>
      <c r="Q25" s="406">
        <v>287957.74</v>
      </c>
      <c r="R25" s="407"/>
      <c r="S25" s="406">
        <v>303003.13</v>
      </c>
      <c r="T25" s="407"/>
      <c r="U25" s="406">
        <v>478467.1</v>
      </c>
      <c r="V25" s="407"/>
      <c r="W25" s="406">
        <v>644151.80000000005</v>
      </c>
      <c r="X25" s="407"/>
      <c r="Y25" s="408">
        <v>572194</v>
      </c>
      <c r="Z25" s="407"/>
      <c r="AA25" s="408">
        <v>589328</v>
      </c>
      <c r="AB25" s="409"/>
      <c r="AC25" s="410"/>
      <c r="AD25" s="363"/>
      <c r="AE25" s="411"/>
      <c r="AF25" s="365"/>
      <c r="AG25" s="318"/>
    </row>
    <row r="26" spans="1:33" ht="18" customHeight="1" thickTop="1" x14ac:dyDescent="0.2">
      <c r="A26" s="127" t="s">
        <v>44</v>
      </c>
      <c r="B26" s="128" t="s">
        <v>15</v>
      </c>
      <c r="C26" s="129" t="s">
        <v>16</v>
      </c>
      <c r="D26" s="130" t="s">
        <v>15</v>
      </c>
      <c r="E26" s="131" t="s">
        <v>16</v>
      </c>
      <c r="F26" s="220" t="s">
        <v>15</v>
      </c>
      <c r="G26" s="221" t="s">
        <v>16</v>
      </c>
      <c r="H26" s="222" t="s">
        <v>15</v>
      </c>
      <c r="I26" s="223" t="s">
        <v>16</v>
      </c>
      <c r="J26" s="272" t="s">
        <v>15</v>
      </c>
      <c r="K26" s="273" t="s">
        <v>16</v>
      </c>
      <c r="L26" s="272" t="s">
        <v>15</v>
      </c>
      <c r="M26" s="273" t="s">
        <v>16</v>
      </c>
      <c r="N26" s="412" t="s">
        <v>15</v>
      </c>
      <c r="O26" s="413" t="s">
        <v>16</v>
      </c>
      <c r="P26" s="412" t="s">
        <v>15</v>
      </c>
      <c r="Q26" s="413" t="s">
        <v>16</v>
      </c>
      <c r="R26" s="412" t="s">
        <v>15</v>
      </c>
      <c r="S26" s="413" t="s">
        <v>16</v>
      </c>
      <c r="T26" s="412" t="s">
        <v>15</v>
      </c>
      <c r="U26" s="413" t="s">
        <v>16</v>
      </c>
      <c r="V26" s="412" t="s">
        <v>15</v>
      </c>
      <c r="W26" s="413" t="s">
        <v>16</v>
      </c>
      <c r="X26" s="412" t="s">
        <v>15</v>
      </c>
      <c r="Y26" s="413" t="s">
        <v>16</v>
      </c>
      <c r="Z26" s="412" t="s">
        <v>15</v>
      </c>
      <c r="AA26" s="413" t="s">
        <v>16</v>
      </c>
      <c r="AB26" s="414" t="s">
        <v>15</v>
      </c>
      <c r="AC26" s="415" t="s">
        <v>16</v>
      </c>
      <c r="AD26" s="416"/>
      <c r="AE26" s="417" t="s">
        <v>15</v>
      </c>
      <c r="AF26" s="418" t="s">
        <v>16</v>
      </c>
      <c r="AG26" s="251" t="s">
        <v>45</v>
      </c>
    </row>
    <row r="27" spans="1:33" ht="15" customHeight="1" x14ac:dyDescent="0.2">
      <c r="A27" s="77" t="s">
        <v>42</v>
      </c>
      <c r="B27" s="79">
        <v>22</v>
      </c>
      <c r="C27" s="69">
        <v>1776349</v>
      </c>
      <c r="D27" s="101">
        <v>18</v>
      </c>
      <c r="E27" s="70">
        <v>1200193</v>
      </c>
      <c r="F27" s="102">
        <v>10</v>
      </c>
      <c r="G27" s="71">
        <v>539946</v>
      </c>
      <c r="H27" s="103">
        <v>20</v>
      </c>
      <c r="I27" s="73">
        <v>960322</v>
      </c>
      <c r="J27" s="99">
        <v>15</v>
      </c>
      <c r="K27" s="248">
        <v>1078171</v>
      </c>
      <c r="L27" s="99">
        <v>24</v>
      </c>
      <c r="M27" s="248">
        <v>2310231</v>
      </c>
      <c r="N27" s="419">
        <v>16</v>
      </c>
      <c r="O27" s="420">
        <v>2567978</v>
      </c>
      <c r="P27" s="419">
        <v>20</v>
      </c>
      <c r="Q27" s="420">
        <v>3077606</v>
      </c>
      <c r="R27" s="419">
        <v>14</v>
      </c>
      <c r="S27" s="420">
        <v>1912584</v>
      </c>
      <c r="T27" s="419">
        <v>41</v>
      </c>
      <c r="U27" s="420">
        <v>4092107</v>
      </c>
      <c r="V27" s="419">
        <v>32</v>
      </c>
      <c r="W27" s="420">
        <v>1726993</v>
      </c>
      <c r="X27" s="419">
        <v>30</v>
      </c>
      <c r="Y27" s="420">
        <v>1225538</v>
      </c>
      <c r="Z27" s="419">
        <v>37</v>
      </c>
      <c r="AA27" s="420">
        <v>4759948</v>
      </c>
      <c r="AB27" s="421"/>
      <c r="AC27" s="422"/>
      <c r="AD27" s="363"/>
      <c r="AE27" s="259">
        <f>AVERAGE(T27,R27,Z27,X27,V27)</f>
        <v>30.8</v>
      </c>
      <c r="AF27" s="423">
        <f t="shared" ref="AF27:AF28" si="6">AVERAGE(U27,AA27,S27,W27,Y27)</f>
        <v>2743434</v>
      </c>
      <c r="AG27" s="324">
        <f t="shared" ref="AG27:AG28" si="7">+(AA27-S27)/S27</f>
        <v>1.4887523894375359</v>
      </c>
    </row>
    <row r="28" spans="1:33" ht="15" customHeight="1" thickBot="1" x14ac:dyDescent="0.25">
      <c r="A28" s="78" t="s">
        <v>43</v>
      </c>
      <c r="B28" s="144">
        <v>16</v>
      </c>
      <c r="C28" s="141">
        <v>1128771</v>
      </c>
      <c r="D28" s="134">
        <v>15</v>
      </c>
      <c r="E28" s="145">
        <v>1311472</v>
      </c>
      <c r="F28" s="135">
        <v>14</v>
      </c>
      <c r="G28" s="138">
        <v>1761112</v>
      </c>
      <c r="H28" s="136">
        <v>19</v>
      </c>
      <c r="I28" s="137">
        <v>1003998</v>
      </c>
      <c r="J28" s="249">
        <v>9</v>
      </c>
      <c r="K28" s="250">
        <v>1635539</v>
      </c>
      <c r="L28" s="249">
        <v>12</v>
      </c>
      <c r="M28" s="250">
        <v>535505</v>
      </c>
      <c r="N28" s="424">
        <v>20</v>
      </c>
      <c r="O28" s="425">
        <v>1040636</v>
      </c>
      <c r="P28" s="424">
        <v>13</v>
      </c>
      <c r="Q28" s="425">
        <v>462504</v>
      </c>
      <c r="R28" s="424">
        <v>13</v>
      </c>
      <c r="S28" s="425">
        <v>2564729</v>
      </c>
      <c r="T28" s="424">
        <v>12</v>
      </c>
      <c r="U28" s="425">
        <v>1716444</v>
      </c>
      <c r="V28" s="424">
        <v>14</v>
      </c>
      <c r="W28" s="425">
        <v>1506520</v>
      </c>
      <c r="X28" s="424">
        <v>13</v>
      </c>
      <c r="Y28" s="425">
        <v>1287316</v>
      </c>
      <c r="Z28" s="424">
        <v>23</v>
      </c>
      <c r="AA28" s="425">
        <v>3381174</v>
      </c>
      <c r="AB28" s="426"/>
      <c r="AC28" s="427"/>
      <c r="AD28" s="363"/>
      <c r="AE28" s="259">
        <f>AVERAGE(T28,R28,Z28,X28,V28)</f>
        <v>15</v>
      </c>
      <c r="AF28" s="428">
        <f t="shared" si="6"/>
        <v>2091236.6</v>
      </c>
      <c r="AG28" s="324">
        <f t="shared" si="7"/>
        <v>0.31833577738622676</v>
      </c>
    </row>
    <row r="29" spans="1:33" ht="18" customHeight="1" thickTop="1" thickBot="1" x14ac:dyDescent="0.25">
      <c r="A29" s="127" t="s">
        <v>12</v>
      </c>
      <c r="B29" s="505"/>
      <c r="C29" s="506"/>
      <c r="D29" s="517"/>
      <c r="E29" s="517"/>
      <c r="F29" s="489"/>
      <c r="G29" s="490"/>
      <c r="H29" s="519"/>
      <c r="I29" s="520"/>
      <c r="J29" s="519"/>
      <c r="K29" s="520"/>
      <c r="L29" s="519"/>
      <c r="M29" s="527"/>
      <c r="N29" s="493"/>
      <c r="O29" s="494"/>
      <c r="P29" s="493"/>
      <c r="Q29" s="494"/>
      <c r="R29" s="493"/>
      <c r="S29" s="494"/>
      <c r="T29" s="493"/>
      <c r="U29" s="494"/>
      <c r="V29" s="493"/>
      <c r="W29" s="494"/>
      <c r="X29" s="493"/>
      <c r="Y29" s="494"/>
      <c r="Z29" s="493"/>
      <c r="AA29" s="494"/>
      <c r="AB29" s="493"/>
      <c r="AC29" s="504"/>
      <c r="AD29" s="363"/>
      <c r="AE29" s="497"/>
      <c r="AF29" s="498"/>
      <c r="AG29" s="325"/>
    </row>
    <row r="30" spans="1:33" ht="15" customHeight="1" x14ac:dyDescent="0.2">
      <c r="A30" s="77" t="s">
        <v>13</v>
      </c>
      <c r="B30" s="24"/>
      <c r="C30" s="46">
        <v>41269.47</v>
      </c>
      <c r="D30" s="9"/>
      <c r="E30" s="47">
        <v>246074.96</v>
      </c>
      <c r="F30" s="44"/>
      <c r="G30" s="84">
        <v>30815</v>
      </c>
      <c r="H30" s="80"/>
      <c r="I30" s="83">
        <v>34663.89</v>
      </c>
      <c r="J30" s="81"/>
      <c r="K30" s="96">
        <v>86382.43</v>
      </c>
      <c r="L30" s="81"/>
      <c r="M30" s="107">
        <v>76818</v>
      </c>
      <c r="N30" s="429"/>
      <c r="O30" s="430">
        <v>414338</v>
      </c>
      <c r="P30" s="431"/>
      <c r="Q30" s="430">
        <v>310756.65999999997</v>
      </c>
      <c r="R30" s="431"/>
      <c r="S30" s="430">
        <v>71385.19</v>
      </c>
      <c r="T30" s="431"/>
      <c r="U30" s="430">
        <v>45815.95</v>
      </c>
      <c r="V30" s="431"/>
      <c r="W30" s="430">
        <v>85816.5</v>
      </c>
      <c r="X30" s="431"/>
      <c r="Y30" s="430">
        <v>58180</v>
      </c>
      <c r="Z30" s="431"/>
      <c r="AA30" s="430">
        <v>153071</v>
      </c>
      <c r="AB30" s="431"/>
      <c r="AC30" s="432"/>
      <c r="AD30" s="363"/>
      <c r="AE30" s="364"/>
      <c r="AF30" s="423">
        <f t="shared" ref="AF30:AF31" si="8">AVERAGE(U30,AA30,S30,W30,Y30)</f>
        <v>82853.728000000003</v>
      </c>
      <c r="AG30" s="324">
        <f t="shared" ref="AG30" si="9">+(AA30-S30)/S30</f>
        <v>1.1442963169251212</v>
      </c>
    </row>
    <row r="31" spans="1:33" ht="15" customHeight="1" thickBot="1" x14ac:dyDescent="0.25">
      <c r="A31" s="78" t="s">
        <v>14</v>
      </c>
      <c r="B31" s="29"/>
      <c r="C31" s="33">
        <v>0</v>
      </c>
      <c r="D31" s="12"/>
      <c r="E31" s="40">
        <v>0</v>
      </c>
      <c r="F31" s="50"/>
      <c r="G31" s="65">
        <v>0</v>
      </c>
      <c r="H31" s="50"/>
      <c r="I31" s="65">
        <v>0</v>
      </c>
      <c r="J31" s="50"/>
      <c r="K31" s="65">
        <v>0</v>
      </c>
      <c r="L31" s="50"/>
      <c r="M31" s="66">
        <v>0</v>
      </c>
      <c r="N31" s="433"/>
      <c r="O31" s="434">
        <v>0</v>
      </c>
      <c r="P31" s="435"/>
      <c r="Q31" s="434">
        <v>0</v>
      </c>
      <c r="R31" s="435"/>
      <c r="S31" s="434">
        <v>0</v>
      </c>
      <c r="T31" s="435"/>
      <c r="U31" s="434">
        <v>0</v>
      </c>
      <c r="V31" s="435"/>
      <c r="W31" s="434">
        <v>0</v>
      </c>
      <c r="X31" s="435"/>
      <c r="Y31" s="434">
        <v>0</v>
      </c>
      <c r="Z31" s="435"/>
      <c r="AA31" s="434">
        <v>0</v>
      </c>
      <c r="AB31" s="435"/>
      <c r="AC31" s="436"/>
      <c r="AD31" s="363"/>
      <c r="AE31" s="411"/>
      <c r="AF31" s="437">
        <f t="shared" si="8"/>
        <v>0</v>
      </c>
      <c r="AG31" s="230"/>
    </row>
    <row r="32" spans="1:33" ht="15" customHeight="1" thickTop="1" x14ac:dyDescent="0.2">
      <c r="N32" s="373"/>
      <c r="O32" s="438"/>
      <c r="P32" s="373"/>
      <c r="Q32" s="438"/>
      <c r="R32" s="373"/>
      <c r="S32" s="438"/>
      <c r="T32" s="373"/>
      <c r="U32" s="438"/>
      <c r="V32" s="373"/>
      <c r="W32" s="438"/>
      <c r="X32" s="373"/>
      <c r="Y32" s="438"/>
      <c r="Z32" s="373"/>
      <c r="AA32" s="438"/>
      <c r="AB32" s="373"/>
      <c r="AC32" s="438"/>
      <c r="AD32" s="439"/>
      <c r="AE32" s="439"/>
      <c r="AF32" s="439"/>
    </row>
    <row r="33" spans="1:32" x14ac:dyDescent="0.2">
      <c r="A33" s="310" t="s">
        <v>48</v>
      </c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</row>
  </sheetData>
  <mergeCells count="42">
    <mergeCell ref="N29:O29"/>
    <mergeCell ref="P29:Q29"/>
    <mergeCell ref="R29:S29"/>
    <mergeCell ref="T29:U29"/>
    <mergeCell ref="V29:W29"/>
    <mergeCell ref="X22:Y22"/>
    <mergeCell ref="Z22:AA22"/>
    <mergeCell ref="AB21:AC21"/>
    <mergeCell ref="AE21:AF21"/>
    <mergeCell ref="X29:Y29"/>
    <mergeCell ref="Z29:AA29"/>
    <mergeCell ref="AB29:AC29"/>
    <mergeCell ref="AE29:AF29"/>
    <mergeCell ref="AB22:AC22"/>
    <mergeCell ref="AE22:AF22"/>
    <mergeCell ref="D9:E9"/>
    <mergeCell ref="B9:C9"/>
    <mergeCell ref="L9:M9"/>
    <mergeCell ref="F9:G9"/>
    <mergeCell ref="J9:K9"/>
    <mergeCell ref="H9:I9"/>
    <mergeCell ref="N9:O9"/>
    <mergeCell ref="X9:Y9"/>
    <mergeCell ref="P9:Q9"/>
    <mergeCell ref="AE9:AF9"/>
    <mergeCell ref="R9:S9"/>
    <mergeCell ref="V9:W9"/>
    <mergeCell ref="T9:U9"/>
    <mergeCell ref="Z9:AA9"/>
    <mergeCell ref="AB9:AC9"/>
    <mergeCell ref="B29:C29"/>
    <mergeCell ref="D29:E29"/>
    <mergeCell ref="B22:C22"/>
    <mergeCell ref="D22:E22"/>
    <mergeCell ref="F22:G22"/>
    <mergeCell ref="L29:M29"/>
    <mergeCell ref="L22:M22"/>
    <mergeCell ref="H22:I22"/>
    <mergeCell ref="J22:K22"/>
    <mergeCell ref="F29:G29"/>
    <mergeCell ref="H29:I29"/>
    <mergeCell ref="J29:K29"/>
  </mergeCells>
  <phoneticPr fontId="0" type="noConversion"/>
  <pageMargins left="0.5" right="0.5" top="0.5" bottom="0.5" header="0.5" footer="0.25"/>
  <pageSetup scale="75" fitToHeight="2" orientation="landscape" r:id="rId1"/>
  <headerFooter alignWithMargins="0">
    <oddFooter>&amp;L&amp;9Prepared by Planning and Analysis&amp;C&amp;9&amp;P of &amp;N&amp;R&amp;9Updated &amp;D</oddFooter>
  </headerFooter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zoomScaleNormal="100" zoomScaleSheetLayoutView="100" workbookViewId="0">
      <pane xSplit="1" ySplit="7" topLeftCell="L23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10.28515625" defaultRowHeight="12.75" x14ac:dyDescent="0.2"/>
  <cols>
    <col min="1" max="1" width="32.7109375" style="1" customWidth="1"/>
    <col min="2" max="2" width="4.7109375" hidden="1" customWidth="1"/>
    <col min="3" max="3" width="10.42578125" hidden="1" customWidth="1"/>
    <col min="4" max="4" width="4.7109375" hidden="1" customWidth="1"/>
    <col min="5" max="5" width="10.28515625" hidden="1" customWidth="1"/>
    <col min="6" max="6" width="4.7109375" style="36" hidden="1" customWidth="1"/>
    <col min="7" max="7" width="10.7109375" style="36" hidden="1" customWidth="1"/>
    <col min="8" max="8" width="4.7109375" style="36" hidden="1" customWidth="1"/>
    <col min="9" max="9" width="10.7109375" style="36" hidden="1" customWidth="1"/>
    <col min="10" max="10" width="4.7109375" style="1" hidden="1" customWidth="1"/>
    <col min="11" max="11" width="10.7109375" style="1" hidden="1" customWidth="1"/>
    <col min="12" max="12" width="4.7109375" style="1" hidden="1" customWidth="1"/>
    <col min="13" max="13" width="11" style="1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5703125" style="1" customWidth="1"/>
    <col min="31" max="31" width="4.7109375" style="1" customWidth="1"/>
    <col min="32" max="32" width="10.7109375" style="1" customWidth="1"/>
    <col min="33" max="33" width="8.7109375" style="1" customWidth="1"/>
    <col min="34" max="16384" width="10.28515625" style="1"/>
  </cols>
  <sheetData>
    <row r="1" spans="1:33" ht="15.75" x14ac:dyDescent="0.25">
      <c r="A1" s="169" t="s">
        <v>37</v>
      </c>
    </row>
    <row r="2" spans="1:33" ht="15.75" x14ac:dyDescent="0.25">
      <c r="A2" s="169" t="s">
        <v>38</v>
      </c>
    </row>
    <row r="3" spans="1:33" ht="5.25" customHeight="1" x14ac:dyDescent="0.25">
      <c r="A3" s="169"/>
    </row>
    <row r="4" spans="1:33" ht="15.75" x14ac:dyDescent="0.25">
      <c r="A4" s="170" t="s">
        <v>39</v>
      </c>
    </row>
    <row r="5" spans="1:33" ht="6" customHeight="1" x14ac:dyDescent="0.25">
      <c r="A5" s="170"/>
    </row>
    <row r="6" spans="1:33" ht="25.5" x14ac:dyDescent="0.2">
      <c r="A6" s="179" t="s">
        <v>1</v>
      </c>
      <c r="B6" s="1"/>
      <c r="C6" s="1"/>
      <c r="D6" s="1"/>
      <c r="E6" s="1"/>
      <c r="F6" s="18"/>
      <c r="G6" s="18"/>
      <c r="H6" s="18"/>
      <c r="I6" s="18"/>
    </row>
    <row r="7" spans="1:33" x14ac:dyDescent="0.2">
      <c r="A7" s="171">
        <v>3670055050</v>
      </c>
      <c r="B7" s="1"/>
      <c r="C7" s="1"/>
      <c r="D7" s="1"/>
      <c r="E7" s="1"/>
      <c r="F7" s="18"/>
      <c r="G7" s="18"/>
      <c r="H7" s="18"/>
      <c r="I7" s="18"/>
    </row>
    <row r="8" spans="1:33" thickBot="1" x14ac:dyDescent="0.25">
      <c r="A8" s="13"/>
      <c r="B8" s="3"/>
      <c r="C8" s="3"/>
      <c r="D8" s="3"/>
      <c r="E8" s="3"/>
      <c r="F8" s="37"/>
      <c r="G8" s="37"/>
      <c r="H8" s="37"/>
      <c r="I8" s="37"/>
      <c r="J8" s="37"/>
      <c r="K8" s="37"/>
      <c r="L8" s="37"/>
      <c r="M8" s="37"/>
    </row>
    <row r="9" spans="1:33" ht="30" customHeight="1" thickTop="1" thickBot="1" x14ac:dyDescent="0.25">
      <c r="A9" s="75"/>
      <c r="B9" s="505" t="s">
        <v>3</v>
      </c>
      <c r="C9" s="506"/>
      <c r="D9" s="505" t="s">
        <v>4</v>
      </c>
      <c r="E9" s="517"/>
      <c r="F9" s="489" t="s">
        <v>17</v>
      </c>
      <c r="G9" s="490"/>
      <c r="H9" s="489" t="s">
        <v>19</v>
      </c>
      <c r="I9" s="491"/>
      <c r="J9" s="489" t="s">
        <v>20</v>
      </c>
      <c r="K9" s="491"/>
      <c r="L9" s="489" t="s">
        <v>22</v>
      </c>
      <c r="M9" s="490"/>
      <c r="N9" s="491" t="s">
        <v>24</v>
      </c>
      <c r="O9" s="490"/>
      <c r="P9" s="491" t="s">
        <v>25</v>
      </c>
      <c r="Q9" s="490"/>
      <c r="R9" s="491" t="s">
        <v>28</v>
      </c>
      <c r="S9" s="490"/>
      <c r="T9" s="491" t="s">
        <v>30</v>
      </c>
      <c r="U9" s="490"/>
      <c r="V9" s="491" t="s">
        <v>33</v>
      </c>
      <c r="W9" s="490"/>
      <c r="X9" s="491" t="s">
        <v>34</v>
      </c>
      <c r="Y9" s="490"/>
      <c r="Z9" s="491" t="s">
        <v>35</v>
      </c>
      <c r="AA9" s="490"/>
      <c r="AB9" s="491" t="s">
        <v>52</v>
      </c>
      <c r="AC9" s="492"/>
      <c r="AE9" s="487" t="s">
        <v>23</v>
      </c>
      <c r="AF9" s="488"/>
      <c r="AG9" s="181" t="s">
        <v>40</v>
      </c>
    </row>
    <row r="10" spans="1:33" ht="18" customHeight="1" x14ac:dyDescent="0.2">
      <c r="A10" s="172" t="s">
        <v>5</v>
      </c>
      <c r="B10" s="178"/>
      <c r="C10" s="173"/>
      <c r="D10" s="54"/>
      <c r="E10" s="54"/>
      <c r="F10" s="174"/>
      <c r="G10" s="177"/>
      <c r="H10" s="176"/>
      <c r="I10" s="176"/>
      <c r="J10" s="174"/>
      <c r="K10" s="176"/>
      <c r="L10" s="174"/>
      <c r="M10" s="177"/>
      <c r="N10" s="393"/>
      <c r="O10" s="394"/>
      <c r="P10" s="393"/>
      <c r="Q10" s="394"/>
      <c r="R10" s="393"/>
      <c r="S10" s="394"/>
      <c r="T10" s="393"/>
      <c r="U10" s="394"/>
      <c r="V10" s="393"/>
      <c r="W10" s="394"/>
      <c r="X10" s="393"/>
      <c r="Y10" s="394"/>
      <c r="Z10" s="393"/>
      <c r="AA10" s="394"/>
      <c r="AB10" s="393"/>
      <c r="AC10" s="451"/>
      <c r="AD10" s="363"/>
      <c r="AE10" s="452"/>
      <c r="AF10" s="453"/>
      <c r="AG10" s="182"/>
    </row>
    <row r="11" spans="1:33" ht="15" customHeight="1" x14ac:dyDescent="0.2">
      <c r="A11" s="76" t="s">
        <v>6</v>
      </c>
      <c r="B11" s="20"/>
      <c r="C11" s="21"/>
      <c r="D11" s="5"/>
      <c r="E11" s="5"/>
      <c r="F11" s="38"/>
      <c r="G11" s="59"/>
      <c r="H11" s="55"/>
      <c r="I11" s="55"/>
      <c r="J11" s="38"/>
      <c r="K11" s="55"/>
      <c r="L11" s="38"/>
      <c r="M11" s="59"/>
      <c r="N11" s="359"/>
      <c r="O11" s="360"/>
      <c r="P11" s="361"/>
      <c r="Q11" s="360"/>
      <c r="R11" s="361"/>
      <c r="S11" s="360"/>
      <c r="T11" s="361"/>
      <c r="U11" s="360"/>
      <c r="V11" s="361"/>
      <c r="W11" s="360"/>
      <c r="X11" s="361"/>
      <c r="Y11" s="360"/>
      <c r="Z11" s="361"/>
      <c r="AA11" s="360"/>
      <c r="AB11" s="361"/>
      <c r="AC11" s="362"/>
      <c r="AD11" s="363"/>
      <c r="AE11" s="364"/>
      <c r="AF11" s="365"/>
      <c r="AG11" s="63"/>
    </row>
    <row r="12" spans="1:33" ht="15" customHeight="1" x14ac:dyDescent="0.2">
      <c r="A12" s="77" t="s">
        <v>7</v>
      </c>
      <c r="B12" s="94"/>
      <c r="C12" s="326">
        <v>2131696</v>
      </c>
      <c r="D12" s="327"/>
      <c r="E12" s="313">
        <v>2326686</v>
      </c>
      <c r="F12" s="328"/>
      <c r="G12" s="329">
        <v>2404279</v>
      </c>
      <c r="H12" s="330"/>
      <c r="I12" s="329">
        <v>2497332</v>
      </c>
      <c r="J12" s="327"/>
      <c r="K12" s="329">
        <v>2804632</v>
      </c>
      <c r="L12" s="327"/>
      <c r="M12" s="313">
        <v>2942881</v>
      </c>
      <c r="N12" s="366"/>
      <c r="O12" s="367">
        <v>2855471</v>
      </c>
      <c r="P12" s="368"/>
      <c r="Q12" s="367">
        <v>2986073</v>
      </c>
      <c r="R12" s="368"/>
      <c r="S12" s="367">
        <v>3017359</v>
      </c>
      <c r="T12" s="368"/>
      <c r="U12" s="367">
        <v>3104956</v>
      </c>
      <c r="V12" s="368"/>
      <c r="W12" s="367">
        <v>3361394</v>
      </c>
      <c r="X12" s="368"/>
      <c r="Y12" s="367">
        <v>3482802</v>
      </c>
      <c r="Z12" s="368"/>
      <c r="AA12" s="367">
        <v>3463089</v>
      </c>
      <c r="AB12" s="368"/>
      <c r="AC12" s="369">
        <v>3321656</v>
      </c>
      <c r="AD12" s="363"/>
      <c r="AE12" s="364"/>
      <c r="AF12" s="365">
        <f>AVERAGE(W12,U12,Y12,AC12,AA12)</f>
        <v>3346779.4</v>
      </c>
      <c r="AG12" s="318">
        <f>+(AC12-U12)/U12</f>
        <v>6.979164922143824E-2</v>
      </c>
    </row>
    <row r="13" spans="1:33" ht="15" customHeight="1" x14ac:dyDescent="0.2">
      <c r="A13" s="77" t="s">
        <v>26</v>
      </c>
      <c r="B13" s="94"/>
      <c r="C13" s="326"/>
      <c r="D13" s="327"/>
      <c r="E13" s="313"/>
      <c r="F13" s="328"/>
      <c r="G13" s="329"/>
      <c r="H13" s="330"/>
      <c r="I13" s="329"/>
      <c r="J13" s="327"/>
      <c r="K13" s="329"/>
      <c r="L13" s="327"/>
      <c r="M13" s="313"/>
      <c r="N13" s="366"/>
      <c r="O13" s="367"/>
      <c r="P13" s="368"/>
      <c r="Q13" s="367"/>
      <c r="R13" s="368"/>
      <c r="S13" s="367"/>
      <c r="T13" s="368"/>
      <c r="U13" s="367"/>
      <c r="V13" s="368"/>
      <c r="W13" s="367"/>
      <c r="X13" s="368"/>
      <c r="Y13" s="367"/>
      <c r="Z13" s="368"/>
      <c r="AA13" s="367"/>
      <c r="AB13" s="368"/>
      <c r="AC13" s="369"/>
      <c r="AD13" s="363"/>
      <c r="AE13" s="370"/>
      <c r="AF13" s="365"/>
      <c r="AG13" s="319"/>
    </row>
    <row r="14" spans="1:33" ht="30" customHeight="1" thickBot="1" x14ac:dyDescent="0.25">
      <c r="A14" s="206" t="s">
        <v>49</v>
      </c>
      <c r="B14" s="237"/>
      <c r="C14" s="331">
        <v>1770086</v>
      </c>
      <c r="D14" s="332"/>
      <c r="E14" s="314">
        <v>1439851</v>
      </c>
      <c r="F14" s="74"/>
      <c r="G14" s="333">
        <v>1472521</v>
      </c>
      <c r="H14" s="332"/>
      <c r="I14" s="333">
        <v>1523890</v>
      </c>
      <c r="J14" s="332"/>
      <c r="K14" s="333">
        <v>1649657</v>
      </c>
      <c r="L14" s="332"/>
      <c r="M14" s="314">
        <v>1661936</v>
      </c>
      <c r="N14" s="371"/>
      <c r="O14" s="372">
        <v>1732070</v>
      </c>
      <c r="P14" s="373"/>
      <c r="Q14" s="372">
        <v>1755427</v>
      </c>
      <c r="R14" s="373"/>
      <c r="S14" s="372">
        <v>1852361</v>
      </c>
      <c r="T14" s="373"/>
      <c r="U14" s="372">
        <v>2092247</v>
      </c>
      <c r="V14" s="373"/>
      <c r="W14" s="372">
        <v>1863391</v>
      </c>
      <c r="X14" s="373"/>
      <c r="Y14" s="372">
        <v>2182734</v>
      </c>
      <c r="Z14" s="373"/>
      <c r="AA14" s="372">
        <v>2393010</v>
      </c>
      <c r="AB14" s="373"/>
      <c r="AC14" s="374">
        <v>2858040</v>
      </c>
      <c r="AD14" s="363"/>
      <c r="AE14" s="375"/>
      <c r="AF14" s="376">
        <f t="shared" ref="AF14:AF21" si="0">AVERAGE(W14,U14,Y14,AC14,AA14)</f>
        <v>2277884.4</v>
      </c>
      <c r="AG14" s="318">
        <f t="shared" ref="AG14:AG21" si="1">+(AC14-U14)/U14</f>
        <v>0.36601462446833477</v>
      </c>
    </row>
    <row r="15" spans="1:33" ht="18.75" customHeight="1" thickBot="1" x14ac:dyDescent="0.25">
      <c r="A15" s="213" t="s">
        <v>8</v>
      </c>
      <c r="B15" s="239"/>
      <c r="C15" s="334">
        <f>SUM(C12:C14)</f>
        <v>3901782</v>
      </c>
      <c r="D15" s="335"/>
      <c r="E15" s="336">
        <f>SUM(E12:E14)</f>
        <v>3766537</v>
      </c>
      <c r="F15" s="337"/>
      <c r="G15" s="338">
        <f>SUM(G12:G14)</f>
        <v>3876800</v>
      </c>
      <c r="H15" s="335"/>
      <c r="I15" s="338">
        <f>SUM(I12:I14)</f>
        <v>4021222</v>
      </c>
      <c r="J15" s="335"/>
      <c r="K15" s="338">
        <f>SUM(K12:K14)</f>
        <v>4454289</v>
      </c>
      <c r="L15" s="335"/>
      <c r="M15" s="315">
        <f>SUM(M12:M14)</f>
        <v>4604817</v>
      </c>
      <c r="N15" s="377"/>
      <c r="O15" s="378">
        <f>SUM(O12:O14)</f>
        <v>4587541</v>
      </c>
      <c r="P15" s="379"/>
      <c r="Q15" s="378">
        <f>SUM(Q12:Q14)</f>
        <v>4741500</v>
      </c>
      <c r="R15" s="379"/>
      <c r="S15" s="378">
        <f>SUM(S12:S14)</f>
        <v>4869720</v>
      </c>
      <c r="T15" s="379"/>
      <c r="U15" s="378">
        <f>SUM(U12:U14)</f>
        <v>5197203</v>
      </c>
      <c r="V15" s="379"/>
      <c r="W15" s="378">
        <f>SUM(W12:W14)</f>
        <v>5224785</v>
      </c>
      <c r="X15" s="379"/>
      <c r="Y15" s="378">
        <f>SUM(Y12:Y14)</f>
        <v>5665536</v>
      </c>
      <c r="Z15" s="379"/>
      <c r="AA15" s="378">
        <f>SUM(AA12:AA14)</f>
        <v>5856099</v>
      </c>
      <c r="AB15" s="379"/>
      <c r="AC15" s="380">
        <f>SUM(AC12:AC14)</f>
        <v>6179696</v>
      </c>
      <c r="AD15" s="363"/>
      <c r="AE15" s="381"/>
      <c r="AF15" s="382">
        <f t="shared" si="0"/>
        <v>5624663.7999999998</v>
      </c>
      <c r="AG15" s="320">
        <f t="shared" si="1"/>
        <v>0.18904264466868045</v>
      </c>
    </row>
    <row r="16" spans="1:33" ht="15" customHeight="1" x14ac:dyDescent="0.2">
      <c r="A16" s="111" t="s">
        <v>9</v>
      </c>
      <c r="B16" s="94"/>
      <c r="C16" s="326"/>
      <c r="D16" s="327"/>
      <c r="E16" s="313"/>
      <c r="F16" s="328"/>
      <c r="G16" s="329"/>
      <c r="H16" s="327"/>
      <c r="I16" s="329"/>
      <c r="J16" s="327"/>
      <c r="K16" s="329"/>
      <c r="L16" s="327"/>
      <c r="M16" s="313"/>
      <c r="N16" s="359"/>
      <c r="O16" s="383"/>
      <c r="P16" s="361"/>
      <c r="Q16" s="383"/>
      <c r="R16" s="361"/>
      <c r="S16" s="383"/>
      <c r="T16" s="361"/>
      <c r="U16" s="383"/>
      <c r="V16" s="361"/>
      <c r="W16" s="383"/>
      <c r="X16" s="361"/>
      <c r="Y16" s="383"/>
      <c r="Z16" s="361"/>
      <c r="AA16" s="383"/>
      <c r="AB16" s="361"/>
      <c r="AC16" s="384"/>
      <c r="AD16" s="363"/>
      <c r="AE16" s="385"/>
      <c r="AF16" s="386"/>
      <c r="AG16" s="184"/>
    </row>
    <row r="17" spans="1:33" ht="15" customHeight="1" x14ac:dyDescent="0.2">
      <c r="A17" s="77" t="s">
        <v>7</v>
      </c>
      <c r="B17" s="95"/>
      <c r="C17" s="339">
        <v>539815</v>
      </c>
      <c r="D17" s="330"/>
      <c r="E17" s="316">
        <v>569646</v>
      </c>
      <c r="F17" s="73"/>
      <c r="G17" s="340">
        <v>646628</v>
      </c>
      <c r="H17" s="330"/>
      <c r="I17" s="340">
        <v>676370</v>
      </c>
      <c r="J17" s="330"/>
      <c r="K17" s="340">
        <v>697485</v>
      </c>
      <c r="L17" s="330"/>
      <c r="M17" s="316">
        <v>720831</v>
      </c>
      <c r="N17" s="366"/>
      <c r="O17" s="367">
        <v>639352</v>
      </c>
      <c r="P17" s="368"/>
      <c r="Q17" s="367">
        <v>651078</v>
      </c>
      <c r="R17" s="368"/>
      <c r="S17" s="367">
        <v>671480</v>
      </c>
      <c r="T17" s="368"/>
      <c r="U17" s="367">
        <v>703116</v>
      </c>
      <c r="V17" s="368"/>
      <c r="W17" s="367">
        <v>796713</v>
      </c>
      <c r="X17" s="368"/>
      <c r="Y17" s="367">
        <v>823206</v>
      </c>
      <c r="Z17" s="368"/>
      <c r="AA17" s="367">
        <v>832555</v>
      </c>
      <c r="AB17" s="368"/>
      <c r="AC17" s="369">
        <v>665525</v>
      </c>
      <c r="AD17" s="363"/>
      <c r="AE17" s="364"/>
      <c r="AF17" s="365">
        <f t="shared" si="0"/>
        <v>764223</v>
      </c>
      <c r="AG17" s="318">
        <f t="shared" si="1"/>
        <v>-5.3463439887586117E-2</v>
      </c>
    </row>
    <row r="18" spans="1:33" ht="15" customHeight="1" x14ac:dyDescent="0.2">
      <c r="A18" s="77" t="s">
        <v>26</v>
      </c>
      <c r="B18" s="95"/>
      <c r="C18" s="339"/>
      <c r="D18" s="330"/>
      <c r="E18" s="316"/>
      <c r="F18" s="73"/>
      <c r="G18" s="340"/>
      <c r="H18" s="330"/>
      <c r="I18" s="340"/>
      <c r="J18" s="330"/>
      <c r="K18" s="340"/>
      <c r="L18" s="330"/>
      <c r="M18" s="316"/>
      <c r="N18" s="366"/>
      <c r="O18" s="367"/>
      <c r="P18" s="368"/>
      <c r="Q18" s="367"/>
      <c r="R18" s="368"/>
      <c r="S18" s="367"/>
      <c r="T18" s="368"/>
      <c r="U18" s="367"/>
      <c r="V18" s="368"/>
      <c r="W18" s="367"/>
      <c r="X18" s="368"/>
      <c r="Y18" s="367"/>
      <c r="Z18" s="368"/>
      <c r="AA18" s="367"/>
      <c r="AB18" s="368"/>
      <c r="AC18" s="369"/>
      <c r="AD18" s="363"/>
      <c r="AE18" s="370"/>
      <c r="AF18" s="365"/>
      <c r="AG18" s="318"/>
    </row>
    <row r="19" spans="1:33" ht="30" customHeight="1" thickBot="1" x14ac:dyDescent="0.25">
      <c r="A19" s="206" t="s">
        <v>49</v>
      </c>
      <c r="B19" s="237"/>
      <c r="C19" s="333">
        <v>44660</v>
      </c>
      <c r="D19" s="332"/>
      <c r="E19" s="314">
        <v>803897</v>
      </c>
      <c r="F19" s="74"/>
      <c r="G19" s="333">
        <v>804470</v>
      </c>
      <c r="H19" s="332"/>
      <c r="I19" s="333">
        <v>806311</v>
      </c>
      <c r="J19" s="332"/>
      <c r="K19" s="333">
        <v>794378</v>
      </c>
      <c r="L19" s="332"/>
      <c r="M19" s="314">
        <v>778221</v>
      </c>
      <c r="N19" s="371"/>
      <c r="O19" s="372">
        <v>878968</v>
      </c>
      <c r="P19" s="373"/>
      <c r="Q19" s="372">
        <v>880328</v>
      </c>
      <c r="R19" s="373"/>
      <c r="S19" s="372">
        <v>881014</v>
      </c>
      <c r="T19" s="373"/>
      <c r="U19" s="372">
        <v>872082</v>
      </c>
      <c r="V19" s="373"/>
      <c r="W19" s="372">
        <v>792731</v>
      </c>
      <c r="X19" s="373"/>
      <c r="Y19" s="372">
        <v>793066</v>
      </c>
      <c r="Z19" s="373"/>
      <c r="AA19" s="372">
        <v>792938</v>
      </c>
      <c r="AB19" s="373"/>
      <c r="AC19" s="374">
        <v>951165</v>
      </c>
      <c r="AD19" s="363"/>
      <c r="AE19" s="375"/>
      <c r="AF19" s="365">
        <f t="shared" si="0"/>
        <v>840396.4</v>
      </c>
      <c r="AG19" s="318">
        <f t="shared" si="1"/>
        <v>9.0682986232945989E-2</v>
      </c>
    </row>
    <row r="20" spans="1:33" ht="18.75" customHeight="1" thickBot="1" x14ac:dyDescent="0.25">
      <c r="A20" s="213" t="s">
        <v>10</v>
      </c>
      <c r="B20" s="238"/>
      <c r="C20" s="336">
        <f>SUM(C17:C19)</f>
        <v>584475</v>
      </c>
      <c r="D20" s="341"/>
      <c r="E20" s="334">
        <f>SUM(E17:E19)</f>
        <v>1373543</v>
      </c>
      <c r="F20" s="335"/>
      <c r="G20" s="336">
        <f>SUM(G17:G19)</f>
        <v>1451098</v>
      </c>
      <c r="H20" s="337"/>
      <c r="I20" s="338">
        <f>SUM(I17:I19)</f>
        <v>1482681</v>
      </c>
      <c r="J20" s="335"/>
      <c r="K20" s="338">
        <f>SUM(K17:K19)</f>
        <v>1491863</v>
      </c>
      <c r="L20" s="335"/>
      <c r="M20" s="315">
        <f>SUM(M17:M19)</f>
        <v>1499052</v>
      </c>
      <c r="N20" s="377"/>
      <c r="O20" s="378">
        <f>SUM(O17:O19)</f>
        <v>1518320</v>
      </c>
      <c r="P20" s="379"/>
      <c r="Q20" s="378">
        <f>SUM(Q17:Q19)</f>
        <v>1531406</v>
      </c>
      <c r="R20" s="379"/>
      <c r="S20" s="378">
        <f>SUM(S17:S19)</f>
        <v>1552494</v>
      </c>
      <c r="T20" s="379"/>
      <c r="U20" s="378">
        <f>SUM(U17:U19)</f>
        <v>1575198</v>
      </c>
      <c r="V20" s="379"/>
      <c r="W20" s="378">
        <f>SUM(W17:W19)</f>
        <v>1589444</v>
      </c>
      <c r="X20" s="379"/>
      <c r="Y20" s="378">
        <f>SUM(Y17:Y19)</f>
        <v>1616272</v>
      </c>
      <c r="Z20" s="379"/>
      <c r="AA20" s="378">
        <f>SUM(AA17:AA19)</f>
        <v>1625493</v>
      </c>
      <c r="AB20" s="379"/>
      <c r="AC20" s="380">
        <f>SUM(AC17:AC19)</f>
        <v>1616690</v>
      </c>
      <c r="AD20" s="363"/>
      <c r="AE20" s="381"/>
      <c r="AF20" s="382">
        <f t="shared" si="0"/>
        <v>1604619.4</v>
      </c>
      <c r="AG20" s="321">
        <f t="shared" si="1"/>
        <v>2.6340815567312808E-2</v>
      </c>
    </row>
    <row r="21" spans="1:33" ht="18.75" customHeight="1" thickBot="1" x14ac:dyDescent="0.25">
      <c r="A21" s="261" t="s">
        <v>11</v>
      </c>
      <c r="B21" s="271"/>
      <c r="C21" s="342">
        <f>SUM(C15,C20)</f>
        <v>4486257</v>
      </c>
      <c r="D21" s="343"/>
      <c r="E21" s="344">
        <f>SUM(E15,E20)</f>
        <v>5140080</v>
      </c>
      <c r="F21" s="345"/>
      <c r="G21" s="317">
        <f>SUM(G15,G20)</f>
        <v>5327898</v>
      </c>
      <c r="H21" s="346"/>
      <c r="I21" s="347">
        <f>SUM(I15,I20)</f>
        <v>5503903</v>
      </c>
      <c r="J21" s="345"/>
      <c r="K21" s="347">
        <f>SUM(K15,K20)</f>
        <v>5946152</v>
      </c>
      <c r="L21" s="345"/>
      <c r="M21" s="317">
        <f>SUM(M15,M20)</f>
        <v>6103869</v>
      </c>
      <c r="N21" s="387"/>
      <c r="O21" s="388">
        <f>SUM(O15,O20)</f>
        <v>6105861</v>
      </c>
      <c r="P21" s="389"/>
      <c r="Q21" s="388">
        <f>SUM(Q15,Q20)</f>
        <v>6272906</v>
      </c>
      <c r="R21" s="389"/>
      <c r="S21" s="388">
        <f>SUM(S15,S20)</f>
        <v>6422214</v>
      </c>
      <c r="T21" s="389"/>
      <c r="U21" s="388">
        <f>SUM(U15,U20)</f>
        <v>6772401</v>
      </c>
      <c r="V21" s="389"/>
      <c r="W21" s="388">
        <f>SUM(W15,W20)</f>
        <v>6814229</v>
      </c>
      <c r="X21" s="389"/>
      <c r="Y21" s="388">
        <f>SUM(Y15,Y20)</f>
        <v>7281808</v>
      </c>
      <c r="Z21" s="389"/>
      <c r="AA21" s="388">
        <f>SUM(AA15,AA20)</f>
        <v>7481592</v>
      </c>
      <c r="AB21" s="389"/>
      <c r="AC21" s="390">
        <f>SUM(AC15,AC20)</f>
        <v>7796386</v>
      </c>
      <c r="AD21" s="363"/>
      <c r="AE21" s="391"/>
      <c r="AF21" s="392">
        <f t="shared" si="0"/>
        <v>7229283.2000000002</v>
      </c>
      <c r="AG21" s="322">
        <f t="shared" si="1"/>
        <v>0.15119970007682651</v>
      </c>
    </row>
    <row r="22" spans="1:33" ht="18" customHeight="1" thickBot="1" x14ac:dyDescent="0.25">
      <c r="A22" s="210" t="s">
        <v>36</v>
      </c>
      <c r="B22" s="532" t="s">
        <v>3</v>
      </c>
      <c r="C22" s="533"/>
      <c r="D22" s="532" t="s">
        <v>4</v>
      </c>
      <c r="E22" s="534"/>
      <c r="F22" s="511"/>
      <c r="G22" s="512"/>
      <c r="H22" s="511"/>
      <c r="I22" s="535"/>
      <c r="J22" s="511"/>
      <c r="K22" s="535"/>
      <c r="L22" s="511"/>
      <c r="M22" s="512"/>
      <c r="N22" s="393"/>
      <c r="O22" s="394"/>
      <c r="P22" s="393"/>
      <c r="Q22" s="394"/>
      <c r="R22" s="393"/>
      <c r="S22" s="394"/>
      <c r="T22" s="393"/>
      <c r="U22" s="394"/>
      <c r="V22" s="393"/>
      <c r="W22" s="394"/>
      <c r="X22" s="500"/>
      <c r="Y22" s="501"/>
      <c r="Z22" s="499"/>
      <c r="AA22" s="499"/>
      <c r="AB22" s="502"/>
      <c r="AC22" s="503"/>
      <c r="AD22" s="363"/>
      <c r="AE22" s="495"/>
      <c r="AF22" s="496"/>
      <c r="AG22" s="323"/>
    </row>
    <row r="23" spans="1:33" ht="15" customHeight="1" x14ac:dyDescent="0.2">
      <c r="A23" s="77" t="s">
        <v>54</v>
      </c>
      <c r="B23" s="34"/>
      <c r="C23" s="25">
        <f>6225+1183376+1171036</f>
        <v>2360637</v>
      </c>
      <c r="D23" s="6"/>
      <c r="E23" s="6">
        <v>2566385</v>
      </c>
      <c r="F23" s="228"/>
      <c r="G23" s="226">
        <v>2750648.94</v>
      </c>
      <c r="H23" s="227"/>
      <c r="I23" s="227">
        <v>2896423.3</v>
      </c>
      <c r="J23" s="228"/>
      <c r="K23" s="227">
        <f>3079794+198106</f>
        <v>3277900</v>
      </c>
      <c r="L23" s="228"/>
      <c r="M23" s="229">
        <v>3436709</v>
      </c>
      <c r="N23" s="395"/>
      <c r="O23" s="396">
        <v>3490834</v>
      </c>
      <c r="P23" s="397"/>
      <c r="Q23" s="396">
        <v>3434117</v>
      </c>
      <c r="R23" s="397"/>
      <c r="S23" s="396">
        <v>3757212</v>
      </c>
      <c r="T23" s="397"/>
      <c r="U23" s="396">
        <v>3909431</v>
      </c>
      <c r="V23" s="397"/>
      <c r="W23" s="396">
        <v>4020879.63</v>
      </c>
      <c r="X23" s="397"/>
      <c r="Y23" s="398">
        <v>4693123</v>
      </c>
      <c r="Z23" s="397"/>
      <c r="AA23" s="398">
        <v>5145008</v>
      </c>
      <c r="AB23" s="361"/>
      <c r="AC23" s="399"/>
      <c r="AD23" s="363"/>
      <c r="AE23" s="364"/>
      <c r="AF23" s="365">
        <f>AVERAGE(U23,AA23,S23,W23,Y23)</f>
        <v>4305130.7259999998</v>
      </c>
      <c r="AG23" s="318">
        <f>+(AA23-S23)/S23</f>
        <v>0.3693685637116032</v>
      </c>
    </row>
    <row r="24" spans="1:33" ht="15" customHeight="1" x14ac:dyDescent="0.2">
      <c r="A24" s="77" t="s">
        <v>46</v>
      </c>
      <c r="B24" s="35"/>
      <c r="C24" s="27"/>
      <c r="D24" s="7"/>
      <c r="E24" s="7"/>
      <c r="F24" s="35"/>
      <c r="G24" s="168">
        <v>225050.2</v>
      </c>
      <c r="H24" s="35"/>
      <c r="I24" s="27">
        <v>337336.59000000008</v>
      </c>
      <c r="J24" s="35"/>
      <c r="K24" s="27">
        <v>886348.38000000035</v>
      </c>
      <c r="L24" s="35"/>
      <c r="M24" s="27">
        <v>1495896.1099999996</v>
      </c>
      <c r="N24" s="400"/>
      <c r="O24" s="401">
        <v>1411117.7000000007</v>
      </c>
      <c r="P24" s="402"/>
      <c r="Q24" s="401">
        <v>1105133.7699999996</v>
      </c>
      <c r="R24" s="402"/>
      <c r="S24" s="401">
        <v>1069497.3700000003</v>
      </c>
      <c r="T24" s="402"/>
      <c r="U24" s="401">
        <v>1181803.4399999995</v>
      </c>
      <c r="V24" s="402"/>
      <c r="W24" s="401">
        <v>1342511.4899999991</v>
      </c>
      <c r="X24" s="402"/>
      <c r="Y24" s="403">
        <v>2180167</v>
      </c>
      <c r="Z24" s="402"/>
      <c r="AA24" s="403">
        <v>2418982</v>
      </c>
      <c r="AB24" s="373"/>
      <c r="AC24" s="404"/>
      <c r="AD24" s="363"/>
      <c r="AE24" s="364"/>
      <c r="AF24" s="365">
        <f t="shared" ref="AF24:AF25" si="2">AVERAGE(U24,AA24,S24,W24,Y24)</f>
        <v>1638592.2599999998</v>
      </c>
      <c r="AG24" s="318">
        <f t="shared" ref="AG24:AG25" si="3">+(AA24-S24)/S24</f>
        <v>1.2617933132458281</v>
      </c>
    </row>
    <row r="25" spans="1:33" ht="15" customHeight="1" thickBot="1" x14ac:dyDescent="0.25">
      <c r="A25" s="78" t="s">
        <v>47</v>
      </c>
      <c r="B25" s="15"/>
      <c r="C25" s="15"/>
      <c r="D25" s="15"/>
      <c r="E25" s="15"/>
      <c r="F25" s="166"/>
      <c r="G25" s="167">
        <v>0</v>
      </c>
      <c r="H25" s="166"/>
      <c r="I25" s="167">
        <v>1666756.93</v>
      </c>
      <c r="J25" s="348"/>
      <c r="K25" s="167">
        <v>7977881.7300000004</v>
      </c>
      <c r="L25" s="348"/>
      <c r="M25" s="167">
        <v>13225887.66</v>
      </c>
      <c r="N25" s="405"/>
      <c r="O25" s="406">
        <v>14127887.27</v>
      </c>
      <c r="P25" s="407"/>
      <c r="Q25" s="406">
        <v>9909471.0999999996</v>
      </c>
      <c r="R25" s="407"/>
      <c r="S25" s="406">
        <v>14001712.48</v>
      </c>
      <c r="T25" s="407"/>
      <c r="U25" s="406">
        <v>13479600.390000001</v>
      </c>
      <c r="V25" s="407"/>
      <c r="W25" s="406">
        <v>7493273.3899999997</v>
      </c>
      <c r="X25" s="407"/>
      <c r="Y25" s="408">
        <v>6796218</v>
      </c>
      <c r="Z25" s="407"/>
      <c r="AA25" s="408">
        <v>5200091</v>
      </c>
      <c r="AB25" s="409"/>
      <c r="AC25" s="410"/>
      <c r="AD25" s="363"/>
      <c r="AE25" s="411"/>
      <c r="AF25" s="365">
        <f t="shared" si="2"/>
        <v>9394179.0519999992</v>
      </c>
      <c r="AG25" s="318">
        <f t="shared" si="3"/>
        <v>-0.62861035695256617</v>
      </c>
    </row>
    <row r="26" spans="1:33" ht="18" customHeight="1" thickTop="1" x14ac:dyDescent="0.2">
      <c r="A26" s="127" t="s">
        <v>44</v>
      </c>
      <c r="B26" s="128" t="s">
        <v>15</v>
      </c>
      <c r="C26" s="129" t="s">
        <v>16</v>
      </c>
      <c r="D26" s="130" t="s">
        <v>15</v>
      </c>
      <c r="E26" s="131" t="s">
        <v>16</v>
      </c>
      <c r="F26" s="220" t="s">
        <v>15</v>
      </c>
      <c r="G26" s="221" t="s">
        <v>16</v>
      </c>
      <c r="H26" s="222" t="s">
        <v>15</v>
      </c>
      <c r="I26" s="223" t="s">
        <v>16</v>
      </c>
      <c r="J26" s="272" t="s">
        <v>15</v>
      </c>
      <c r="K26" s="273" t="s">
        <v>16</v>
      </c>
      <c r="L26" s="272" t="s">
        <v>15</v>
      </c>
      <c r="M26" s="273" t="s">
        <v>16</v>
      </c>
      <c r="N26" s="412" t="s">
        <v>15</v>
      </c>
      <c r="O26" s="413" t="s">
        <v>16</v>
      </c>
      <c r="P26" s="412" t="s">
        <v>15</v>
      </c>
      <c r="Q26" s="413" t="s">
        <v>16</v>
      </c>
      <c r="R26" s="412" t="s">
        <v>15</v>
      </c>
      <c r="S26" s="413" t="s">
        <v>16</v>
      </c>
      <c r="T26" s="412" t="s">
        <v>15</v>
      </c>
      <c r="U26" s="413" t="s">
        <v>16</v>
      </c>
      <c r="V26" s="412" t="s">
        <v>15</v>
      </c>
      <c r="W26" s="413" t="s">
        <v>16</v>
      </c>
      <c r="X26" s="412" t="s">
        <v>15</v>
      </c>
      <c r="Y26" s="413" t="s">
        <v>16</v>
      </c>
      <c r="Z26" s="412" t="s">
        <v>15</v>
      </c>
      <c r="AA26" s="413" t="s">
        <v>16</v>
      </c>
      <c r="AB26" s="414" t="s">
        <v>15</v>
      </c>
      <c r="AC26" s="415" t="s">
        <v>16</v>
      </c>
      <c r="AD26" s="416"/>
      <c r="AE26" s="417" t="s">
        <v>15</v>
      </c>
      <c r="AF26" s="418" t="s">
        <v>16</v>
      </c>
      <c r="AG26" s="251" t="s">
        <v>45</v>
      </c>
    </row>
    <row r="27" spans="1:33" ht="15" customHeight="1" x14ac:dyDescent="0.2">
      <c r="A27" s="77" t="s">
        <v>42</v>
      </c>
      <c r="B27" s="79">
        <v>40</v>
      </c>
      <c r="C27" s="69">
        <v>2876665</v>
      </c>
      <c r="D27" s="101">
        <v>31</v>
      </c>
      <c r="E27" s="70">
        <v>1826291</v>
      </c>
      <c r="F27" s="102">
        <v>18</v>
      </c>
      <c r="G27" s="71">
        <v>508842</v>
      </c>
      <c r="H27" s="103">
        <v>15</v>
      </c>
      <c r="I27" s="73">
        <v>5869231</v>
      </c>
      <c r="J27" s="99">
        <v>21</v>
      </c>
      <c r="K27" s="248">
        <v>1950533</v>
      </c>
      <c r="L27" s="99">
        <v>19</v>
      </c>
      <c r="M27" s="248">
        <v>3984671</v>
      </c>
      <c r="N27" s="419">
        <v>17</v>
      </c>
      <c r="O27" s="420">
        <v>14614649</v>
      </c>
      <c r="P27" s="419">
        <v>23</v>
      </c>
      <c r="Q27" s="420">
        <v>10898646</v>
      </c>
      <c r="R27" s="419">
        <v>15</v>
      </c>
      <c r="S27" s="420">
        <v>13193704</v>
      </c>
      <c r="T27" s="419">
        <v>20</v>
      </c>
      <c r="U27" s="420">
        <v>3940773</v>
      </c>
      <c r="V27" s="419">
        <v>21</v>
      </c>
      <c r="W27" s="420">
        <v>4007128</v>
      </c>
      <c r="X27" s="419">
        <v>33</v>
      </c>
      <c r="Y27" s="420">
        <v>4097840</v>
      </c>
      <c r="Z27" s="419">
        <v>37</v>
      </c>
      <c r="AA27" s="420">
        <v>8716139</v>
      </c>
      <c r="AB27" s="421"/>
      <c r="AC27" s="422"/>
      <c r="AD27" s="363"/>
      <c r="AE27" s="259">
        <f>AVERAGE(T27,R27,Z27,X27,V27)</f>
        <v>25.2</v>
      </c>
      <c r="AF27" s="423">
        <f t="shared" ref="AF27:AF28" si="4">AVERAGE(U27,AA27,S27,W27,Y27)</f>
        <v>6791116.7999999998</v>
      </c>
      <c r="AG27" s="324">
        <f t="shared" ref="AG27:AG28" si="5">+(AA27-S27)/S27</f>
        <v>-0.3393713395419512</v>
      </c>
    </row>
    <row r="28" spans="1:33" ht="15" customHeight="1" thickBot="1" x14ac:dyDescent="0.25">
      <c r="A28" s="78" t="s">
        <v>43</v>
      </c>
      <c r="B28" s="144">
        <v>26</v>
      </c>
      <c r="C28" s="141">
        <v>3214405</v>
      </c>
      <c r="D28" s="134">
        <v>21</v>
      </c>
      <c r="E28" s="145">
        <v>3675615.12</v>
      </c>
      <c r="F28" s="135">
        <v>25</v>
      </c>
      <c r="G28" s="138">
        <v>6790615</v>
      </c>
      <c r="H28" s="136">
        <v>22</v>
      </c>
      <c r="I28" s="137">
        <v>3050854</v>
      </c>
      <c r="J28" s="249">
        <v>25</v>
      </c>
      <c r="K28" s="250">
        <v>17840655</v>
      </c>
      <c r="L28" s="249">
        <v>16</v>
      </c>
      <c r="M28" s="250">
        <v>16866207</v>
      </c>
      <c r="N28" s="424">
        <v>14</v>
      </c>
      <c r="O28" s="425">
        <v>14709030</v>
      </c>
      <c r="P28" s="424">
        <v>16</v>
      </c>
      <c r="Q28" s="425">
        <v>11156617</v>
      </c>
      <c r="R28" s="424">
        <v>16</v>
      </c>
      <c r="S28" s="425">
        <v>15630852</v>
      </c>
      <c r="T28" s="424">
        <v>17</v>
      </c>
      <c r="U28" s="425">
        <v>6524106</v>
      </c>
      <c r="V28" s="424">
        <v>18</v>
      </c>
      <c r="W28" s="425">
        <v>7537520</v>
      </c>
      <c r="X28" s="424">
        <v>18</v>
      </c>
      <c r="Y28" s="425">
        <v>8292408</v>
      </c>
      <c r="Z28" s="424">
        <v>19</v>
      </c>
      <c r="AA28" s="425">
        <v>6700747</v>
      </c>
      <c r="AB28" s="426"/>
      <c r="AC28" s="427"/>
      <c r="AD28" s="363"/>
      <c r="AE28" s="259">
        <f>AVERAGE(T28,R28,Z28,X28,V28)</f>
        <v>17.600000000000001</v>
      </c>
      <c r="AF28" s="428">
        <f t="shared" si="4"/>
        <v>8937126.5999999996</v>
      </c>
      <c r="AG28" s="324">
        <f t="shared" si="5"/>
        <v>-0.57131274737934956</v>
      </c>
    </row>
    <row r="29" spans="1:33" ht="18" customHeight="1" thickTop="1" thickBot="1" x14ac:dyDescent="0.25">
      <c r="A29" s="127" t="s">
        <v>12</v>
      </c>
      <c r="B29" s="505" t="s">
        <v>3</v>
      </c>
      <c r="C29" s="506"/>
      <c r="D29" s="505" t="s">
        <v>4</v>
      </c>
      <c r="E29" s="517"/>
      <c r="F29" s="507"/>
      <c r="G29" s="508"/>
      <c r="H29" s="507"/>
      <c r="I29" s="536"/>
      <c r="J29" s="507"/>
      <c r="K29" s="536"/>
      <c r="L29" s="507"/>
      <c r="M29" s="508"/>
      <c r="N29" s="493"/>
      <c r="O29" s="494"/>
      <c r="P29" s="493"/>
      <c r="Q29" s="494"/>
      <c r="R29" s="493"/>
      <c r="S29" s="494"/>
      <c r="T29" s="493"/>
      <c r="U29" s="494"/>
      <c r="V29" s="493"/>
      <c r="W29" s="494"/>
      <c r="X29" s="493"/>
      <c r="Y29" s="494"/>
      <c r="Z29" s="493"/>
      <c r="AA29" s="494"/>
      <c r="AB29" s="493"/>
      <c r="AC29" s="504"/>
      <c r="AD29" s="363"/>
      <c r="AE29" s="497"/>
      <c r="AF29" s="498"/>
      <c r="AG29" s="325"/>
    </row>
    <row r="30" spans="1:33" ht="15" customHeight="1" x14ac:dyDescent="0.2">
      <c r="A30" s="77" t="s">
        <v>18</v>
      </c>
      <c r="B30" s="34"/>
      <c r="C30" s="46">
        <v>69418.39</v>
      </c>
      <c r="D30" s="6"/>
      <c r="E30" s="47">
        <v>65783.34</v>
      </c>
      <c r="F30" s="228"/>
      <c r="G30" s="87">
        <v>76366.600000000006</v>
      </c>
      <c r="H30" s="88"/>
      <c r="I30" s="89">
        <v>70148.02</v>
      </c>
      <c r="J30" s="81"/>
      <c r="K30" s="96">
        <v>255931.49</v>
      </c>
      <c r="L30" s="81"/>
      <c r="M30" s="107">
        <v>130433</v>
      </c>
      <c r="N30" s="429"/>
      <c r="O30" s="430">
        <v>56451</v>
      </c>
      <c r="P30" s="431"/>
      <c r="Q30" s="430">
        <v>98500.19</v>
      </c>
      <c r="R30" s="431"/>
      <c r="S30" s="430">
        <v>89333.8</v>
      </c>
      <c r="T30" s="431"/>
      <c r="U30" s="430">
        <v>43716.51</v>
      </c>
      <c r="V30" s="431"/>
      <c r="W30" s="430">
        <v>136122.89000000001</v>
      </c>
      <c r="X30" s="431"/>
      <c r="Y30" s="430">
        <v>152084.6</v>
      </c>
      <c r="Z30" s="431"/>
      <c r="AA30" s="430">
        <v>169912</v>
      </c>
      <c r="AB30" s="431"/>
      <c r="AC30" s="432"/>
      <c r="AD30" s="363"/>
      <c r="AE30" s="364"/>
      <c r="AF30" s="423">
        <f t="shared" ref="AF30:AF31" si="6">AVERAGE(U30,AA30,S30,W30,Y30)</f>
        <v>118233.96</v>
      </c>
      <c r="AG30" s="324">
        <f t="shared" ref="AG30:AG31" si="7">+(AA30-S30)/S30</f>
        <v>0.90199006423100769</v>
      </c>
    </row>
    <row r="31" spans="1:33" ht="15" customHeight="1" thickBot="1" x14ac:dyDescent="0.25">
      <c r="A31" s="78" t="s">
        <v>29</v>
      </c>
      <c r="B31" s="90"/>
      <c r="C31" s="33">
        <v>178351.87</v>
      </c>
      <c r="D31" s="8"/>
      <c r="E31" s="40">
        <v>192766.89</v>
      </c>
      <c r="F31" s="91"/>
      <c r="G31" s="85">
        <v>317405.98</v>
      </c>
      <c r="H31" s="92"/>
      <c r="I31" s="93">
        <v>370766.94</v>
      </c>
      <c r="J31" s="86"/>
      <c r="K31" s="97">
        <v>351060.86</v>
      </c>
      <c r="L31" s="86"/>
      <c r="M31" s="108">
        <v>266197.40000000002</v>
      </c>
      <c r="N31" s="433"/>
      <c r="O31" s="434">
        <v>278372</v>
      </c>
      <c r="P31" s="435"/>
      <c r="Q31" s="434">
        <v>314387.77</v>
      </c>
      <c r="R31" s="435"/>
      <c r="S31" s="434">
        <v>295534.81</v>
      </c>
      <c r="T31" s="435"/>
      <c r="U31" s="434">
        <v>293523.8</v>
      </c>
      <c r="V31" s="435"/>
      <c r="W31" s="434">
        <v>335878.58</v>
      </c>
      <c r="X31" s="435"/>
      <c r="Y31" s="434">
        <v>324088.15000000002</v>
      </c>
      <c r="Z31" s="435"/>
      <c r="AA31" s="434">
        <v>310732</v>
      </c>
      <c r="AB31" s="435"/>
      <c r="AC31" s="436"/>
      <c r="AD31" s="363"/>
      <c r="AE31" s="411"/>
      <c r="AF31" s="437">
        <f t="shared" si="6"/>
        <v>311951.46800000005</v>
      </c>
      <c r="AG31" s="230">
        <f t="shared" si="7"/>
        <v>5.1422673356143742E-2</v>
      </c>
    </row>
    <row r="32" spans="1:33" ht="15" customHeight="1" thickTop="1" x14ac:dyDescent="0.2">
      <c r="A32" s="231"/>
      <c r="B32" s="232"/>
      <c r="C32" s="233"/>
      <c r="D32" s="232"/>
      <c r="E32" s="234"/>
      <c r="F32" s="235"/>
      <c r="G32" s="236"/>
      <c r="H32" s="235"/>
      <c r="I32" s="236"/>
      <c r="J32" s="235"/>
      <c r="K32" s="236"/>
      <c r="L32" s="235"/>
      <c r="M32" s="236"/>
      <c r="N32" s="373"/>
      <c r="O32" s="438"/>
      <c r="P32" s="373"/>
      <c r="Q32" s="438"/>
      <c r="R32" s="373"/>
      <c r="S32" s="438"/>
      <c r="T32" s="373"/>
      <c r="U32" s="438"/>
      <c r="V32" s="373"/>
      <c r="W32" s="438"/>
      <c r="X32" s="373"/>
      <c r="Y32" s="438"/>
      <c r="Z32" s="373"/>
      <c r="AA32" s="438"/>
      <c r="AB32" s="373"/>
      <c r="AC32" s="438"/>
      <c r="AD32" s="439"/>
      <c r="AE32" s="439"/>
      <c r="AF32" s="439"/>
    </row>
    <row r="33" spans="1:1" x14ac:dyDescent="0.2">
      <c r="A33" s="310" t="s">
        <v>48</v>
      </c>
    </row>
  </sheetData>
  <mergeCells count="40">
    <mergeCell ref="AB9:AC9"/>
    <mergeCell ref="AB22:AC22"/>
    <mergeCell ref="AB29:AC29"/>
    <mergeCell ref="Z29:AA29"/>
    <mergeCell ref="B9:C9"/>
    <mergeCell ref="D9:E9"/>
    <mergeCell ref="P9:Q9"/>
    <mergeCell ref="R9:S9"/>
    <mergeCell ref="N9:O9"/>
    <mergeCell ref="L9:M9"/>
    <mergeCell ref="H9:I9"/>
    <mergeCell ref="J9:K9"/>
    <mergeCell ref="D29:E29"/>
    <mergeCell ref="AE9:AF9"/>
    <mergeCell ref="F9:G9"/>
    <mergeCell ref="Z9:AA9"/>
    <mergeCell ref="X9:Y9"/>
    <mergeCell ref="N29:O29"/>
    <mergeCell ref="P29:Q29"/>
    <mergeCell ref="R29:S29"/>
    <mergeCell ref="V9:W9"/>
    <mergeCell ref="T9:U9"/>
    <mergeCell ref="T29:U29"/>
    <mergeCell ref="V29:W29"/>
    <mergeCell ref="F29:G29"/>
    <mergeCell ref="H29:I29"/>
    <mergeCell ref="J29:K29"/>
    <mergeCell ref="L29:M29"/>
    <mergeCell ref="AE22:AF22"/>
    <mergeCell ref="AE29:AF29"/>
    <mergeCell ref="B22:C22"/>
    <mergeCell ref="D22:E22"/>
    <mergeCell ref="F22:G22"/>
    <mergeCell ref="H22:I22"/>
    <mergeCell ref="J22:K22"/>
    <mergeCell ref="L22:M22"/>
    <mergeCell ref="X22:Y22"/>
    <mergeCell ref="Z22:AA22"/>
    <mergeCell ref="B29:C29"/>
    <mergeCell ref="X29:Y29"/>
  </mergeCells>
  <phoneticPr fontId="0" type="noConversion"/>
  <pageMargins left="0.5" right="0.5" top="0.5" bottom="0.5" header="0.3" footer="0.3"/>
  <pageSetup scale="75" orientation="landscape" r:id="rId1"/>
  <headerFooter alignWithMargins="0">
    <oddFooter>&amp;L&amp;9Prepared by Planning and Analysis&amp;C&amp;9&amp;P of &amp;N&amp;R&amp;9Updated &amp;D</oddFooter>
  </headerFooter>
  <colBreaks count="1" manualBreakCount="1">
    <brk id="2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zoomScaleNormal="100" zoomScaleSheetLayoutView="100" workbookViewId="0">
      <pane xSplit="1" ySplit="7" topLeftCell="L23" activePane="bottomRight" state="frozen"/>
      <selection activeCell="AA26" sqref="AA26"/>
      <selection pane="topRight" activeCell="AA26" sqref="AA26"/>
      <selection pane="bottomLeft" activeCell="AA26" sqref="AA26"/>
      <selection pane="bottomRight" activeCell="AA26" sqref="AA26"/>
    </sheetView>
  </sheetViews>
  <sheetFormatPr defaultColWidth="10.28515625" defaultRowHeight="12.75" x14ac:dyDescent="0.2"/>
  <cols>
    <col min="1" max="1" width="32.7109375" customWidth="1"/>
    <col min="2" max="2" width="4.7109375" hidden="1" customWidth="1"/>
    <col min="3" max="3" width="10.7109375" hidden="1" customWidth="1"/>
    <col min="4" max="4" width="4.7109375" hidden="1" customWidth="1"/>
    <col min="5" max="5" width="10.7109375" hidden="1" customWidth="1"/>
    <col min="6" max="6" width="4.7109375" style="36" hidden="1" customWidth="1"/>
    <col min="7" max="7" width="10.7109375" style="36" hidden="1" customWidth="1"/>
    <col min="8" max="8" width="4.7109375" style="36" hidden="1" customWidth="1"/>
    <col min="9" max="9" width="10.7109375" style="36" hidden="1" customWidth="1"/>
    <col min="10" max="10" width="4.7109375" hidden="1" customWidth="1"/>
    <col min="11" max="11" width="10.7109375" hidden="1" customWidth="1"/>
    <col min="12" max="12" width="4.7109375" style="112" hidden="1" customWidth="1"/>
    <col min="13" max="13" width="10.7109375" style="112" hidden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4.7109375" style="1" customWidth="1"/>
    <col min="21" max="21" width="10.7109375" style="1" customWidth="1"/>
    <col min="22" max="22" width="4.7109375" style="1" customWidth="1"/>
    <col min="23" max="23" width="10.7109375" style="1" customWidth="1"/>
    <col min="24" max="24" width="4.7109375" style="1" customWidth="1"/>
    <col min="25" max="25" width="10.7109375" style="1" customWidth="1"/>
    <col min="26" max="26" width="4.7109375" style="1" customWidth="1"/>
    <col min="27" max="27" width="10.7109375" style="1" customWidth="1"/>
    <col min="28" max="28" width="4.7109375" style="1" customWidth="1"/>
    <col min="29" max="29" width="10.7109375" style="1" customWidth="1"/>
    <col min="30" max="30" width="2.5703125" style="1" customWidth="1"/>
    <col min="31" max="31" width="4.7109375" style="1" customWidth="1"/>
    <col min="32" max="32" width="10.7109375" style="1" customWidth="1"/>
    <col min="33" max="33" width="8.7109375" style="1" customWidth="1"/>
    <col min="34" max="34" width="4.7109375" customWidth="1"/>
  </cols>
  <sheetData>
    <row r="1" spans="1:33" s="1" customFormat="1" ht="15.75" x14ac:dyDescent="0.25">
      <c r="A1" s="169" t="s">
        <v>37</v>
      </c>
      <c r="B1"/>
      <c r="C1"/>
      <c r="D1"/>
      <c r="E1"/>
      <c r="F1" s="36"/>
      <c r="G1" s="36"/>
      <c r="H1" s="36"/>
      <c r="I1" s="36"/>
    </row>
    <row r="2" spans="1:33" s="1" customFormat="1" ht="15.75" x14ac:dyDescent="0.25">
      <c r="A2" s="169" t="s">
        <v>38</v>
      </c>
      <c r="B2"/>
      <c r="C2"/>
      <c r="D2"/>
      <c r="E2"/>
      <c r="F2" s="36"/>
      <c r="G2" s="36"/>
      <c r="H2" s="36"/>
      <c r="I2" s="36"/>
    </row>
    <row r="3" spans="1:33" s="1" customFormat="1" ht="5.25" customHeight="1" x14ac:dyDescent="0.25">
      <c r="A3" s="169"/>
      <c r="B3"/>
      <c r="C3"/>
      <c r="D3"/>
      <c r="E3"/>
      <c r="F3" s="36"/>
      <c r="G3" s="36"/>
      <c r="H3" s="36"/>
      <c r="I3" s="36"/>
    </row>
    <row r="4" spans="1:33" s="1" customFormat="1" ht="15.75" x14ac:dyDescent="0.25">
      <c r="A4" s="170" t="s">
        <v>39</v>
      </c>
      <c r="B4"/>
      <c r="C4"/>
      <c r="D4"/>
      <c r="E4"/>
      <c r="F4" s="36"/>
      <c r="G4" s="36"/>
      <c r="H4" s="36"/>
      <c r="I4" s="36"/>
    </row>
    <row r="5" spans="1:33" s="1" customFormat="1" ht="6" customHeight="1" x14ac:dyDescent="0.25">
      <c r="A5" s="170"/>
      <c r="B5"/>
      <c r="C5"/>
      <c r="D5"/>
      <c r="E5"/>
      <c r="F5" s="36"/>
      <c r="G5" s="36"/>
      <c r="H5" s="36"/>
      <c r="I5" s="36"/>
    </row>
    <row r="6" spans="1:33" s="1" customFormat="1" x14ac:dyDescent="0.2">
      <c r="A6" s="17" t="s">
        <v>32</v>
      </c>
      <c r="F6" s="18"/>
      <c r="G6" s="18"/>
      <c r="H6" s="18"/>
      <c r="I6" s="18"/>
    </row>
    <row r="7" spans="1:33" s="1" customFormat="1" x14ac:dyDescent="0.2">
      <c r="A7" s="171">
        <v>3670020210</v>
      </c>
      <c r="F7" s="18"/>
      <c r="G7" s="18"/>
      <c r="H7" s="18"/>
      <c r="I7" s="18"/>
    </row>
    <row r="8" spans="1:33" s="1" customFormat="1" thickBot="1" x14ac:dyDescent="0.25">
      <c r="A8" s="13"/>
      <c r="B8" s="3"/>
      <c r="C8" s="3"/>
      <c r="D8" s="3"/>
      <c r="E8" s="3"/>
      <c r="F8" s="37"/>
      <c r="G8" s="37"/>
      <c r="H8" s="37"/>
      <c r="I8" s="37"/>
      <c r="J8" s="37"/>
      <c r="K8" s="37"/>
      <c r="L8" s="37"/>
      <c r="M8" s="37"/>
    </row>
    <row r="9" spans="1:33" s="1" customFormat="1" ht="30" customHeight="1" thickTop="1" thickBot="1" x14ac:dyDescent="0.25">
      <c r="A9" s="127"/>
      <c r="B9" s="505" t="s">
        <v>3</v>
      </c>
      <c r="C9" s="506"/>
      <c r="D9" s="517" t="s">
        <v>4</v>
      </c>
      <c r="E9" s="517"/>
      <c r="F9" s="489" t="s">
        <v>17</v>
      </c>
      <c r="G9" s="490"/>
      <c r="H9" s="491" t="s">
        <v>19</v>
      </c>
      <c r="I9" s="491"/>
      <c r="J9" s="489" t="s">
        <v>20</v>
      </c>
      <c r="K9" s="491"/>
      <c r="L9" s="489" t="s">
        <v>22</v>
      </c>
      <c r="M9" s="490"/>
      <c r="N9" s="491" t="s">
        <v>24</v>
      </c>
      <c r="O9" s="490"/>
      <c r="P9" s="491" t="s">
        <v>25</v>
      </c>
      <c r="Q9" s="490"/>
      <c r="R9" s="491" t="s">
        <v>28</v>
      </c>
      <c r="S9" s="490"/>
      <c r="T9" s="491" t="s">
        <v>30</v>
      </c>
      <c r="U9" s="490"/>
      <c r="V9" s="491" t="s">
        <v>33</v>
      </c>
      <c r="W9" s="490"/>
      <c r="X9" s="491" t="s">
        <v>34</v>
      </c>
      <c r="Y9" s="490"/>
      <c r="Z9" s="491" t="s">
        <v>35</v>
      </c>
      <c r="AA9" s="490"/>
      <c r="AB9" s="491" t="s">
        <v>52</v>
      </c>
      <c r="AC9" s="492"/>
      <c r="AE9" s="487" t="s">
        <v>23</v>
      </c>
      <c r="AF9" s="488"/>
      <c r="AG9" s="181" t="s">
        <v>40</v>
      </c>
    </row>
    <row r="10" spans="1:33" s="1" customFormat="1" ht="18" customHeight="1" x14ac:dyDescent="0.2">
      <c r="A10" s="172" t="s">
        <v>5</v>
      </c>
      <c r="B10" s="178"/>
      <c r="C10" s="173"/>
      <c r="D10" s="54"/>
      <c r="E10" s="54"/>
      <c r="F10" s="174"/>
      <c r="G10" s="177"/>
      <c r="H10" s="176"/>
      <c r="I10" s="176"/>
      <c r="J10" s="174"/>
      <c r="K10" s="176"/>
      <c r="L10" s="174"/>
      <c r="M10" s="177"/>
      <c r="N10" s="393"/>
      <c r="O10" s="394"/>
      <c r="P10" s="393"/>
      <c r="Q10" s="394"/>
      <c r="R10" s="393"/>
      <c r="S10" s="394"/>
      <c r="T10" s="393"/>
      <c r="U10" s="394"/>
      <c r="V10" s="393"/>
      <c r="W10" s="394"/>
      <c r="X10" s="393"/>
      <c r="Y10" s="394"/>
      <c r="Z10" s="393"/>
      <c r="AA10" s="394"/>
      <c r="AB10" s="393"/>
      <c r="AC10" s="451"/>
      <c r="AD10" s="363"/>
      <c r="AE10" s="452"/>
      <c r="AF10" s="453"/>
      <c r="AG10" s="182"/>
    </row>
    <row r="11" spans="1:33" s="1" customFormat="1" ht="15" customHeight="1" x14ac:dyDescent="0.2">
      <c r="A11" s="76" t="s">
        <v>6</v>
      </c>
      <c r="B11" s="20"/>
      <c r="C11" s="21"/>
      <c r="D11" s="5"/>
      <c r="E11" s="5"/>
      <c r="F11" s="38"/>
      <c r="G11" s="59"/>
      <c r="H11" s="55"/>
      <c r="I11" s="55"/>
      <c r="J11" s="38"/>
      <c r="K11" s="55"/>
      <c r="L11" s="38"/>
      <c r="M11" s="59"/>
      <c r="N11" s="359"/>
      <c r="O11" s="360"/>
      <c r="P11" s="361"/>
      <c r="Q11" s="360"/>
      <c r="R11" s="361"/>
      <c r="S11" s="360"/>
      <c r="T11" s="361"/>
      <c r="U11" s="360"/>
      <c r="V11" s="361"/>
      <c r="W11" s="360"/>
      <c r="X11" s="361"/>
      <c r="Y11" s="360"/>
      <c r="Z11" s="361"/>
      <c r="AA11" s="360"/>
      <c r="AB11" s="361"/>
      <c r="AC11" s="362"/>
      <c r="AD11" s="363"/>
      <c r="AE11" s="364"/>
      <c r="AF11" s="365"/>
      <c r="AG11" s="63"/>
    </row>
    <row r="12" spans="1:33" s="1" customFormat="1" ht="15" customHeight="1" x14ac:dyDescent="0.2">
      <c r="A12" s="77" t="s">
        <v>7</v>
      </c>
      <c r="B12" s="19"/>
      <c r="C12" s="22">
        <v>732761</v>
      </c>
      <c r="D12" s="4"/>
      <c r="E12" s="30">
        <v>801609</v>
      </c>
      <c r="F12" s="43"/>
      <c r="G12" s="60">
        <v>808269</v>
      </c>
      <c r="H12" s="56"/>
      <c r="I12" s="281">
        <v>808643</v>
      </c>
      <c r="J12" s="118"/>
      <c r="K12" s="281">
        <f>886252+35538</f>
        <v>921790</v>
      </c>
      <c r="L12" s="118"/>
      <c r="M12" s="280">
        <f>996473+37978</f>
        <v>1034451</v>
      </c>
      <c r="N12" s="366"/>
      <c r="O12" s="367">
        <v>1110200</v>
      </c>
      <c r="P12" s="368"/>
      <c r="Q12" s="367">
        <v>1134128</v>
      </c>
      <c r="R12" s="368"/>
      <c r="S12" s="367">
        <v>1146054</v>
      </c>
      <c r="T12" s="368"/>
      <c r="U12" s="367">
        <v>1177637</v>
      </c>
      <c r="V12" s="368"/>
      <c r="W12" s="367">
        <v>1224696</v>
      </c>
      <c r="X12" s="368"/>
      <c r="Y12" s="367">
        <v>1675909</v>
      </c>
      <c r="Z12" s="368"/>
      <c r="AA12" s="367">
        <v>1672593</v>
      </c>
      <c r="AB12" s="368"/>
      <c r="AC12" s="369">
        <v>1609711</v>
      </c>
      <c r="AD12" s="363"/>
      <c r="AE12" s="364"/>
      <c r="AF12" s="365">
        <f>AVERAGE(W12,U12,Y12,AC12,AA12)</f>
        <v>1472109.2</v>
      </c>
      <c r="AG12" s="318">
        <f>+(AC12-U12)/U12</f>
        <v>0.36689913784977884</v>
      </c>
    </row>
    <row r="13" spans="1:33" s="1" customFormat="1" ht="15" customHeight="1" x14ac:dyDescent="0.2">
      <c r="A13" s="77" t="s">
        <v>26</v>
      </c>
      <c r="B13" s="19"/>
      <c r="C13" s="22"/>
      <c r="D13" s="4"/>
      <c r="E13" s="30"/>
      <c r="F13" s="43"/>
      <c r="G13" s="60"/>
      <c r="H13" s="56"/>
      <c r="I13" s="281"/>
      <c r="J13" s="118"/>
      <c r="K13" s="281"/>
      <c r="L13" s="118"/>
      <c r="M13" s="280"/>
      <c r="N13" s="366"/>
      <c r="O13" s="367"/>
      <c r="P13" s="368"/>
      <c r="Q13" s="367"/>
      <c r="R13" s="368"/>
      <c r="S13" s="367"/>
      <c r="T13" s="368"/>
      <c r="U13" s="367"/>
      <c r="V13" s="368"/>
      <c r="W13" s="367"/>
      <c r="X13" s="368"/>
      <c r="Y13" s="367"/>
      <c r="Z13" s="368"/>
      <c r="AA13" s="367"/>
      <c r="AB13" s="368"/>
      <c r="AC13" s="369"/>
      <c r="AD13" s="363"/>
      <c r="AE13" s="370"/>
      <c r="AF13" s="365"/>
      <c r="AG13" s="319"/>
    </row>
    <row r="14" spans="1:33" s="1" customFormat="1" ht="30" customHeight="1" thickBot="1" x14ac:dyDescent="0.25">
      <c r="A14" s="206" t="s">
        <v>27</v>
      </c>
      <c r="B14" s="191"/>
      <c r="C14" s="192">
        <v>83619</v>
      </c>
      <c r="D14" s="165"/>
      <c r="E14" s="193">
        <v>84606</v>
      </c>
      <c r="F14" s="194"/>
      <c r="G14" s="195">
        <v>99753</v>
      </c>
      <c r="H14" s="196"/>
      <c r="I14" s="290">
        <v>89677</v>
      </c>
      <c r="J14" s="288"/>
      <c r="K14" s="290">
        <v>74672</v>
      </c>
      <c r="L14" s="288"/>
      <c r="M14" s="289">
        <v>74632</v>
      </c>
      <c r="N14" s="371"/>
      <c r="O14" s="372">
        <v>152215</v>
      </c>
      <c r="P14" s="373"/>
      <c r="Q14" s="372">
        <v>153009</v>
      </c>
      <c r="R14" s="373"/>
      <c r="S14" s="372">
        <v>153806</v>
      </c>
      <c r="T14" s="373"/>
      <c r="U14" s="372">
        <v>154246</v>
      </c>
      <c r="V14" s="373"/>
      <c r="W14" s="372">
        <v>153908</v>
      </c>
      <c r="X14" s="373"/>
      <c r="Y14" s="372">
        <v>173280</v>
      </c>
      <c r="Z14" s="373"/>
      <c r="AA14" s="372">
        <v>183944</v>
      </c>
      <c r="AB14" s="373"/>
      <c r="AC14" s="374">
        <v>539800</v>
      </c>
      <c r="AD14" s="363"/>
      <c r="AE14" s="375"/>
      <c r="AF14" s="376">
        <f t="shared" ref="AF14:AF21" si="0">AVERAGE(W14,U14,Y14,AC14,AA14)</f>
        <v>241035.6</v>
      </c>
      <c r="AG14" s="318">
        <f t="shared" ref="AG14:AG21" si="1">+(AC14-U14)/U14</f>
        <v>2.4996045278321644</v>
      </c>
    </row>
    <row r="15" spans="1:33" s="1" customFormat="1" ht="18.75" customHeight="1" thickBot="1" x14ac:dyDescent="0.25">
      <c r="A15" s="213" t="s">
        <v>8</v>
      </c>
      <c r="B15" s="198"/>
      <c r="C15" s="199">
        <f>SUM(C12:C14)</f>
        <v>816380</v>
      </c>
      <c r="D15" s="200"/>
      <c r="E15" s="201">
        <f>SUM(E12:E14)</f>
        <v>886215</v>
      </c>
      <c r="F15" s="202"/>
      <c r="G15" s="203">
        <f>SUM(G12:G14)</f>
        <v>908022</v>
      </c>
      <c r="H15" s="204"/>
      <c r="I15" s="297">
        <f>SUM(I12:I14)</f>
        <v>898320</v>
      </c>
      <c r="J15" s="294"/>
      <c r="K15" s="297">
        <f>SUM(K12:K14)</f>
        <v>996462</v>
      </c>
      <c r="L15" s="294"/>
      <c r="M15" s="295">
        <f>SUM(M12:M14)</f>
        <v>1109083</v>
      </c>
      <c r="N15" s="377"/>
      <c r="O15" s="378">
        <f>SUM(O12:O14)</f>
        <v>1262415</v>
      </c>
      <c r="P15" s="379"/>
      <c r="Q15" s="378">
        <f>SUM(Q12:Q14)</f>
        <v>1287137</v>
      </c>
      <c r="R15" s="379"/>
      <c r="S15" s="378">
        <f>SUM(S12:S14)</f>
        <v>1299860</v>
      </c>
      <c r="T15" s="379"/>
      <c r="U15" s="378">
        <f>SUM(U12:U14)</f>
        <v>1331883</v>
      </c>
      <c r="V15" s="379"/>
      <c r="W15" s="378">
        <f>SUM(W12:W14)</f>
        <v>1378604</v>
      </c>
      <c r="X15" s="379"/>
      <c r="Y15" s="378">
        <f>SUM(Y12:Y14)</f>
        <v>1849189</v>
      </c>
      <c r="Z15" s="379"/>
      <c r="AA15" s="378">
        <f>SUM(AA12:AA14)</f>
        <v>1856537</v>
      </c>
      <c r="AB15" s="379"/>
      <c r="AC15" s="380">
        <f>SUM(AC12:AC14)</f>
        <v>2149511</v>
      </c>
      <c r="AD15" s="363"/>
      <c r="AE15" s="381"/>
      <c r="AF15" s="382">
        <f t="shared" si="0"/>
        <v>1713144.8</v>
      </c>
      <c r="AG15" s="320">
        <f t="shared" si="1"/>
        <v>0.61388875749596628</v>
      </c>
    </row>
    <row r="16" spans="1:33" s="1" customFormat="1" ht="15" customHeight="1" x14ac:dyDescent="0.2">
      <c r="A16" s="111" t="s">
        <v>9</v>
      </c>
      <c r="B16" s="19"/>
      <c r="C16" s="22"/>
      <c r="D16" s="4"/>
      <c r="E16" s="30"/>
      <c r="F16" s="43"/>
      <c r="G16" s="60"/>
      <c r="H16" s="56"/>
      <c r="I16" s="281"/>
      <c r="J16" s="118"/>
      <c r="K16" s="281"/>
      <c r="L16" s="118"/>
      <c r="M16" s="280"/>
      <c r="N16" s="359"/>
      <c r="O16" s="383"/>
      <c r="P16" s="361"/>
      <c r="Q16" s="383"/>
      <c r="R16" s="361"/>
      <c r="S16" s="383"/>
      <c r="T16" s="361"/>
      <c r="U16" s="383"/>
      <c r="V16" s="361"/>
      <c r="W16" s="383"/>
      <c r="X16" s="361"/>
      <c r="Y16" s="383"/>
      <c r="Z16" s="361"/>
      <c r="AA16" s="383"/>
      <c r="AB16" s="361"/>
      <c r="AC16" s="384"/>
      <c r="AD16" s="363"/>
      <c r="AE16" s="385"/>
      <c r="AF16" s="386"/>
      <c r="AG16" s="184"/>
    </row>
    <row r="17" spans="1:33" s="1" customFormat="1" ht="15" customHeight="1" x14ac:dyDescent="0.2">
      <c r="A17" s="77" t="s">
        <v>7</v>
      </c>
      <c r="B17" s="20"/>
      <c r="C17" s="23"/>
      <c r="D17" s="5"/>
      <c r="E17" s="31"/>
      <c r="F17" s="38"/>
      <c r="G17" s="61">
        <v>155115</v>
      </c>
      <c r="H17" s="55"/>
      <c r="I17" s="283">
        <v>164030</v>
      </c>
      <c r="J17" s="282"/>
      <c r="K17" s="283">
        <v>126749</v>
      </c>
      <c r="L17" s="282"/>
      <c r="M17" s="284">
        <f>118994+12961</f>
        <v>131955</v>
      </c>
      <c r="N17" s="366"/>
      <c r="O17" s="367"/>
      <c r="P17" s="368"/>
      <c r="Q17" s="367"/>
      <c r="R17" s="368"/>
      <c r="S17" s="367"/>
      <c r="T17" s="368"/>
      <c r="U17" s="367"/>
      <c r="V17" s="368"/>
      <c r="W17" s="367"/>
      <c r="X17" s="368"/>
      <c r="Y17" s="367"/>
      <c r="Z17" s="368"/>
      <c r="AA17" s="367"/>
      <c r="AB17" s="368"/>
      <c r="AC17" s="369"/>
      <c r="AD17" s="363"/>
      <c r="AE17" s="364"/>
      <c r="AF17" s="365"/>
      <c r="AG17" s="318"/>
    </row>
    <row r="18" spans="1:33" s="1" customFormat="1" ht="15" customHeight="1" x14ac:dyDescent="0.2">
      <c r="A18" s="77" t="s">
        <v>26</v>
      </c>
      <c r="B18" s="20"/>
      <c r="C18" s="23"/>
      <c r="D18" s="5"/>
      <c r="E18" s="31"/>
      <c r="F18" s="38"/>
      <c r="G18" s="61"/>
      <c r="H18" s="55"/>
      <c r="I18" s="283"/>
      <c r="J18" s="282"/>
      <c r="K18" s="283"/>
      <c r="L18" s="282"/>
      <c r="M18" s="284"/>
      <c r="N18" s="366"/>
      <c r="O18" s="367"/>
      <c r="P18" s="368"/>
      <c r="Q18" s="367"/>
      <c r="R18" s="368"/>
      <c r="S18" s="367"/>
      <c r="T18" s="368"/>
      <c r="U18" s="367"/>
      <c r="V18" s="368"/>
      <c r="W18" s="367"/>
      <c r="X18" s="368"/>
      <c r="Y18" s="367"/>
      <c r="Z18" s="368"/>
      <c r="AA18" s="367"/>
      <c r="AB18" s="368"/>
      <c r="AC18" s="369"/>
      <c r="AD18" s="363"/>
      <c r="AE18" s="370"/>
      <c r="AF18" s="365"/>
      <c r="AG18" s="318"/>
    </row>
    <row r="19" spans="1:33" s="1" customFormat="1" ht="30" customHeight="1" thickBot="1" x14ac:dyDescent="0.25">
      <c r="A19" s="206" t="s">
        <v>27</v>
      </c>
      <c r="B19" s="191"/>
      <c r="C19" s="192">
        <v>0</v>
      </c>
      <c r="D19" s="165"/>
      <c r="E19" s="193">
        <v>0</v>
      </c>
      <c r="F19" s="194"/>
      <c r="G19" s="195">
        <v>34807</v>
      </c>
      <c r="H19" s="196"/>
      <c r="I19" s="290">
        <v>148192</v>
      </c>
      <c r="J19" s="288"/>
      <c r="K19" s="290">
        <f>114409+37042</f>
        <v>151451</v>
      </c>
      <c r="L19" s="288"/>
      <c r="M19" s="289">
        <v>77643</v>
      </c>
      <c r="N19" s="371"/>
      <c r="O19" s="372"/>
      <c r="P19" s="373"/>
      <c r="Q19" s="372"/>
      <c r="R19" s="373"/>
      <c r="S19" s="372"/>
      <c r="T19" s="373"/>
      <c r="U19" s="372"/>
      <c r="V19" s="373"/>
      <c r="W19" s="372"/>
      <c r="X19" s="373"/>
      <c r="Y19" s="372"/>
      <c r="Z19" s="373"/>
      <c r="AA19" s="372"/>
      <c r="AB19" s="373"/>
      <c r="AC19" s="374"/>
      <c r="AD19" s="363"/>
      <c r="AE19" s="375"/>
      <c r="AF19" s="365"/>
      <c r="AG19" s="318"/>
    </row>
    <row r="20" spans="1:33" s="1" customFormat="1" ht="18.75" customHeight="1" thickBot="1" x14ac:dyDescent="0.25">
      <c r="A20" s="213" t="s">
        <v>10</v>
      </c>
      <c r="B20" s="198"/>
      <c r="C20" s="199">
        <f>SUM(C17:C19)</f>
        <v>0</v>
      </c>
      <c r="D20" s="200"/>
      <c r="E20" s="201">
        <f>SUM(E17:E19)</f>
        <v>0</v>
      </c>
      <c r="F20" s="202"/>
      <c r="G20" s="203">
        <f>SUM(G17:G19)</f>
        <v>189922</v>
      </c>
      <c r="H20" s="204"/>
      <c r="I20" s="297">
        <f>SUM(I17:I19)</f>
        <v>312222</v>
      </c>
      <c r="J20" s="294"/>
      <c r="K20" s="297">
        <f>SUM(K17:K19)</f>
        <v>278200</v>
      </c>
      <c r="L20" s="294"/>
      <c r="M20" s="295">
        <f>SUM(M17:M19)</f>
        <v>209598</v>
      </c>
      <c r="N20" s="377"/>
      <c r="O20" s="378">
        <f>SUM(O17:O19)</f>
        <v>0</v>
      </c>
      <c r="P20" s="379"/>
      <c r="Q20" s="378">
        <f>SUM(Q17:Q19)</f>
        <v>0</v>
      </c>
      <c r="R20" s="379"/>
      <c r="S20" s="378">
        <f>SUM(S17:S19)</f>
        <v>0</v>
      </c>
      <c r="T20" s="379"/>
      <c r="U20" s="378">
        <f>SUM(U17:U19)</f>
        <v>0</v>
      </c>
      <c r="V20" s="379"/>
      <c r="W20" s="378">
        <f>SUM(W17:W19)</f>
        <v>0</v>
      </c>
      <c r="X20" s="379"/>
      <c r="Y20" s="378">
        <f>SUM(Y17:Y19)</f>
        <v>0</v>
      </c>
      <c r="Z20" s="379"/>
      <c r="AA20" s="378">
        <f>SUM(AA17:AA19)</f>
        <v>0</v>
      </c>
      <c r="AB20" s="379"/>
      <c r="AC20" s="380">
        <f>SUM(AC17:AC19)</f>
        <v>0</v>
      </c>
      <c r="AD20" s="363"/>
      <c r="AE20" s="381"/>
      <c r="AF20" s="382">
        <f t="shared" si="0"/>
        <v>0</v>
      </c>
      <c r="AG20" s="321"/>
    </row>
    <row r="21" spans="1:33" s="1" customFormat="1" ht="30" customHeight="1" thickBot="1" x14ac:dyDescent="0.25">
      <c r="A21" s="349" t="s">
        <v>31</v>
      </c>
      <c r="B21" s="256"/>
      <c r="C21" s="258">
        <f>SUM(C15,C20)</f>
        <v>816380</v>
      </c>
      <c r="D21" s="254"/>
      <c r="E21" s="255">
        <f>SUM(E15,E20)</f>
        <v>886215</v>
      </c>
      <c r="F21" s="256"/>
      <c r="G21" s="258">
        <f>SUM(G15,G20)</f>
        <v>1097944</v>
      </c>
      <c r="H21" s="257"/>
      <c r="I21" s="305">
        <f>SUM(I15,I20)</f>
        <v>1210542</v>
      </c>
      <c r="J21" s="303"/>
      <c r="K21" s="305">
        <f>SUM(K15,K20)</f>
        <v>1274662</v>
      </c>
      <c r="L21" s="303"/>
      <c r="M21" s="306">
        <f>SUM(M15,M20)</f>
        <v>1318681</v>
      </c>
      <c r="N21" s="387"/>
      <c r="O21" s="388">
        <f>SUM(O15,O20)</f>
        <v>1262415</v>
      </c>
      <c r="P21" s="389"/>
      <c r="Q21" s="388">
        <f>SUM(Q15,Q20)</f>
        <v>1287137</v>
      </c>
      <c r="R21" s="389"/>
      <c r="S21" s="388">
        <f>SUM(S15,S20)</f>
        <v>1299860</v>
      </c>
      <c r="T21" s="389"/>
      <c r="U21" s="388">
        <f>SUM(U15,U20)</f>
        <v>1331883</v>
      </c>
      <c r="V21" s="389"/>
      <c r="W21" s="388">
        <f>SUM(W15,W20)</f>
        <v>1378604</v>
      </c>
      <c r="X21" s="389"/>
      <c r="Y21" s="388">
        <f>SUM(Y15,Y20)</f>
        <v>1849189</v>
      </c>
      <c r="Z21" s="389"/>
      <c r="AA21" s="388">
        <f>SUM(AA15,AA20)</f>
        <v>1856537</v>
      </c>
      <c r="AB21" s="389"/>
      <c r="AC21" s="390">
        <f>SUM(AC15,AC20)</f>
        <v>2149511</v>
      </c>
      <c r="AD21" s="363"/>
      <c r="AE21" s="391"/>
      <c r="AF21" s="392">
        <f t="shared" si="0"/>
        <v>1713144.8</v>
      </c>
      <c r="AG21" s="322">
        <f t="shared" si="1"/>
        <v>0.61388875749596628</v>
      </c>
    </row>
    <row r="22" spans="1:33" s="1" customFormat="1" ht="18" customHeight="1" x14ac:dyDescent="0.2">
      <c r="A22" s="210" t="s">
        <v>36</v>
      </c>
      <c r="B22" s="509"/>
      <c r="C22" s="510"/>
      <c r="D22" s="518"/>
      <c r="E22" s="518"/>
      <c r="F22" s="511"/>
      <c r="G22" s="512"/>
      <c r="H22" s="535"/>
      <c r="I22" s="535"/>
      <c r="J22" s="511"/>
      <c r="K22" s="535"/>
      <c r="L22" s="511"/>
      <c r="M22" s="512"/>
      <c r="N22" s="393"/>
      <c r="O22" s="394"/>
      <c r="P22" s="393"/>
      <c r="Q22" s="394"/>
      <c r="R22" s="393"/>
      <c r="S22" s="394"/>
      <c r="T22" s="393"/>
      <c r="U22" s="394"/>
      <c r="V22" s="393"/>
      <c r="W22" s="394"/>
      <c r="X22" s="499"/>
      <c r="Y22" s="499"/>
      <c r="Z22" s="500"/>
      <c r="AA22" s="501"/>
      <c r="AB22" s="502"/>
      <c r="AC22" s="503"/>
      <c r="AD22" s="363"/>
      <c r="AE22" s="495"/>
      <c r="AF22" s="496"/>
      <c r="AG22" s="323"/>
    </row>
    <row r="23" spans="1:33" ht="15" customHeight="1" x14ac:dyDescent="0.2">
      <c r="A23" s="77" t="s">
        <v>54</v>
      </c>
      <c r="B23" s="240"/>
      <c r="C23" s="241">
        <f>348097+571921</f>
        <v>920018</v>
      </c>
      <c r="D23" s="14"/>
      <c r="E23" s="242">
        <v>974138</v>
      </c>
      <c r="F23" s="243"/>
      <c r="G23" s="244">
        <v>1078872.1200000001</v>
      </c>
      <c r="H23" s="245"/>
      <c r="I23" s="242">
        <v>1054056.0900000001</v>
      </c>
      <c r="J23" s="243"/>
      <c r="K23" s="246">
        <f>45275+73998+1197596</f>
        <v>1316869</v>
      </c>
      <c r="L23" s="240"/>
      <c r="M23" s="208">
        <v>1370299</v>
      </c>
      <c r="N23" s="395"/>
      <c r="O23" s="396">
        <v>1482313</v>
      </c>
      <c r="P23" s="397"/>
      <c r="Q23" s="396">
        <v>1616380</v>
      </c>
      <c r="R23" s="397"/>
      <c r="S23" s="396">
        <v>1540308</v>
      </c>
      <c r="T23" s="397"/>
      <c r="U23" s="396">
        <v>1686998</v>
      </c>
      <c r="V23" s="397"/>
      <c r="W23" s="396">
        <v>1737363.63</v>
      </c>
      <c r="X23" s="397"/>
      <c r="Y23" s="398">
        <v>2135419</v>
      </c>
      <c r="Z23" s="397"/>
      <c r="AA23" s="398">
        <v>2338630</v>
      </c>
      <c r="AB23" s="361"/>
      <c r="AC23" s="399"/>
      <c r="AD23" s="363"/>
      <c r="AE23" s="364"/>
      <c r="AF23" s="365">
        <f>AVERAGE(U23,AA23,S23,W23,Y23)</f>
        <v>1887743.7259999998</v>
      </c>
      <c r="AG23" s="318">
        <f>+(AA23-S23)/S23</f>
        <v>0.51828725164058098</v>
      </c>
    </row>
    <row r="24" spans="1:33" ht="15" customHeight="1" x14ac:dyDescent="0.2">
      <c r="A24" s="77" t="s">
        <v>46</v>
      </c>
      <c r="B24" s="45"/>
      <c r="C24" s="113"/>
      <c r="D24" s="10"/>
      <c r="E24" s="126"/>
      <c r="F24" s="45"/>
      <c r="G24" s="113">
        <v>1298.6099999999999</v>
      </c>
      <c r="H24" s="45"/>
      <c r="I24" s="113">
        <v>14289.71</v>
      </c>
      <c r="J24" s="45"/>
      <c r="K24" s="113">
        <v>30041</v>
      </c>
      <c r="L24" s="45"/>
      <c r="M24" s="113">
        <v>91088.52</v>
      </c>
      <c r="N24" s="400"/>
      <c r="O24" s="401">
        <v>82317.64</v>
      </c>
      <c r="P24" s="402"/>
      <c r="Q24" s="401">
        <v>173089.51</v>
      </c>
      <c r="R24" s="402"/>
      <c r="S24" s="401">
        <v>449380.7</v>
      </c>
      <c r="T24" s="402"/>
      <c r="U24" s="401">
        <f>26031.46+236616.95</f>
        <v>262648.41000000003</v>
      </c>
      <c r="V24" s="402"/>
      <c r="W24" s="401">
        <f>114705.29+70669.06</f>
        <v>185374.34999999998</v>
      </c>
      <c r="X24" s="402"/>
      <c r="Y24" s="403">
        <f>487987+8741</f>
        <v>496728</v>
      </c>
      <c r="Z24" s="402"/>
      <c r="AA24" s="403">
        <v>835130</v>
      </c>
      <c r="AB24" s="373"/>
      <c r="AC24" s="404"/>
      <c r="AD24" s="363"/>
      <c r="AE24" s="364"/>
      <c r="AF24" s="365">
        <f t="shared" ref="AF24:AF25" si="2">AVERAGE(U24,AA24,S24,W24,Y24)</f>
        <v>445852.29200000002</v>
      </c>
      <c r="AG24" s="318">
        <f t="shared" ref="AG24" si="3">+(AA24-S24)/S24</f>
        <v>0.85840201860026477</v>
      </c>
    </row>
    <row r="25" spans="1:33" ht="15" customHeight="1" thickBot="1" x14ac:dyDescent="0.25">
      <c r="A25" s="78" t="s">
        <v>47</v>
      </c>
      <c r="B25" s="50"/>
      <c r="C25" s="142"/>
      <c r="D25" s="12"/>
      <c r="E25" s="65"/>
      <c r="F25" s="50"/>
      <c r="G25" s="142">
        <v>0</v>
      </c>
      <c r="H25" s="50"/>
      <c r="I25" s="142">
        <v>0</v>
      </c>
      <c r="J25" s="50"/>
      <c r="K25" s="142">
        <v>0</v>
      </c>
      <c r="L25" s="50"/>
      <c r="M25" s="142">
        <v>22676.23</v>
      </c>
      <c r="N25" s="405"/>
      <c r="O25" s="406">
        <v>304.67</v>
      </c>
      <c r="P25" s="407"/>
      <c r="Q25" s="406">
        <v>0</v>
      </c>
      <c r="R25" s="407"/>
      <c r="S25" s="406">
        <v>0</v>
      </c>
      <c r="T25" s="407"/>
      <c r="U25" s="406">
        <v>0</v>
      </c>
      <c r="V25" s="407"/>
      <c r="W25" s="406">
        <v>0</v>
      </c>
      <c r="X25" s="407"/>
      <c r="Y25" s="408">
        <v>0</v>
      </c>
      <c r="Z25" s="407"/>
      <c r="AA25" s="408">
        <v>0</v>
      </c>
      <c r="AB25" s="409"/>
      <c r="AC25" s="410"/>
      <c r="AD25" s="363"/>
      <c r="AE25" s="411"/>
      <c r="AF25" s="365">
        <f t="shared" si="2"/>
        <v>0</v>
      </c>
      <c r="AG25" s="318"/>
    </row>
    <row r="26" spans="1:33" ht="18" customHeight="1" thickTop="1" x14ac:dyDescent="0.2">
      <c r="A26" s="224" t="s">
        <v>41</v>
      </c>
      <c r="B26" s="216" t="s">
        <v>15</v>
      </c>
      <c r="C26" s="217" t="s">
        <v>16</v>
      </c>
      <c r="D26" s="218" t="s">
        <v>15</v>
      </c>
      <c r="E26" s="219" t="s">
        <v>16</v>
      </c>
      <c r="F26" s="220" t="s">
        <v>15</v>
      </c>
      <c r="G26" s="221" t="s">
        <v>16</v>
      </c>
      <c r="H26" s="222" t="s">
        <v>15</v>
      </c>
      <c r="I26" s="223" t="s">
        <v>16</v>
      </c>
      <c r="J26" s="220" t="s">
        <v>15</v>
      </c>
      <c r="K26" s="223" t="s">
        <v>16</v>
      </c>
      <c r="L26" s="272" t="s">
        <v>15</v>
      </c>
      <c r="M26" s="273" t="s">
        <v>16</v>
      </c>
      <c r="N26" s="412" t="s">
        <v>15</v>
      </c>
      <c r="O26" s="413" t="s">
        <v>16</v>
      </c>
      <c r="P26" s="412" t="s">
        <v>15</v>
      </c>
      <c r="Q26" s="413" t="s">
        <v>16</v>
      </c>
      <c r="R26" s="412" t="s">
        <v>15</v>
      </c>
      <c r="S26" s="413" t="s">
        <v>16</v>
      </c>
      <c r="T26" s="412" t="s">
        <v>15</v>
      </c>
      <c r="U26" s="413" t="s">
        <v>16</v>
      </c>
      <c r="V26" s="412" t="s">
        <v>15</v>
      </c>
      <c r="W26" s="413" t="s">
        <v>16</v>
      </c>
      <c r="X26" s="412" t="s">
        <v>15</v>
      </c>
      <c r="Y26" s="413" t="s">
        <v>16</v>
      </c>
      <c r="Z26" s="412" t="s">
        <v>15</v>
      </c>
      <c r="AA26" s="413" t="s">
        <v>16</v>
      </c>
      <c r="AB26" s="414" t="s">
        <v>15</v>
      </c>
      <c r="AC26" s="415" t="s">
        <v>16</v>
      </c>
      <c r="AD26" s="416"/>
      <c r="AE26" s="417" t="s">
        <v>15</v>
      </c>
      <c r="AF26" s="418" t="s">
        <v>16</v>
      </c>
      <c r="AG26" s="251" t="s">
        <v>45</v>
      </c>
    </row>
    <row r="27" spans="1:33" s="1" customFormat="1" ht="15" customHeight="1" x14ac:dyDescent="0.2">
      <c r="A27" s="77" t="s">
        <v>42</v>
      </c>
      <c r="B27" s="100">
        <v>2</v>
      </c>
      <c r="C27" s="69">
        <v>399688</v>
      </c>
      <c r="D27" s="123">
        <v>2</v>
      </c>
      <c r="E27" s="125">
        <v>379020</v>
      </c>
      <c r="F27" s="102">
        <v>3</v>
      </c>
      <c r="G27" s="109">
        <v>581296</v>
      </c>
      <c r="H27" s="103">
        <v>7</v>
      </c>
      <c r="I27" s="73">
        <v>4188913</v>
      </c>
      <c r="J27" s="102">
        <f>13+4</f>
        <v>17</v>
      </c>
      <c r="K27" s="124">
        <f>208814+1134581</f>
        <v>1343395</v>
      </c>
      <c r="L27" s="274">
        <v>11</v>
      </c>
      <c r="M27" s="248">
        <v>1676505</v>
      </c>
      <c r="N27" s="419">
        <v>8</v>
      </c>
      <c r="O27" s="420">
        <v>1424290</v>
      </c>
      <c r="P27" s="419">
        <v>11</v>
      </c>
      <c r="Q27" s="420">
        <v>1336536</v>
      </c>
      <c r="R27" s="419">
        <v>8</v>
      </c>
      <c r="S27" s="420">
        <v>890369</v>
      </c>
      <c r="T27" s="419">
        <v>5</v>
      </c>
      <c r="U27" s="420">
        <f>1034694+49435</f>
        <v>1084129</v>
      </c>
      <c r="V27" s="419">
        <v>9</v>
      </c>
      <c r="W27" s="420">
        <v>955438</v>
      </c>
      <c r="X27" s="419">
        <v>16</v>
      </c>
      <c r="Y27" s="420">
        <v>1723484</v>
      </c>
      <c r="Z27" s="419">
        <v>25</v>
      </c>
      <c r="AA27" s="420">
        <v>1948067</v>
      </c>
      <c r="AB27" s="421"/>
      <c r="AC27" s="422"/>
      <c r="AD27" s="363"/>
      <c r="AE27" s="259">
        <f>AVERAGE(T27,R27,Z27,X27,V27)</f>
        <v>12.6</v>
      </c>
      <c r="AF27" s="423">
        <f t="shared" ref="AF27:AF28" si="4">AVERAGE(U27,AA27,S27,W27,Y27)</f>
        <v>1320297.3999999999</v>
      </c>
      <c r="AG27" s="324">
        <f t="shared" ref="AG27:AG28" si="5">+(AA27-S27)/S27</f>
        <v>1.1879321944047918</v>
      </c>
    </row>
    <row r="28" spans="1:33" s="1" customFormat="1" ht="15" customHeight="1" thickBot="1" x14ac:dyDescent="0.25">
      <c r="A28" s="78" t="s">
        <v>43</v>
      </c>
      <c r="B28" s="133">
        <v>3</v>
      </c>
      <c r="C28" s="147">
        <v>97198</v>
      </c>
      <c r="D28" s="148">
        <v>1</v>
      </c>
      <c r="E28" s="149">
        <v>0</v>
      </c>
      <c r="F28" s="135">
        <v>0</v>
      </c>
      <c r="G28" s="150">
        <v>9931</v>
      </c>
      <c r="H28" s="136">
        <v>1</v>
      </c>
      <c r="I28" s="137">
        <v>26477</v>
      </c>
      <c r="J28" s="135">
        <f>6+5</f>
        <v>11</v>
      </c>
      <c r="K28" s="137">
        <f>545503+178355</f>
        <v>723858</v>
      </c>
      <c r="L28" s="249">
        <v>1</v>
      </c>
      <c r="M28" s="250">
        <v>132002</v>
      </c>
      <c r="N28" s="424">
        <v>6</v>
      </c>
      <c r="O28" s="425">
        <v>317481</v>
      </c>
      <c r="P28" s="424">
        <v>3</v>
      </c>
      <c r="Q28" s="425">
        <v>198395</v>
      </c>
      <c r="R28" s="424">
        <v>6</v>
      </c>
      <c r="S28" s="425">
        <v>268607</v>
      </c>
      <c r="T28" s="424">
        <v>4</v>
      </c>
      <c r="U28" s="425">
        <f>179012+100454</f>
        <v>279466</v>
      </c>
      <c r="V28" s="424">
        <v>4</v>
      </c>
      <c r="W28" s="425">
        <v>124866</v>
      </c>
      <c r="X28" s="424">
        <v>6</v>
      </c>
      <c r="Y28" s="425">
        <v>1423210</v>
      </c>
      <c r="Z28" s="424">
        <v>7</v>
      </c>
      <c r="AA28" s="425">
        <v>697233</v>
      </c>
      <c r="AB28" s="426"/>
      <c r="AC28" s="427"/>
      <c r="AD28" s="363"/>
      <c r="AE28" s="259">
        <f>AVERAGE(T28,R28,Z28,X28,V28)</f>
        <v>5.4</v>
      </c>
      <c r="AF28" s="428">
        <f t="shared" si="4"/>
        <v>558676.4</v>
      </c>
      <c r="AG28" s="324">
        <f t="shared" si="5"/>
        <v>1.5957365221308455</v>
      </c>
    </row>
    <row r="29" spans="1:33" s="1" customFormat="1" ht="18" customHeight="1" thickTop="1" x14ac:dyDescent="0.2">
      <c r="A29" s="127" t="s">
        <v>12</v>
      </c>
      <c r="B29" s="514"/>
      <c r="C29" s="515"/>
      <c r="D29" s="537"/>
      <c r="E29" s="537"/>
      <c r="F29" s="507"/>
      <c r="G29" s="508"/>
      <c r="H29" s="536"/>
      <c r="I29" s="536"/>
      <c r="J29" s="507"/>
      <c r="K29" s="536"/>
      <c r="L29" s="507"/>
      <c r="M29" s="508"/>
      <c r="N29" s="493"/>
      <c r="O29" s="494"/>
      <c r="P29" s="493"/>
      <c r="Q29" s="494"/>
      <c r="R29" s="493"/>
      <c r="S29" s="494"/>
      <c r="T29" s="493"/>
      <c r="U29" s="494"/>
      <c r="V29" s="493"/>
      <c r="W29" s="494"/>
      <c r="X29" s="493"/>
      <c r="Y29" s="494"/>
      <c r="Z29" s="493"/>
      <c r="AA29" s="494"/>
      <c r="AB29" s="493"/>
      <c r="AC29" s="504"/>
      <c r="AD29" s="363"/>
      <c r="AE29" s="497"/>
      <c r="AF29" s="498"/>
      <c r="AG29" s="325"/>
    </row>
    <row r="30" spans="1:33" s="1" customFormat="1" ht="15" customHeight="1" x14ac:dyDescent="0.2">
      <c r="A30" s="110" t="s">
        <v>13</v>
      </c>
      <c r="B30" s="28"/>
      <c r="C30" s="32">
        <v>15200.25</v>
      </c>
      <c r="D30" s="11"/>
      <c r="E30" s="39">
        <v>9138.7999999999993</v>
      </c>
      <c r="F30" s="49"/>
      <c r="G30" s="121">
        <v>7140</v>
      </c>
      <c r="H30" s="120"/>
      <c r="I30" s="146">
        <v>8655.9500000000007</v>
      </c>
      <c r="J30" s="118"/>
      <c r="K30" s="119">
        <v>10853.95</v>
      </c>
      <c r="L30" s="118"/>
      <c r="M30" s="117">
        <v>13288</v>
      </c>
      <c r="N30" s="429"/>
      <c r="O30" s="430">
        <v>9704</v>
      </c>
      <c r="P30" s="431"/>
      <c r="Q30" s="430">
        <v>14251</v>
      </c>
      <c r="R30" s="431"/>
      <c r="S30" s="430">
        <v>7992.43</v>
      </c>
      <c r="T30" s="431"/>
      <c r="U30" s="430">
        <v>5255.46</v>
      </c>
      <c r="V30" s="431"/>
      <c r="W30" s="430">
        <v>33184.04</v>
      </c>
      <c r="X30" s="431"/>
      <c r="Y30" s="430">
        <v>9689.77</v>
      </c>
      <c r="Z30" s="431"/>
      <c r="AA30" s="430">
        <v>8267</v>
      </c>
      <c r="AB30" s="431"/>
      <c r="AC30" s="432"/>
      <c r="AD30" s="363"/>
      <c r="AE30" s="364"/>
      <c r="AF30" s="423">
        <f t="shared" ref="AF30:AF31" si="6">AVERAGE(U30,AA30,S30,W30,Y30)</f>
        <v>12877.74</v>
      </c>
      <c r="AG30" s="324">
        <f t="shared" ref="AG30" si="7">+(AA30-S30)/S30</f>
        <v>3.4353757242790953E-2</v>
      </c>
    </row>
    <row r="31" spans="1:33" s="1" customFormat="1" ht="15" customHeight="1" thickBot="1" x14ac:dyDescent="0.25">
      <c r="A31" s="78" t="s">
        <v>14</v>
      </c>
      <c r="B31" s="29"/>
      <c r="C31" s="33">
        <v>0</v>
      </c>
      <c r="D31" s="12"/>
      <c r="E31" s="40">
        <v>0</v>
      </c>
      <c r="F31" s="50"/>
      <c r="G31" s="115">
        <v>0</v>
      </c>
      <c r="H31" s="58"/>
      <c r="I31" s="40">
        <v>0</v>
      </c>
      <c r="J31" s="50"/>
      <c r="K31" s="65">
        <v>0</v>
      </c>
      <c r="L31" s="50"/>
      <c r="M31" s="66">
        <v>0</v>
      </c>
      <c r="N31" s="433"/>
      <c r="O31" s="434">
        <v>0</v>
      </c>
      <c r="P31" s="435"/>
      <c r="Q31" s="434">
        <v>0</v>
      </c>
      <c r="R31" s="435"/>
      <c r="S31" s="434">
        <v>0</v>
      </c>
      <c r="T31" s="435"/>
      <c r="U31" s="434">
        <v>0</v>
      </c>
      <c r="V31" s="435"/>
      <c r="W31" s="434">
        <v>0</v>
      </c>
      <c r="X31" s="435"/>
      <c r="Y31" s="434">
        <v>0</v>
      </c>
      <c r="Z31" s="435"/>
      <c r="AA31" s="434">
        <v>0</v>
      </c>
      <c r="AB31" s="435"/>
      <c r="AC31" s="436"/>
      <c r="AD31" s="363"/>
      <c r="AE31" s="411"/>
      <c r="AF31" s="437">
        <f t="shared" si="6"/>
        <v>0</v>
      </c>
      <c r="AG31" s="230"/>
    </row>
    <row r="32" spans="1:33" ht="13.5" thickTop="1" x14ac:dyDescent="0.2">
      <c r="A32" s="1"/>
      <c r="N32" s="373"/>
      <c r="O32" s="438"/>
      <c r="P32" s="373"/>
      <c r="Q32" s="438"/>
      <c r="R32" s="373"/>
      <c r="S32" s="438"/>
      <c r="T32" s="373"/>
      <c r="U32" s="438"/>
      <c r="V32" s="373"/>
      <c r="W32" s="438"/>
      <c r="X32" s="373"/>
      <c r="Y32" s="438"/>
      <c r="Z32" s="373"/>
      <c r="AA32" s="438"/>
      <c r="AB32" s="373"/>
      <c r="AC32" s="438"/>
      <c r="AD32" s="439"/>
      <c r="AE32" s="439"/>
      <c r="AF32" s="439"/>
    </row>
    <row r="33" spans="1:32" x14ac:dyDescent="0.2">
      <c r="A33" s="310" t="s">
        <v>48</v>
      </c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</row>
    <row r="34" spans="1:32" x14ac:dyDescent="0.2">
      <c r="A34" s="1"/>
    </row>
    <row r="35" spans="1:32" x14ac:dyDescent="0.2">
      <c r="A35" s="1"/>
    </row>
    <row r="36" spans="1:32" x14ac:dyDescent="0.2">
      <c r="A36" s="1"/>
    </row>
    <row r="37" spans="1:32" x14ac:dyDescent="0.2">
      <c r="A37" s="1"/>
    </row>
    <row r="38" spans="1:32" x14ac:dyDescent="0.2">
      <c r="A38" s="1"/>
    </row>
    <row r="39" spans="1:32" x14ac:dyDescent="0.2">
      <c r="A39" s="1"/>
    </row>
    <row r="40" spans="1:32" x14ac:dyDescent="0.2">
      <c r="A40" s="1"/>
    </row>
    <row r="41" spans="1:32" x14ac:dyDescent="0.2">
      <c r="A41" s="1"/>
    </row>
    <row r="42" spans="1:32" x14ac:dyDescent="0.2">
      <c r="A42" s="1"/>
    </row>
    <row r="43" spans="1:32" x14ac:dyDescent="0.2">
      <c r="A43" s="1"/>
    </row>
    <row r="44" spans="1:32" x14ac:dyDescent="0.2">
      <c r="A44" s="1"/>
    </row>
    <row r="45" spans="1:32" x14ac:dyDescent="0.2">
      <c r="A45" s="1"/>
    </row>
    <row r="46" spans="1:32" x14ac:dyDescent="0.2">
      <c r="A46" s="1"/>
    </row>
    <row r="47" spans="1:32" x14ac:dyDescent="0.2">
      <c r="A47" s="1"/>
    </row>
    <row r="48" spans="1:32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</sheetData>
  <mergeCells count="40">
    <mergeCell ref="B9:C9"/>
    <mergeCell ref="F22:G22"/>
    <mergeCell ref="F29:G29"/>
    <mergeCell ref="H29:I29"/>
    <mergeCell ref="H22:I22"/>
    <mergeCell ref="D9:E9"/>
    <mergeCell ref="F9:G9"/>
    <mergeCell ref="H9:I9"/>
    <mergeCell ref="B22:C22"/>
    <mergeCell ref="B29:C29"/>
    <mergeCell ref="D22:E22"/>
    <mergeCell ref="D29:E29"/>
    <mergeCell ref="AE22:AF22"/>
    <mergeCell ref="AE9:AF9"/>
    <mergeCell ref="AE29:AF29"/>
    <mergeCell ref="T29:U29"/>
    <mergeCell ref="T9:U9"/>
    <mergeCell ref="V29:W29"/>
    <mergeCell ref="V9:W9"/>
    <mergeCell ref="X22:Y22"/>
    <mergeCell ref="Z22:AA22"/>
    <mergeCell ref="Z29:AA29"/>
    <mergeCell ref="Z9:AA9"/>
    <mergeCell ref="X29:Y29"/>
    <mergeCell ref="X9:Y9"/>
    <mergeCell ref="AB9:AC9"/>
    <mergeCell ref="AB22:AC22"/>
    <mergeCell ref="AB29:AC29"/>
    <mergeCell ref="R9:S9"/>
    <mergeCell ref="P9:Q9"/>
    <mergeCell ref="J9:K9"/>
    <mergeCell ref="P29:Q29"/>
    <mergeCell ref="J29:K29"/>
    <mergeCell ref="L22:M22"/>
    <mergeCell ref="L9:M9"/>
    <mergeCell ref="L29:M29"/>
    <mergeCell ref="N29:O29"/>
    <mergeCell ref="N9:O9"/>
    <mergeCell ref="R29:S29"/>
    <mergeCell ref="J22:K22"/>
  </mergeCells>
  <pageMargins left="0.5" right="0.5" top="0.5" bottom="0.5" header="0.3" footer="0.3"/>
  <pageSetup scale="75" orientation="landscape" r:id="rId1"/>
  <headerFooter alignWithMargins="0">
    <oddFooter>&amp;L&amp;9Prepared by Planning and Analysis&amp;C&amp;9&amp;P of &amp;N&amp;R&amp;9Updated &amp;D</oddFooter>
  </headerFooter>
  <colBreaks count="1" manualBreakCount="1"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zoomScaleNormal="100" zoomScaleSheetLayoutView="100" workbookViewId="0">
      <pane xSplit="1" ySplit="7" topLeftCell="D8" activePane="bottomRight" state="frozen"/>
      <selection activeCell="W1" sqref="W1:Z1048576"/>
      <selection pane="topRight" activeCell="W1" sqref="W1:Z1048576"/>
      <selection pane="bottomLeft" activeCell="W1" sqref="W1:Z1048576"/>
      <selection pane="bottomRight"/>
    </sheetView>
  </sheetViews>
  <sheetFormatPr defaultColWidth="10.28515625" defaultRowHeight="12" x14ac:dyDescent="0.2"/>
  <cols>
    <col min="1" max="1" width="32.7109375" style="1" customWidth="1"/>
    <col min="2" max="2" width="4.7109375" style="1" hidden="1" customWidth="1"/>
    <col min="3" max="3" width="11" style="1" hidden="1" customWidth="1"/>
    <col min="4" max="4" width="4.7109375" style="1" hidden="1" customWidth="1"/>
    <col min="5" max="5" width="10.7109375" style="1" hidden="1" customWidth="1"/>
    <col min="6" max="6" width="4.7109375" style="1" hidden="1" customWidth="1"/>
    <col min="7" max="7" width="10.7109375" style="1" hidden="1" customWidth="1"/>
    <col min="8" max="8" width="4.7109375" style="1" customWidth="1"/>
    <col min="9" max="9" width="10.7109375" style="1" customWidth="1"/>
    <col min="10" max="10" width="4.7109375" style="1" customWidth="1"/>
    <col min="11" max="11" width="10.7109375" style="1" customWidth="1"/>
    <col min="12" max="12" width="4.7109375" style="1" customWidth="1"/>
    <col min="13" max="13" width="10.7109375" style="1" customWidth="1"/>
    <col min="14" max="14" width="4.7109375" style="1" customWidth="1"/>
    <col min="15" max="15" width="10.7109375" style="1" customWidth="1"/>
    <col min="16" max="16" width="4.7109375" style="1" customWidth="1"/>
    <col min="17" max="17" width="10.7109375" style="1" customWidth="1"/>
    <col min="18" max="18" width="4.7109375" style="1" customWidth="1"/>
    <col min="19" max="19" width="10.7109375" style="1" customWidth="1"/>
    <col min="20" max="20" width="2.5703125" style="1" customWidth="1"/>
    <col min="21" max="21" width="4.7109375" style="1" customWidth="1"/>
    <col min="22" max="22" width="10.7109375" style="1" customWidth="1"/>
    <col min="23" max="23" width="8.7109375" style="1" customWidth="1"/>
    <col min="24" max="16384" width="10.28515625" style="1"/>
  </cols>
  <sheetData>
    <row r="1" spans="1:23" ht="15.75" x14ac:dyDescent="0.25">
      <c r="A1" s="169" t="s">
        <v>37</v>
      </c>
    </row>
    <row r="2" spans="1:23" ht="15.75" x14ac:dyDescent="0.25">
      <c r="A2" s="169" t="s">
        <v>38</v>
      </c>
    </row>
    <row r="3" spans="1:23" ht="5.25" customHeight="1" x14ac:dyDescent="0.25">
      <c r="A3" s="169"/>
    </row>
    <row r="4" spans="1:23" ht="15.75" x14ac:dyDescent="0.25">
      <c r="A4" s="170" t="s">
        <v>39</v>
      </c>
    </row>
    <row r="5" spans="1:23" ht="6" customHeight="1" x14ac:dyDescent="0.25">
      <c r="A5" s="170"/>
    </row>
    <row r="6" spans="1:23" ht="12.75" x14ac:dyDescent="0.2">
      <c r="A6" s="179" t="s">
        <v>50</v>
      </c>
    </row>
    <row r="7" spans="1:23" ht="12.75" x14ac:dyDescent="0.2">
      <c r="A7" s="171"/>
    </row>
    <row r="8" spans="1:23" ht="12.75" thickBot="1" x14ac:dyDescent="0.25">
      <c r="A8" s="13"/>
      <c r="B8" s="37"/>
      <c r="C8" s="37"/>
    </row>
    <row r="9" spans="1:23" ht="30" customHeight="1" thickTop="1" thickBot="1" x14ac:dyDescent="0.25">
      <c r="A9" s="75"/>
      <c r="B9" s="489" t="s">
        <v>22</v>
      </c>
      <c r="C9" s="490"/>
      <c r="D9" s="491" t="s">
        <v>24</v>
      </c>
      <c r="E9" s="490"/>
      <c r="F9" s="491" t="s">
        <v>25</v>
      </c>
      <c r="G9" s="490"/>
      <c r="H9" s="491" t="s">
        <v>28</v>
      </c>
      <c r="I9" s="490"/>
      <c r="J9" s="491" t="s">
        <v>30</v>
      </c>
      <c r="K9" s="490"/>
      <c r="L9" s="491" t="s">
        <v>33</v>
      </c>
      <c r="M9" s="490"/>
      <c r="N9" s="491" t="s">
        <v>34</v>
      </c>
      <c r="O9" s="490"/>
      <c r="P9" s="491" t="s">
        <v>35</v>
      </c>
      <c r="Q9" s="490"/>
      <c r="R9" s="491" t="s">
        <v>52</v>
      </c>
      <c r="S9" s="492"/>
      <c r="U9" s="487" t="s">
        <v>23</v>
      </c>
      <c r="V9" s="488"/>
      <c r="W9" s="181" t="s">
        <v>40</v>
      </c>
    </row>
    <row r="10" spans="1:23" ht="18" customHeight="1" x14ac:dyDescent="0.2">
      <c r="A10" s="172" t="s">
        <v>5</v>
      </c>
      <c r="B10" s="454"/>
      <c r="C10" s="455"/>
      <c r="D10" s="456"/>
      <c r="E10" s="457"/>
      <c r="F10" s="456"/>
      <c r="G10" s="457"/>
      <c r="H10" s="456"/>
      <c r="I10" s="457"/>
      <c r="J10" s="456"/>
      <c r="K10" s="457"/>
      <c r="L10" s="456"/>
      <c r="M10" s="457"/>
      <c r="N10" s="456"/>
      <c r="O10" s="457"/>
      <c r="P10" s="456"/>
      <c r="Q10" s="457"/>
      <c r="R10" s="456"/>
      <c r="S10" s="458"/>
      <c r="T10" s="459"/>
      <c r="U10" s="460"/>
      <c r="V10" s="461"/>
      <c r="W10" s="357"/>
    </row>
    <row r="11" spans="1:23" ht="15" customHeight="1" x14ac:dyDescent="0.2">
      <c r="A11" s="76" t="s">
        <v>6</v>
      </c>
      <c r="B11" s="462"/>
      <c r="C11" s="463"/>
      <c r="D11" s="359"/>
      <c r="E11" s="360"/>
      <c r="F11" s="361"/>
      <c r="G11" s="360"/>
      <c r="H11" s="361"/>
      <c r="I11" s="360"/>
      <c r="J11" s="361"/>
      <c r="K11" s="360"/>
      <c r="L11" s="361"/>
      <c r="M11" s="360"/>
      <c r="N11" s="361"/>
      <c r="O11" s="360"/>
      <c r="P11" s="361"/>
      <c r="Q11" s="360"/>
      <c r="R11" s="361"/>
      <c r="S11" s="362"/>
      <c r="T11" s="363"/>
      <c r="U11" s="364"/>
      <c r="V11" s="365"/>
      <c r="W11" s="358"/>
    </row>
    <row r="12" spans="1:23" ht="15" customHeight="1" x14ac:dyDescent="0.2">
      <c r="A12" s="77" t="s">
        <v>7</v>
      </c>
      <c r="B12" s="464"/>
      <c r="C12" s="465">
        <f>Dean_HE!M12+ATID!M12+HM!M12+'Food Nutrition Diet Health'!M12+FSHS!M12+Kinesiology!M12</f>
        <v>9445670</v>
      </c>
      <c r="D12" s="366"/>
      <c r="E12" s="367">
        <f>Dean_HE!O12+ATID!O12+HM!O12+'Food Nutrition Diet Health'!O12+FSHS!O12+Kinesiology!O12</f>
        <v>9267519</v>
      </c>
      <c r="F12" s="368"/>
      <c r="G12" s="367">
        <f>Dean_HE!Q12+ATID!Q12+HM!Q12+'Food Nutrition Diet Health'!Q12+FSHS!Q12+Kinesiology!Q12</f>
        <v>9748931</v>
      </c>
      <c r="H12" s="368"/>
      <c r="I12" s="367">
        <f>Dean_HE!S12+ATID!S12+HM!S12+'Food Nutrition Diet Health'!S12+FSHS!S12+Kinesiology!S12</f>
        <v>10005472</v>
      </c>
      <c r="J12" s="368"/>
      <c r="K12" s="367">
        <f>Dean_HE!U12+ATID!U12+HM!U12+'Food Nutrition Diet Health'!U12+FSHS!U12+Kinesiology!U12</f>
        <v>10271219</v>
      </c>
      <c r="L12" s="368"/>
      <c r="M12" s="367">
        <f>Dean_HE!W12+ATID!W12+HM!W12+'Food Nutrition Diet Health'!W12+FSHS!W12+Kinesiology!W12</f>
        <v>10910314</v>
      </c>
      <c r="N12" s="368"/>
      <c r="O12" s="367">
        <f>Dean_HE!Y12+ATID!Y12+HM!Y12+'Food Nutrition Diet Health'!Y12+FSHS!Y12+Kinesiology!Y12</f>
        <v>12736686</v>
      </c>
      <c r="P12" s="368"/>
      <c r="Q12" s="367">
        <f>Dean_HE!AA12+ATID!AA12+HM!AA12+'Food Nutrition Diet Health'!AA12+FSHS!AA12+Kinesiology!AA12</f>
        <v>13181254</v>
      </c>
      <c r="R12" s="368"/>
      <c r="S12" s="369">
        <f>Dean_HE!AC12+ATID!AC12+HM!AC12+'Food Nutrition Diet Health'!AC12+FSHS!AC12+Kinesiology!AC12</f>
        <v>13443129</v>
      </c>
      <c r="T12" s="363"/>
      <c r="U12" s="364"/>
      <c r="V12" s="365">
        <f>AVERAGE(M12,K12,O12,S12,Q12)</f>
        <v>12108520.4</v>
      </c>
      <c r="W12" s="318">
        <f>+(S12-K12)/K12</f>
        <v>0.30881534119757353</v>
      </c>
    </row>
    <row r="13" spans="1:23" ht="15" customHeight="1" x14ac:dyDescent="0.2">
      <c r="A13" s="77" t="s">
        <v>26</v>
      </c>
      <c r="B13" s="464"/>
      <c r="C13" s="465">
        <f>Dean_HE!M13+ATID!M13+HM!M13+'Food Nutrition Diet Health'!M13+FSHS!M13+Kinesiology!M13</f>
        <v>18691</v>
      </c>
      <c r="D13" s="366"/>
      <c r="E13" s="367">
        <f>Dean_HE!O13+ATID!O13+HM!O13+'Food Nutrition Diet Health'!O13+FSHS!O13+Kinesiology!O13</f>
        <v>18707</v>
      </c>
      <c r="F13" s="368"/>
      <c r="G13" s="367">
        <f>Dean_HE!Q13+ATID!Q13+HM!Q13+'Food Nutrition Diet Health'!Q13+FSHS!Q13+Kinesiology!Q13</f>
        <v>18902</v>
      </c>
      <c r="H13" s="368"/>
      <c r="I13" s="367">
        <f>Dean_HE!S13+ATID!S13+HM!S13+'Food Nutrition Diet Health'!S13+FSHS!S13+Kinesiology!S13</f>
        <v>19075</v>
      </c>
      <c r="J13" s="368"/>
      <c r="K13" s="367">
        <f>Dean_HE!U13+ATID!U13+HM!U13+'Food Nutrition Diet Health'!U13+FSHS!U13+Kinesiology!U13</f>
        <v>19615</v>
      </c>
      <c r="L13" s="368"/>
      <c r="M13" s="367">
        <f>Dean_HE!W13+ATID!W13+HM!W13+'Food Nutrition Diet Health'!W13+FSHS!W13+Kinesiology!W13</f>
        <v>19726</v>
      </c>
      <c r="N13" s="368"/>
      <c r="O13" s="367">
        <f>Dean_HE!Y13+ATID!Y13+HM!Y13+'Food Nutrition Diet Health'!Y13+FSHS!Y13+Kinesiology!Y13</f>
        <v>20711</v>
      </c>
      <c r="P13" s="368"/>
      <c r="Q13" s="367">
        <f>Dean_HE!AA13+ATID!AA13+HM!AA13+'Food Nutrition Diet Health'!AA13+FSHS!AA13+Kinesiology!AA13</f>
        <v>20582</v>
      </c>
      <c r="R13" s="368"/>
      <c r="S13" s="369">
        <f>Dean_HE!AC13+ATID!AC13+HM!AC13+'Food Nutrition Diet Health'!AC13+FSHS!AC13+Kinesiology!AC13</f>
        <v>20462</v>
      </c>
      <c r="T13" s="363"/>
      <c r="U13" s="370"/>
      <c r="V13" s="365">
        <f t="shared" ref="V13:V21" si="0">AVERAGE(M13,K13,O13,S13,Q13)</f>
        <v>20219.2</v>
      </c>
      <c r="W13" s="318">
        <f t="shared" ref="W13:W21" si="1">+(S13-K13)/K13</f>
        <v>4.3181238847820547E-2</v>
      </c>
    </row>
    <row r="14" spans="1:23" ht="30" customHeight="1" thickBot="1" x14ac:dyDescent="0.25">
      <c r="A14" s="206" t="s">
        <v>49</v>
      </c>
      <c r="B14" s="466"/>
      <c r="C14" s="465">
        <f>Dean_HE!M14+ATID!M14+HM!M14+'Food Nutrition Diet Health'!M14+FSHS!M14+Kinesiology!M14</f>
        <v>5470256</v>
      </c>
      <c r="D14" s="371"/>
      <c r="E14" s="372">
        <f>Dean_HE!O14+ATID!O14+HM!O14+'Food Nutrition Diet Health'!O14+FSHS!O14+Kinesiology!O14</f>
        <v>8346664</v>
      </c>
      <c r="F14" s="373"/>
      <c r="G14" s="372">
        <f>Dean_HE!Q14+ATID!Q14+HM!Q14+'Food Nutrition Diet Health'!Q14+FSHS!Q14+Kinesiology!Q14</f>
        <v>18309679</v>
      </c>
      <c r="H14" s="373"/>
      <c r="I14" s="372">
        <f>Dean_HE!S14+ATID!S14+HM!S14+'Food Nutrition Diet Health'!S14+FSHS!S14+Kinesiology!S14</f>
        <v>18428842</v>
      </c>
      <c r="J14" s="373"/>
      <c r="K14" s="372">
        <f>Dean_HE!U14+ATID!U14+HM!U14+'Food Nutrition Diet Health'!U14+FSHS!U14+Kinesiology!U14</f>
        <v>18872377</v>
      </c>
      <c r="L14" s="373"/>
      <c r="M14" s="372">
        <f>Dean_HE!W14+ATID!W14+HM!W14+'Food Nutrition Diet Health'!W14+FSHS!W14+Kinesiology!W14</f>
        <v>17535581</v>
      </c>
      <c r="N14" s="373"/>
      <c r="O14" s="372">
        <f>Dean_HE!Y14+ATID!Y14+HM!Y14+'Food Nutrition Diet Health'!Y14+FSHS!Y14+Kinesiology!Y14</f>
        <v>17944389</v>
      </c>
      <c r="P14" s="373"/>
      <c r="Q14" s="372">
        <f>Dean_HE!AA14+ATID!AA14+HM!AA14+'Food Nutrition Diet Health'!AA14+FSHS!AA14+Kinesiology!AA14</f>
        <v>17528486</v>
      </c>
      <c r="R14" s="373"/>
      <c r="S14" s="374">
        <f>Dean_HE!AC14+ATID!AC14+HM!AC14+'Food Nutrition Diet Health'!AC14+FSHS!AC14+Kinesiology!AC14</f>
        <v>18452752</v>
      </c>
      <c r="T14" s="363"/>
      <c r="U14" s="375"/>
      <c r="V14" s="376">
        <f t="shared" si="0"/>
        <v>18066717</v>
      </c>
      <c r="W14" s="318">
        <f t="shared" si="1"/>
        <v>-2.2234877991256747E-2</v>
      </c>
    </row>
    <row r="15" spans="1:23" ht="18.75" customHeight="1" thickBot="1" x14ac:dyDescent="0.25">
      <c r="A15" s="213" t="s">
        <v>8</v>
      </c>
      <c r="B15" s="467"/>
      <c r="C15" s="468">
        <f>SUM(C12:C14)</f>
        <v>14934617</v>
      </c>
      <c r="D15" s="377"/>
      <c r="E15" s="378">
        <f>SUM(E12:E14)</f>
        <v>17632890</v>
      </c>
      <c r="F15" s="379"/>
      <c r="G15" s="378">
        <f>SUM(G12:G14)</f>
        <v>28077512</v>
      </c>
      <c r="H15" s="379"/>
      <c r="I15" s="378">
        <f>SUM(I12:I14)</f>
        <v>28453389</v>
      </c>
      <c r="J15" s="379"/>
      <c r="K15" s="378">
        <f>SUM(K12:K14)</f>
        <v>29163211</v>
      </c>
      <c r="L15" s="379"/>
      <c r="M15" s="378">
        <f>SUM(M12:M14)</f>
        <v>28465621</v>
      </c>
      <c r="N15" s="379"/>
      <c r="O15" s="378">
        <f>SUM(O12:O14)</f>
        <v>30701786</v>
      </c>
      <c r="P15" s="379"/>
      <c r="Q15" s="378">
        <f>SUM(Q12:Q14)</f>
        <v>30730322</v>
      </c>
      <c r="R15" s="379"/>
      <c r="S15" s="380">
        <f>SUM(S12:S14)</f>
        <v>31916343</v>
      </c>
      <c r="T15" s="363"/>
      <c r="U15" s="381"/>
      <c r="V15" s="382">
        <f t="shared" si="0"/>
        <v>30195456.600000001</v>
      </c>
      <c r="W15" s="320">
        <f t="shared" si="1"/>
        <v>9.4404282162207726E-2</v>
      </c>
    </row>
    <row r="16" spans="1:23" ht="15" customHeight="1" x14ac:dyDescent="0.2">
      <c r="A16" s="111" t="s">
        <v>9</v>
      </c>
      <c r="B16" s="464"/>
      <c r="C16" s="465"/>
      <c r="D16" s="359"/>
      <c r="E16" s="383"/>
      <c r="F16" s="361"/>
      <c r="G16" s="383"/>
      <c r="H16" s="361"/>
      <c r="I16" s="383"/>
      <c r="J16" s="361"/>
      <c r="K16" s="383"/>
      <c r="L16" s="361"/>
      <c r="M16" s="383"/>
      <c r="N16" s="361"/>
      <c r="O16" s="383"/>
      <c r="P16" s="361"/>
      <c r="Q16" s="383"/>
      <c r="R16" s="361"/>
      <c r="S16" s="384"/>
      <c r="T16" s="363"/>
      <c r="U16" s="385"/>
      <c r="V16" s="386"/>
      <c r="W16" s="184"/>
    </row>
    <row r="17" spans="1:23" ht="15" customHeight="1" x14ac:dyDescent="0.2">
      <c r="A17" s="77" t="s">
        <v>7</v>
      </c>
      <c r="B17" s="469"/>
      <c r="C17" s="470">
        <f>Dean_HE!M17+ATID!M17+HM!M17+'Food Nutrition Diet Health'!M17+FSHS!M17+Kinesiology!M17</f>
        <v>1815794</v>
      </c>
      <c r="D17" s="366"/>
      <c r="E17" s="367">
        <f>Dean_HE!O17+ATID!O17+HM!O17+'Food Nutrition Diet Health'!O17+FSHS!O17+Kinesiology!O17</f>
        <v>1522965</v>
      </c>
      <c r="F17" s="368"/>
      <c r="G17" s="367">
        <f>Dean_HE!Q17+ATID!Q17+HM!Q17+'Food Nutrition Diet Health'!Q17+FSHS!Q17+Kinesiology!Q17</f>
        <v>1545480</v>
      </c>
      <c r="H17" s="368"/>
      <c r="I17" s="367">
        <f>Dean_HE!S17+ATID!S17+HM!S17+'Food Nutrition Diet Health'!S17+FSHS!S17+Kinesiology!S17</f>
        <v>1581877</v>
      </c>
      <c r="J17" s="368"/>
      <c r="K17" s="367">
        <f>Dean_HE!U17+ATID!U17+HM!U17+'Food Nutrition Diet Health'!U17+FSHS!U17+Kinesiology!U17</f>
        <v>1640776</v>
      </c>
      <c r="L17" s="368"/>
      <c r="M17" s="367">
        <f>Dean_HE!W17+ATID!W17+HM!W17+'Food Nutrition Diet Health'!W17+FSHS!W17+Kinesiology!W17</f>
        <v>1714690</v>
      </c>
      <c r="N17" s="368"/>
      <c r="O17" s="367">
        <f>Dean_HE!Y17+ATID!Y17+HM!Y17+'Food Nutrition Diet Health'!Y17+FSHS!Y17+Kinesiology!Y17</f>
        <v>1764553</v>
      </c>
      <c r="P17" s="368"/>
      <c r="Q17" s="367">
        <f>Dean_HE!AA17+ATID!AA17+HM!AA17+'Food Nutrition Diet Health'!AA17+FSHS!AA17+Kinesiology!AA17</f>
        <v>1787231</v>
      </c>
      <c r="R17" s="368"/>
      <c r="S17" s="369">
        <f>Dean_HE!AC17+ATID!AC17+HM!AC17+'Food Nutrition Diet Health'!AC17+FSHS!AC17+Kinesiology!AC17</f>
        <v>1545453</v>
      </c>
      <c r="T17" s="363"/>
      <c r="U17" s="364"/>
      <c r="V17" s="365">
        <f t="shared" si="0"/>
        <v>1690540.6</v>
      </c>
      <c r="W17" s="318">
        <f t="shared" si="1"/>
        <v>-5.8096291023271913E-2</v>
      </c>
    </row>
    <row r="18" spans="1:23" ht="15" customHeight="1" x14ac:dyDescent="0.2">
      <c r="A18" s="77" t="s">
        <v>26</v>
      </c>
      <c r="B18" s="469"/>
      <c r="C18" s="470">
        <f>Dean_HE!M18+ATID!M18+HM!M18+'Food Nutrition Diet Health'!M18+FSHS!M18+Kinesiology!M18</f>
        <v>0</v>
      </c>
      <c r="D18" s="366"/>
      <c r="E18" s="367">
        <f>Dean_HE!O18+ATID!O18+HM!O18+'Food Nutrition Diet Health'!O18+FSHS!O18+Kinesiology!O18</f>
        <v>0</v>
      </c>
      <c r="F18" s="368"/>
      <c r="G18" s="367">
        <f>Dean_HE!Q18+ATID!Q18+HM!Q18+'Food Nutrition Diet Health'!Q18+FSHS!Q18+Kinesiology!Q18</f>
        <v>0</v>
      </c>
      <c r="H18" s="368"/>
      <c r="I18" s="367">
        <f>Dean_HE!S18+ATID!S18+HM!S18+'Food Nutrition Diet Health'!S18+FSHS!S18+Kinesiology!S18</f>
        <v>0</v>
      </c>
      <c r="J18" s="368"/>
      <c r="K18" s="367">
        <f>Dean_HE!U18+ATID!U18+HM!U18+'Food Nutrition Diet Health'!U18+FSHS!U18+Kinesiology!U18</f>
        <v>0</v>
      </c>
      <c r="L18" s="368"/>
      <c r="M18" s="367">
        <f>Dean_HE!W18+ATID!W18+HM!W18+'Food Nutrition Diet Health'!W18+FSHS!W18+Kinesiology!W18</f>
        <v>0</v>
      </c>
      <c r="N18" s="368"/>
      <c r="O18" s="367">
        <f>Dean_HE!Y18+ATID!Y18+HM!Y18+'Food Nutrition Diet Health'!Y18+FSHS!Y18+Kinesiology!Y18</f>
        <v>0</v>
      </c>
      <c r="P18" s="368"/>
      <c r="Q18" s="367">
        <f>Dean_HE!AA18+ATID!AA18+HM!AA18+'Food Nutrition Diet Health'!AA18+FSHS!AA18+Kinesiology!AA18</f>
        <v>0</v>
      </c>
      <c r="R18" s="368"/>
      <c r="S18" s="369">
        <f>Dean_HE!AC18+ATID!AC18+HM!AC18+'Food Nutrition Diet Health'!AC18+FSHS!AC18+Kinesiology!AC18</f>
        <v>0</v>
      </c>
      <c r="T18" s="363"/>
      <c r="U18" s="370"/>
      <c r="V18" s="365">
        <f t="shared" si="0"/>
        <v>0</v>
      </c>
      <c r="W18" s="318"/>
    </row>
    <row r="19" spans="1:23" ht="30" customHeight="1" thickBot="1" x14ac:dyDescent="0.25">
      <c r="A19" s="206" t="s">
        <v>49</v>
      </c>
      <c r="B19" s="466"/>
      <c r="C19" s="470">
        <f>Dean_HE!M19+ATID!M19+HM!M19+'Food Nutrition Diet Health'!M19+FSHS!M19+Kinesiology!M19</f>
        <v>5188261</v>
      </c>
      <c r="D19" s="371"/>
      <c r="E19" s="372">
        <f>Dean_HE!O19+ATID!O19+HM!O19+'Food Nutrition Diet Health'!O19+FSHS!O19+Kinesiology!O19</f>
        <v>5302872</v>
      </c>
      <c r="F19" s="373"/>
      <c r="G19" s="372">
        <f>Dean_HE!Q19+ATID!Q19+HM!Q19+'Food Nutrition Diet Health'!Q19+FSHS!Q19+Kinesiology!Q19</f>
        <v>5313124</v>
      </c>
      <c r="H19" s="373"/>
      <c r="I19" s="372">
        <f>Dean_HE!S19+ATID!S19+HM!S19+'Food Nutrition Diet Health'!S19+FSHS!S19+Kinesiology!S19</f>
        <v>5238197</v>
      </c>
      <c r="J19" s="373"/>
      <c r="K19" s="372">
        <f>Dean_HE!U19+ATID!U19+HM!U19+'Food Nutrition Diet Health'!U19+FSHS!U19+Kinesiology!U19</f>
        <v>5190404</v>
      </c>
      <c r="L19" s="373"/>
      <c r="M19" s="372">
        <f>Dean_HE!W19+ATID!W19+HM!W19+'Food Nutrition Diet Health'!W19+FSHS!W19+Kinesiology!W19</f>
        <v>5221018</v>
      </c>
      <c r="N19" s="373"/>
      <c r="O19" s="372">
        <f>Dean_HE!Y19+ATID!Y19+HM!Y19+'Food Nutrition Diet Health'!Y19+FSHS!Y19+Kinesiology!Y19</f>
        <v>5225014</v>
      </c>
      <c r="P19" s="373"/>
      <c r="Q19" s="372">
        <f>Dean_HE!AA19+ATID!AA19+HM!AA19+'Food Nutrition Diet Health'!AA19+FSHS!AA19+Kinesiology!AA19</f>
        <v>8379024</v>
      </c>
      <c r="R19" s="373"/>
      <c r="S19" s="374">
        <f>Dean_HE!AC19+ATID!AC19+HM!AC19+'Food Nutrition Diet Health'!AC19+FSHS!AC19+Kinesiology!AC19</f>
        <v>8661537</v>
      </c>
      <c r="T19" s="363"/>
      <c r="U19" s="375"/>
      <c r="V19" s="365">
        <f t="shared" si="0"/>
        <v>6535399.4000000004</v>
      </c>
      <c r="W19" s="318">
        <f t="shared" si="1"/>
        <v>0.66875969577705319</v>
      </c>
    </row>
    <row r="20" spans="1:23" ht="18.75" customHeight="1" thickBot="1" x14ac:dyDescent="0.25">
      <c r="A20" s="213" t="s">
        <v>10</v>
      </c>
      <c r="B20" s="467"/>
      <c r="C20" s="468">
        <f>SUM(C17:C19)</f>
        <v>7004055</v>
      </c>
      <c r="D20" s="377"/>
      <c r="E20" s="378">
        <f>SUM(E17:E19)</f>
        <v>6825837</v>
      </c>
      <c r="F20" s="379"/>
      <c r="G20" s="378">
        <f>SUM(G17:G19)</f>
        <v>6858604</v>
      </c>
      <c r="H20" s="379"/>
      <c r="I20" s="378">
        <f>SUM(I17:I19)</f>
        <v>6820074</v>
      </c>
      <c r="J20" s="379"/>
      <c r="K20" s="378">
        <f>SUM(K17:K19)</f>
        <v>6831180</v>
      </c>
      <c r="L20" s="379"/>
      <c r="M20" s="378">
        <f>SUM(M17:M19)</f>
        <v>6935708</v>
      </c>
      <c r="N20" s="379"/>
      <c r="O20" s="378">
        <f>SUM(O17:O19)</f>
        <v>6989567</v>
      </c>
      <c r="P20" s="379"/>
      <c r="Q20" s="378">
        <f>SUM(Q17:Q19)</f>
        <v>10166255</v>
      </c>
      <c r="R20" s="379"/>
      <c r="S20" s="380">
        <f>SUM(S17:S19)</f>
        <v>10206990</v>
      </c>
      <c r="T20" s="363"/>
      <c r="U20" s="381"/>
      <c r="V20" s="382">
        <f t="shared" si="0"/>
        <v>8225940</v>
      </c>
      <c r="W20" s="321">
        <f t="shared" si="1"/>
        <v>0.49417670153619142</v>
      </c>
    </row>
    <row r="21" spans="1:23" ht="18.75" customHeight="1" thickBot="1" x14ac:dyDescent="0.25">
      <c r="A21" s="261" t="s">
        <v>11</v>
      </c>
      <c r="B21" s="471"/>
      <c r="C21" s="472">
        <f>SUM(C15,C20)</f>
        <v>21938672</v>
      </c>
      <c r="D21" s="387"/>
      <c r="E21" s="388">
        <f>SUM(E15,E20)</f>
        <v>24458727</v>
      </c>
      <c r="F21" s="389"/>
      <c r="G21" s="388">
        <f>SUM(G15,G20)</f>
        <v>34936116</v>
      </c>
      <c r="H21" s="389"/>
      <c r="I21" s="388">
        <f>SUM(I15,I20)</f>
        <v>35273463</v>
      </c>
      <c r="J21" s="389"/>
      <c r="K21" s="388">
        <f>SUM(K15,K20)</f>
        <v>35994391</v>
      </c>
      <c r="L21" s="389"/>
      <c r="M21" s="388">
        <f>SUM(M15,M20)</f>
        <v>35401329</v>
      </c>
      <c r="N21" s="389"/>
      <c r="O21" s="388">
        <f>SUM(O15,O20)</f>
        <v>37691353</v>
      </c>
      <c r="P21" s="389"/>
      <c r="Q21" s="388">
        <f>SUM(Q15,Q20)</f>
        <v>40896577</v>
      </c>
      <c r="R21" s="389"/>
      <c r="S21" s="390">
        <f>SUM(S15,S20)</f>
        <v>42123333</v>
      </c>
      <c r="T21" s="363"/>
      <c r="U21" s="391"/>
      <c r="V21" s="392">
        <f t="shared" si="0"/>
        <v>38421396.600000001</v>
      </c>
      <c r="W21" s="322">
        <f t="shared" si="1"/>
        <v>0.170274918667189</v>
      </c>
    </row>
    <row r="22" spans="1:23" ht="18" customHeight="1" x14ac:dyDescent="0.2">
      <c r="A22" s="210" t="s">
        <v>36</v>
      </c>
      <c r="B22" s="538"/>
      <c r="C22" s="539"/>
      <c r="D22" s="393"/>
      <c r="E22" s="394"/>
      <c r="F22" s="393"/>
      <c r="G22" s="394"/>
      <c r="H22" s="393"/>
      <c r="I22" s="394"/>
      <c r="J22" s="393"/>
      <c r="K22" s="394"/>
      <c r="L22" s="393"/>
      <c r="M22" s="394"/>
      <c r="N22" s="499"/>
      <c r="O22" s="499"/>
      <c r="P22" s="500"/>
      <c r="Q22" s="501"/>
      <c r="R22" s="502"/>
      <c r="S22" s="503"/>
      <c r="T22" s="363"/>
      <c r="U22" s="495"/>
      <c r="V22" s="496"/>
      <c r="W22" s="323"/>
    </row>
    <row r="23" spans="1:23" ht="15" customHeight="1" x14ac:dyDescent="0.2">
      <c r="A23" s="77" t="s">
        <v>54</v>
      </c>
      <c r="B23" s="464"/>
      <c r="C23" s="473">
        <f>Dean_HE!M23+ATID!M23+HM!M23+'Food Nutrition Diet Health'!M23+FSHS!M23+Kinesiology!M23</f>
        <v>8891838</v>
      </c>
      <c r="D23" s="395"/>
      <c r="E23" s="396">
        <f>Dean_HE!O23+ATID!O23+HM!O23+'Food Nutrition Diet Health'!O23+FSHS!O23+Kinesiology!O23</f>
        <v>9061740</v>
      </c>
      <c r="F23" s="397"/>
      <c r="G23" s="396">
        <f>Dean_HE!Q23+ATID!Q23+HM!Q23+'Food Nutrition Diet Health'!Q23+FSHS!Q23+Kinesiology!Q23</f>
        <v>9085478</v>
      </c>
      <c r="H23" s="397"/>
      <c r="I23" s="396">
        <f>Dean_HE!S23+ATID!S23+HM!S23+'Food Nutrition Diet Health'!S23+FSHS!S23+Kinesiology!S23</f>
        <v>9501129</v>
      </c>
      <c r="J23" s="397"/>
      <c r="K23" s="396">
        <f>Dean_HE!U23+ATID!U23+HM!U23+'Food Nutrition Diet Health'!U23+FSHS!U23+Kinesiology!U23</f>
        <v>9504870</v>
      </c>
      <c r="L23" s="397"/>
      <c r="M23" s="396">
        <f>Dean_HE!W23+ATID!W23+HM!W23+'Food Nutrition Diet Health'!W23+FSHS!W23+Kinesiology!W23</f>
        <v>10176801.778999999</v>
      </c>
      <c r="N23" s="397"/>
      <c r="O23" s="398">
        <f>Dean_HE!Y23+ATID!Y23+HM!Y23+'Food Nutrition Diet Health'!Y23+FSHS!Y23+Kinesiology!Y23</f>
        <v>11805921</v>
      </c>
      <c r="P23" s="397"/>
      <c r="Q23" s="398">
        <f>Dean_HE!AA23+ATID!AA23+HM!AA23+'Food Nutrition Diet Health'!AA23+FSHS!AA23+Kinesiology!AA23</f>
        <v>13080458</v>
      </c>
      <c r="R23" s="361"/>
      <c r="S23" s="399"/>
      <c r="T23" s="363"/>
      <c r="U23" s="364"/>
      <c r="V23" s="365">
        <f>AVERAGE(K23,Q23,I23,M23,O23)</f>
        <v>10813835.955800001</v>
      </c>
      <c r="W23" s="318">
        <f>+(Q23-I23)/I23</f>
        <v>0.376726702689754</v>
      </c>
    </row>
    <row r="24" spans="1:23" ht="15" customHeight="1" x14ac:dyDescent="0.2">
      <c r="A24" s="77" t="s">
        <v>46</v>
      </c>
      <c r="B24" s="474"/>
      <c r="C24" s="473">
        <f>Dean_HE!M24+ATID!M24+HM!M24+'Food Nutrition Diet Health'!M24+FSHS!M24+Kinesiology!M24</f>
        <v>4302366.589999998</v>
      </c>
      <c r="D24" s="400"/>
      <c r="E24" s="401">
        <f>Dean_HE!O24+ATID!O24+HM!O24+'Food Nutrition Diet Health'!O24+FSHS!O24+Kinesiology!O24</f>
        <v>4556062.71</v>
      </c>
      <c r="F24" s="402"/>
      <c r="G24" s="401">
        <f>Dean_HE!Q24+ATID!Q24+HM!Q24+'Food Nutrition Diet Health'!Q24+FSHS!Q24+Kinesiology!Q24</f>
        <v>4297466.4399999976</v>
      </c>
      <c r="H24" s="402"/>
      <c r="I24" s="401">
        <f>Dean_HE!S24+ATID!S24+HM!S24+'Food Nutrition Diet Health'!S24+FSHS!S24+Kinesiology!S24</f>
        <v>4747934.7700000005</v>
      </c>
      <c r="J24" s="402"/>
      <c r="K24" s="401">
        <f>Dean_HE!U24+ATID!U24+HM!U24+'Food Nutrition Diet Health'!U24+FSHS!U24+Kinesiology!U24</f>
        <v>4632344.01</v>
      </c>
      <c r="L24" s="402"/>
      <c r="M24" s="401">
        <f>Dean_HE!W24+ATID!W24+HM!W24+'Food Nutrition Diet Health'!W24+FSHS!W24+Kinesiology!W24</f>
        <v>4379646.3899999987</v>
      </c>
      <c r="N24" s="402"/>
      <c r="O24" s="403">
        <f>Dean_HE!Y24+ATID!Y24+HM!Y24+'Food Nutrition Diet Health'!Y24+FSHS!Y24+Kinesiology!Y24</f>
        <v>5814500</v>
      </c>
      <c r="P24" s="402"/>
      <c r="Q24" s="403">
        <f>Dean_HE!AA24+ATID!AA24+HM!AA24+'Food Nutrition Diet Health'!AA24+FSHS!AA24+Kinesiology!AA24</f>
        <v>6105311</v>
      </c>
      <c r="R24" s="373"/>
      <c r="S24" s="404"/>
      <c r="T24" s="363"/>
      <c r="U24" s="364"/>
      <c r="V24" s="365">
        <f t="shared" ref="V24:V25" si="2">AVERAGE(K24,Q24,I24,M24,O24)</f>
        <v>5135947.2340000002</v>
      </c>
      <c r="W24" s="318">
        <f t="shared" ref="W24:W25" si="3">+(Q24-I24)/I24</f>
        <v>0.28588771660820422</v>
      </c>
    </row>
    <row r="25" spans="1:23" ht="15" customHeight="1" thickBot="1" x14ac:dyDescent="0.25">
      <c r="A25" s="78" t="s">
        <v>47</v>
      </c>
      <c r="B25" s="475"/>
      <c r="C25" s="476">
        <f>Dean_HE!M25+ATID!M25+HM!M25+'Food Nutrition Diet Health'!M25+FSHS!M25+Kinesiology!M25</f>
        <v>15305268.57</v>
      </c>
      <c r="D25" s="405"/>
      <c r="E25" s="406">
        <f>Dean_HE!O25+ATID!O25+HM!O25+'Food Nutrition Diet Health'!O25+FSHS!O25+Kinesiology!O25</f>
        <v>16026784.309999999</v>
      </c>
      <c r="F25" s="405"/>
      <c r="G25" s="406">
        <f>Dean_HE!Q25+ATID!Q25+HM!Q25+'Food Nutrition Diet Health'!Q25+FSHS!Q25+Kinesiology!Q25</f>
        <v>11874840.52</v>
      </c>
      <c r="H25" s="405"/>
      <c r="I25" s="406">
        <f>Dean_HE!S25+ATID!S25+HM!S25+'Food Nutrition Diet Health'!S25+FSHS!S25+Kinesiology!S25</f>
        <v>16103111.060000001</v>
      </c>
      <c r="J25" s="405"/>
      <c r="K25" s="406">
        <f>Dean_HE!U25+ATID!U25+HM!U25+'Food Nutrition Diet Health'!U25+FSHS!U25+Kinesiology!U25</f>
        <v>15909776.08</v>
      </c>
      <c r="L25" s="405"/>
      <c r="M25" s="406">
        <f>Dean_HE!W25+ATID!W25+HM!W25+'Food Nutrition Diet Health'!W25+FSHS!W25+Kinesiology!W25</f>
        <v>9539107.4800000004</v>
      </c>
      <c r="N25" s="405"/>
      <c r="O25" s="406">
        <f>Dean_HE!Y25+ATID!Y25+HM!Y25+'Food Nutrition Diet Health'!Y25+FSHS!Y25+Kinesiology!Y25</f>
        <v>9039338</v>
      </c>
      <c r="P25" s="405"/>
      <c r="Q25" s="406">
        <f>Dean_HE!AA25+ATID!AA25+HM!AA25+'Food Nutrition Diet Health'!AA25+FSHS!AA25+Kinesiology!AA25</f>
        <v>7680263</v>
      </c>
      <c r="R25" s="405"/>
      <c r="S25" s="410"/>
      <c r="T25" s="363"/>
      <c r="U25" s="411"/>
      <c r="V25" s="365">
        <f t="shared" si="2"/>
        <v>11654319.124000002</v>
      </c>
      <c r="W25" s="318">
        <f t="shared" si="3"/>
        <v>-0.52305719240316784</v>
      </c>
    </row>
    <row r="26" spans="1:23" ht="18" customHeight="1" thickTop="1" x14ac:dyDescent="0.2">
      <c r="A26" s="127" t="s">
        <v>44</v>
      </c>
      <c r="B26" s="477" t="s">
        <v>15</v>
      </c>
      <c r="C26" s="478" t="s">
        <v>16</v>
      </c>
      <c r="D26" s="412" t="s">
        <v>15</v>
      </c>
      <c r="E26" s="413" t="s">
        <v>16</v>
      </c>
      <c r="F26" s="412" t="s">
        <v>15</v>
      </c>
      <c r="G26" s="413" t="s">
        <v>16</v>
      </c>
      <c r="H26" s="412" t="s">
        <v>15</v>
      </c>
      <c r="I26" s="413" t="s">
        <v>16</v>
      </c>
      <c r="J26" s="412" t="s">
        <v>15</v>
      </c>
      <c r="K26" s="413" t="s">
        <v>16</v>
      </c>
      <c r="L26" s="412" t="s">
        <v>15</v>
      </c>
      <c r="M26" s="413" t="s">
        <v>16</v>
      </c>
      <c r="N26" s="412" t="s">
        <v>15</v>
      </c>
      <c r="O26" s="413" t="s">
        <v>16</v>
      </c>
      <c r="P26" s="412" t="s">
        <v>15</v>
      </c>
      <c r="Q26" s="413" t="s">
        <v>16</v>
      </c>
      <c r="R26" s="414" t="s">
        <v>15</v>
      </c>
      <c r="S26" s="415" t="s">
        <v>16</v>
      </c>
      <c r="T26" s="416"/>
      <c r="U26" s="417" t="s">
        <v>15</v>
      </c>
      <c r="V26" s="418" t="s">
        <v>16</v>
      </c>
      <c r="W26" s="251" t="s">
        <v>45</v>
      </c>
    </row>
    <row r="27" spans="1:23" ht="15" customHeight="1" x14ac:dyDescent="0.2">
      <c r="A27" s="77" t="s">
        <v>42</v>
      </c>
      <c r="B27" s="479">
        <f>Dean_HE!L27+ATID!L27+HM!L27+'Food Nutrition Diet Health'!L27+FSHS!L27+Kinesiology!L27</f>
        <v>67</v>
      </c>
      <c r="C27" s="480">
        <f>Dean_HE!M27+ATID!M27+HM!M27+'Food Nutrition Diet Health'!M27+FSHS!M27+Kinesiology!M27</f>
        <v>9029706</v>
      </c>
      <c r="D27" s="419">
        <f>Dean_HE!N27+ATID!N27+HM!N27+'Food Nutrition Diet Health'!N27+FSHS!N27+Kinesiology!N27</f>
        <v>57</v>
      </c>
      <c r="E27" s="420">
        <f>Dean_HE!O27+ATID!O27+HM!O27+'Food Nutrition Diet Health'!O27+FSHS!O27+Kinesiology!O27</f>
        <v>22202061</v>
      </c>
      <c r="F27" s="419">
        <f>Dean_HE!P27+ATID!P27+HM!P27+'Food Nutrition Diet Health'!P27+FSHS!P27+Kinesiology!P27</f>
        <v>67</v>
      </c>
      <c r="G27" s="420">
        <f>Dean_HE!Q27+ATID!Q27+HM!Q27+'Food Nutrition Diet Health'!Q27+FSHS!Q27+Kinesiology!Q27</f>
        <v>18379922</v>
      </c>
      <c r="H27" s="419">
        <f>Dean_HE!R27+ATID!R27+HM!R27+'Food Nutrition Diet Health'!R27+FSHS!R27+Kinesiology!R27</f>
        <v>43</v>
      </c>
      <c r="I27" s="420">
        <f>Dean_HE!S27+ATID!S27+HM!S27+'Food Nutrition Diet Health'!S27+FSHS!S27+Kinesiology!S27</f>
        <v>16685128</v>
      </c>
      <c r="J27" s="419">
        <f>Dean_HE!T27+ATID!T27+HM!T27+'Food Nutrition Diet Health'!T27+FSHS!T27+Kinesiology!T27</f>
        <v>74</v>
      </c>
      <c r="K27" s="420">
        <f>Dean_HE!U27+ATID!U27+HM!U27+'Food Nutrition Diet Health'!U27+FSHS!U27+Kinesiology!U27</f>
        <v>10989998</v>
      </c>
      <c r="L27" s="419">
        <f>Dean_HE!V27+ATID!V27+HM!V27+'Food Nutrition Diet Health'!V27+FSHS!V27+Kinesiology!V27</f>
        <v>69</v>
      </c>
      <c r="M27" s="420">
        <f>Dean_HE!W27+ATID!W27+HM!W27+'Food Nutrition Diet Health'!W27+FSHS!W27+Kinesiology!W27</f>
        <v>7265424</v>
      </c>
      <c r="N27" s="419">
        <f>Dean_HE!X27+ATID!X27+HM!X27+'Food Nutrition Diet Health'!X27+FSHS!X27+Kinesiology!X27</f>
        <v>93</v>
      </c>
      <c r="O27" s="420">
        <f>Dean_HE!Y27+ATID!Y27+HM!Y27+'Food Nutrition Diet Health'!Y27+FSHS!Y27+Kinesiology!Y27</f>
        <v>8706928</v>
      </c>
      <c r="P27" s="419">
        <f>Dean_HE!Z27+ATID!Z27+HM!Z27+'Food Nutrition Diet Health'!Z27+FSHS!Z27+Kinesiology!Z27</f>
        <v>116</v>
      </c>
      <c r="Q27" s="420">
        <f>Dean_HE!AA27+ATID!AA27+HM!AA27+'Food Nutrition Diet Health'!AA27+FSHS!AA27+Kinesiology!AA27</f>
        <v>16022695</v>
      </c>
      <c r="R27" s="421"/>
      <c r="S27" s="422"/>
      <c r="T27" s="363"/>
      <c r="U27" s="259">
        <f>AVERAGE(J27,H27,P27,N27,L27)</f>
        <v>79</v>
      </c>
      <c r="V27" s="423">
        <f t="shared" ref="V27:V28" si="4">AVERAGE(K27,Q27,I27,M27,O27)</f>
        <v>11934034.6</v>
      </c>
      <c r="W27" s="324">
        <f t="shared" ref="W27:W28" si="5">+(Q27-I27)/I27</f>
        <v>-3.970200288544385E-2</v>
      </c>
    </row>
    <row r="28" spans="1:23" ht="15" customHeight="1" thickBot="1" x14ac:dyDescent="0.25">
      <c r="A28" s="78" t="s">
        <v>43</v>
      </c>
      <c r="B28" s="481">
        <f>Dean_HE!L28+ATID!L28+HM!L28+'Food Nutrition Diet Health'!L28+FSHS!L28+Kinesiology!L28</f>
        <v>36</v>
      </c>
      <c r="C28" s="482">
        <f>Dean_HE!M28+ATID!M28+HM!M28+'Food Nutrition Diet Health'!M28+FSHS!M28+Kinesiology!M28</f>
        <v>18147702</v>
      </c>
      <c r="D28" s="424">
        <f>Dean_HE!N28+ATID!N28+HM!N28+'Food Nutrition Diet Health'!N28+FSHS!N28+Kinesiology!N28</f>
        <v>50</v>
      </c>
      <c r="E28" s="425">
        <f>Dean_HE!O28+ATID!O28+HM!O28+'Food Nutrition Diet Health'!O28+FSHS!O28+Kinesiology!O28</f>
        <v>18839419</v>
      </c>
      <c r="F28" s="424">
        <f>Dean_HE!P28+ATID!P28+HM!P28+'Food Nutrition Diet Health'!P28+FSHS!P28+Kinesiology!P28</f>
        <v>42</v>
      </c>
      <c r="G28" s="425">
        <f>Dean_HE!Q28+ATID!Q28+HM!Q28+'Food Nutrition Diet Health'!Q28+FSHS!Q28+Kinesiology!Q28</f>
        <v>14495408</v>
      </c>
      <c r="H28" s="424">
        <f>Dean_HE!R28+ATID!R28+HM!R28+'Food Nutrition Diet Health'!R28+FSHS!R28+Kinesiology!R28</f>
        <v>43</v>
      </c>
      <c r="I28" s="425">
        <f>Dean_HE!S28+ATID!S28+HM!S28+'Food Nutrition Diet Health'!S28+FSHS!S28+Kinesiology!S28</f>
        <v>19066711</v>
      </c>
      <c r="J28" s="424">
        <f>Dean_HE!T28+ATID!T28+HM!T28+'Food Nutrition Diet Health'!T28+FSHS!T28+Kinesiology!T28</f>
        <v>36</v>
      </c>
      <c r="K28" s="425">
        <f>Dean_HE!U28+ATID!U28+HM!U28+'Food Nutrition Diet Health'!U28+FSHS!U28+Kinesiology!U28</f>
        <v>9847324</v>
      </c>
      <c r="L28" s="424">
        <f>Dean_HE!V28+ATID!V28+HM!V28+'Food Nutrition Diet Health'!V28+FSHS!V28+Kinesiology!V28</f>
        <v>43</v>
      </c>
      <c r="M28" s="425">
        <f>Dean_HE!W28+ATID!W28+HM!W28+'Food Nutrition Diet Health'!W28+FSHS!W28+Kinesiology!W28</f>
        <v>10488105</v>
      </c>
      <c r="N28" s="424">
        <f>Dean_HE!X28+ATID!X28+HM!X28+'Food Nutrition Diet Health'!X28+FSHS!X28+Kinesiology!X28</f>
        <v>47</v>
      </c>
      <c r="O28" s="425">
        <f>Dean_HE!Y28+ATID!Y28+HM!Y28+'Food Nutrition Diet Health'!Y28+FSHS!Y28+Kinesiology!Y28</f>
        <v>12111260</v>
      </c>
      <c r="P28" s="424">
        <f>Dean_HE!Z28+ATID!Z28+HM!Z28+'Food Nutrition Diet Health'!Z28+FSHS!Z28+Kinesiology!Z28</f>
        <v>66</v>
      </c>
      <c r="Q28" s="425">
        <f>Dean_HE!AA28+ATID!AA28+HM!AA28+'Food Nutrition Diet Health'!AA28+FSHS!AA28+Kinesiology!AA28</f>
        <v>12507044</v>
      </c>
      <c r="R28" s="426"/>
      <c r="S28" s="427"/>
      <c r="T28" s="363"/>
      <c r="U28" s="259">
        <f>AVERAGE(J28,H28,P28,N28,L28)</f>
        <v>47</v>
      </c>
      <c r="V28" s="428">
        <f t="shared" si="4"/>
        <v>12804088.800000001</v>
      </c>
      <c r="W28" s="324">
        <f t="shared" si="5"/>
        <v>-0.34403767907322874</v>
      </c>
    </row>
    <row r="29" spans="1:23" ht="18" customHeight="1" thickTop="1" x14ac:dyDescent="0.2">
      <c r="A29" s="127" t="s">
        <v>12</v>
      </c>
      <c r="B29" s="540"/>
      <c r="C29" s="541"/>
      <c r="D29" s="493"/>
      <c r="E29" s="494"/>
      <c r="F29" s="493"/>
      <c r="G29" s="494"/>
      <c r="H29" s="493"/>
      <c r="I29" s="494"/>
      <c r="J29" s="493"/>
      <c r="K29" s="494"/>
      <c r="L29" s="493"/>
      <c r="M29" s="494"/>
      <c r="N29" s="493"/>
      <c r="O29" s="494"/>
      <c r="P29" s="493"/>
      <c r="Q29" s="494"/>
      <c r="R29" s="493"/>
      <c r="S29" s="504"/>
      <c r="T29" s="363"/>
      <c r="U29" s="497"/>
      <c r="V29" s="498"/>
      <c r="W29" s="325"/>
    </row>
    <row r="30" spans="1:23" ht="15" customHeight="1" x14ac:dyDescent="0.2">
      <c r="A30" s="77" t="s">
        <v>18</v>
      </c>
      <c r="B30" s="483"/>
      <c r="C30" s="484">
        <f>Dean_HE!M30+ATID!M30+HM!M30+'Food Nutrition Diet Health'!M30+FSHS!M30+Kinesiology!M30</f>
        <v>4344069</v>
      </c>
      <c r="D30" s="431"/>
      <c r="E30" s="430">
        <f>Dean_HE!O30+ATID!O30+HM!O30+'Food Nutrition Diet Health'!O30+FSHS!O30+Kinesiology!O30</f>
        <v>3457403</v>
      </c>
      <c r="F30" s="431"/>
      <c r="G30" s="430">
        <f>Dean_HE!Q30+ATID!Q30+HM!Q30+'Food Nutrition Diet Health'!Q30+FSHS!Q30+Kinesiology!Q30</f>
        <v>2332886.73</v>
      </c>
      <c r="H30" s="431"/>
      <c r="I30" s="430">
        <f>Dean_HE!S30+ATID!S30+HM!S30+'Food Nutrition Diet Health'!S30+FSHS!S30+Kinesiology!S30</f>
        <v>1832289.93</v>
      </c>
      <c r="J30" s="431"/>
      <c r="K30" s="430">
        <f>Dean_HE!U30+ATID!U30+HM!U30+'Food Nutrition Diet Health'!U30+FSHS!U30+Kinesiology!U30</f>
        <v>2301081.4299999997</v>
      </c>
      <c r="L30" s="431"/>
      <c r="M30" s="430">
        <f>Dean_HE!W30+ATID!W30+HM!W30+'Food Nutrition Diet Health'!W30+FSHS!W30+Kinesiology!W30</f>
        <v>2565835.2600000002</v>
      </c>
      <c r="N30" s="431"/>
      <c r="O30" s="430">
        <f>Dean_HE!Y30+ATID!Y30+HM!Y30+'Food Nutrition Diet Health'!Y30+FSHS!Y30+Kinesiology!Y30</f>
        <v>2466837.75</v>
      </c>
      <c r="P30" s="431"/>
      <c r="Q30" s="430">
        <f>Dean_HE!AA30+ATID!AA30+HM!AA30+'Food Nutrition Diet Health'!AA30+FSHS!AA30+Kinesiology!AA30</f>
        <v>1583909</v>
      </c>
      <c r="R30" s="431"/>
      <c r="S30" s="432"/>
      <c r="T30" s="363"/>
      <c r="U30" s="364"/>
      <c r="V30" s="423">
        <f t="shared" ref="V30:V31" si="6">AVERAGE(K30,Q30,I30,M30,O30)</f>
        <v>2149990.6739999996</v>
      </c>
      <c r="W30" s="324">
        <f t="shared" ref="W30:W31" si="7">+(Q30-I30)/I30</f>
        <v>-0.1355576570788663</v>
      </c>
    </row>
    <row r="31" spans="1:23" ht="15" customHeight="1" thickBot="1" x14ac:dyDescent="0.25">
      <c r="A31" s="78" t="s">
        <v>29</v>
      </c>
      <c r="B31" s="485"/>
      <c r="C31" s="486">
        <f>Dean_HE!M31+ATID!M31+HM!M31+'Food Nutrition Diet Health'!M31+FSHS!M31+Kinesiology!M31</f>
        <v>756706.49</v>
      </c>
      <c r="D31" s="433"/>
      <c r="E31" s="434">
        <f>Dean_HE!O31+ATID!O31+HM!O31+'Food Nutrition Diet Health'!O32+FSHS!O31+Kinesiology!O31</f>
        <v>805338</v>
      </c>
      <c r="F31" s="435"/>
      <c r="G31" s="434">
        <f>Dean_HE!Q31+ATID!Q31+HM!Q31+'Food Nutrition Diet Health'!Q32+FSHS!Q31+Kinesiology!Q31</f>
        <v>920933.62</v>
      </c>
      <c r="H31" s="435"/>
      <c r="I31" s="434">
        <f>Dean_HE!S31+ATID!S31+HM!S31+'Food Nutrition Diet Health'!S32+FSHS!S31+Kinesiology!S31</f>
        <v>878318.24</v>
      </c>
      <c r="J31" s="435"/>
      <c r="K31" s="434">
        <f>Dean_HE!U31+ATID!U31+HM!U31+'Food Nutrition Diet Health'!U32+FSHS!U31+Kinesiology!U31</f>
        <v>889450.5</v>
      </c>
      <c r="L31" s="435"/>
      <c r="M31" s="434">
        <f>Dean_HE!W31+ATID!W31+HM!W31+'Food Nutrition Diet Health'!W32+FSHS!W31+Kinesiology!W31</f>
        <v>2069478.22</v>
      </c>
      <c r="N31" s="435"/>
      <c r="O31" s="434">
        <f>Dean_HE!Y31+ATID!Y31+HM!Y31+'Food Nutrition Diet Health'!Y32+FSHS!Y31+Kinesiology!Y31</f>
        <v>1964168.75</v>
      </c>
      <c r="P31" s="435"/>
      <c r="Q31" s="434">
        <f>Dean_HE!AA31+ATID!AA31+HM!AA31+'Food Nutrition Diet Health'!AA32+FSHS!AA31+Kinesiology!AA31</f>
        <v>1897506</v>
      </c>
      <c r="R31" s="435"/>
      <c r="S31" s="436"/>
      <c r="T31" s="363"/>
      <c r="U31" s="411"/>
      <c r="V31" s="437">
        <f t="shared" si="6"/>
        <v>1539784.3419999999</v>
      </c>
      <c r="W31" s="230">
        <f t="shared" si="7"/>
        <v>1.1603855112925812</v>
      </c>
    </row>
    <row r="32" spans="1:23" ht="12.75" thickTop="1" x14ac:dyDescent="0.2">
      <c r="A32" s="310" t="s">
        <v>48</v>
      </c>
      <c r="B32" s="459"/>
      <c r="C32" s="459"/>
      <c r="D32" s="373"/>
      <c r="E32" s="438"/>
      <c r="F32" s="373"/>
      <c r="G32" s="438"/>
      <c r="H32" s="373"/>
      <c r="I32" s="438"/>
      <c r="J32" s="373"/>
      <c r="K32" s="438"/>
      <c r="L32" s="373"/>
      <c r="M32" s="438"/>
      <c r="N32" s="373"/>
      <c r="O32" s="438"/>
      <c r="P32" s="373"/>
      <c r="Q32" s="438"/>
      <c r="R32" s="373"/>
      <c r="S32" s="438"/>
      <c r="T32" s="439"/>
      <c r="U32" s="439"/>
      <c r="V32" s="439"/>
    </row>
    <row r="33" spans="2:22" x14ac:dyDescent="0.2"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</row>
  </sheetData>
  <mergeCells count="25">
    <mergeCell ref="R9:S9"/>
    <mergeCell ref="R22:S22"/>
    <mergeCell ref="R29:S29"/>
    <mergeCell ref="P29:Q29"/>
    <mergeCell ref="U29:V29"/>
    <mergeCell ref="U22:V22"/>
    <mergeCell ref="P9:Q9"/>
    <mergeCell ref="U9:V9"/>
    <mergeCell ref="N29:O29"/>
    <mergeCell ref="B29:C29"/>
    <mergeCell ref="D29:E29"/>
    <mergeCell ref="F29:G29"/>
    <mergeCell ref="H29:I29"/>
    <mergeCell ref="J29:K29"/>
    <mergeCell ref="L29:M29"/>
    <mergeCell ref="N22:O22"/>
    <mergeCell ref="P22:Q22"/>
    <mergeCell ref="B22:C22"/>
    <mergeCell ref="N9:O9"/>
    <mergeCell ref="B9:C9"/>
    <mergeCell ref="D9:E9"/>
    <mergeCell ref="F9:G9"/>
    <mergeCell ref="H9:I9"/>
    <mergeCell ref="J9:K9"/>
    <mergeCell ref="L9:M9"/>
  </mergeCells>
  <pageMargins left="0.5" right="0.5" top="0.5" bottom="0.5" header="0.3" footer="0.3"/>
  <pageSetup scale="70" orientation="landscape" r:id="rId1"/>
  <headerFooter alignWithMargins="0">
    <oddFooter>&amp;L&amp;9Prepared by Planning and Analysis&amp;C&amp;9&amp;P of &amp;N&amp;R&amp;9Updated &amp;D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Dean_HE</vt:lpstr>
      <vt:lpstr>ATID</vt:lpstr>
      <vt:lpstr>HM</vt:lpstr>
      <vt:lpstr>Food Nutrition Diet Health</vt:lpstr>
      <vt:lpstr>FSHS</vt:lpstr>
      <vt:lpstr>Kinesiology</vt:lpstr>
      <vt:lpstr>Summary</vt:lpstr>
      <vt:lpstr>ATID!Print_Area</vt:lpstr>
      <vt:lpstr>Dean_HE!Print_Area</vt:lpstr>
      <vt:lpstr>'Food Nutrition Diet Health'!Print_Area</vt:lpstr>
      <vt:lpstr>FSHS!Print_Area</vt:lpstr>
      <vt:lpstr>HM!Print_Area</vt:lpstr>
      <vt:lpstr>Kinesiology!Print_Area</vt:lpstr>
      <vt:lpstr>Summary!Print_Area</vt:lpstr>
      <vt:lpstr>ATID!Print_Titles</vt:lpstr>
      <vt:lpstr>Dean_HE!Print_Titles</vt:lpstr>
      <vt:lpstr>'Food Nutrition Diet Health'!Print_Titles</vt:lpstr>
      <vt:lpstr>FSHS!Print_Titles</vt:lpstr>
      <vt:lpstr>HM!Print_Titles</vt:lpstr>
      <vt:lpstr>Kinesiology!Print_Titles</vt:lpstr>
      <vt:lpstr>Summary!Print_Titles</vt:lpstr>
    </vt:vector>
  </TitlesOfParts>
  <Company>Computing &amp; Network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Cox</dc:creator>
  <cp:lastModifiedBy>Nancy Baker</cp:lastModifiedBy>
  <cp:lastPrinted>2016-11-09T19:52:16Z</cp:lastPrinted>
  <dcterms:created xsi:type="dcterms:W3CDTF">1998-07-17T17:33:40Z</dcterms:created>
  <dcterms:modified xsi:type="dcterms:W3CDTF">2016-11-09T19:52:26Z</dcterms:modified>
</cp:coreProperties>
</file>