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njbaker\Documents\PA\deptprofiles\"/>
    </mc:Choice>
  </mc:AlternateContent>
  <bookViews>
    <workbookView xWindow="0" yWindow="0" windowWidth="25200" windowHeight="11385" tabRatio="880" firstSheet="23" activeTab="23"/>
  </bookViews>
  <sheets>
    <sheet name="Dean's Office" sheetId="26" state="hidden" r:id="rId1"/>
    <sheet name="Amer Ethnic Studies" sheetId="4" state="hidden" r:id="rId2"/>
    <sheet name="Art" sheetId="5" state="hidden" r:id="rId3"/>
    <sheet name="Biochemistry" sheetId="6" state="hidden" r:id="rId4"/>
    <sheet name="Biology" sheetId="7" state="hidden" r:id="rId5"/>
    <sheet name="Chemistry" sheetId="8" state="hidden" r:id="rId6"/>
    <sheet name="Comm Studies" sheetId="9" state="hidden" r:id="rId7"/>
    <sheet name="Economics" sheetId="10" state="hidden" r:id="rId8"/>
    <sheet name="English" sheetId="1" state="hidden" r:id="rId9"/>
    <sheet name="Gender,Women &amp;Sexuality Studies" sheetId="24" state="hidden" r:id="rId10"/>
    <sheet name="Geography" sheetId="11" state="hidden" r:id="rId11"/>
    <sheet name="Geology" sheetId="12" state="hidden" r:id="rId12"/>
    <sheet name="Hist" sheetId="13" state="hidden" r:id="rId13"/>
    <sheet name="JMC" sheetId="14" state="hidden" r:id="rId14"/>
    <sheet name="Math" sheetId="15" state="hidden" r:id="rId15"/>
    <sheet name="Modern Language" sheetId="16" state="hidden" r:id="rId16"/>
    <sheet name="Music Theatre Dance" sheetId="17" state="hidden" r:id="rId17"/>
    <sheet name="Philosophy" sheetId="18" state="hidden" r:id="rId18"/>
    <sheet name="Physics" sheetId="19" state="hidden" r:id="rId19"/>
    <sheet name="Political Science" sheetId="20" state="hidden" r:id="rId20"/>
    <sheet name="Psych" sheetId="21" state="hidden" r:id="rId21"/>
    <sheet name="SASW" sheetId="22" state="hidden" r:id="rId22"/>
    <sheet name="Stats" sheetId="23" state="hidden" r:id="rId23"/>
    <sheet name="A&amp;S Summary" sheetId="25" r:id="rId24"/>
  </sheets>
  <definedNames>
    <definedName name="_xlnm.Print_Area" localSheetId="23">'A&amp;S Summary'!$A$1:$U$71</definedName>
    <definedName name="_xlnm.Print_Area" localSheetId="1">'Amer Ethnic Studies'!$A$9:$X$72</definedName>
    <definedName name="_xlnm.Print_Area" localSheetId="2">Art!$A$9:$X$74</definedName>
    <definedName name="_xlnm.Print_Area" localSheetId="3">Biochemistry!$A$9:$X$76</definedName>
    <definedName name="_xlnm.Print_Area" localSheetId="4">Biology!$A$9:$X$92</definedName>
    <definedName name="_xlnm.Print_Area" localSheetId="5">Chemistry!$A$8:$X$76</definedName>
    <definedName name="_xlnm.Print_Area" localSheetId="6">'Comm Studies'!$A$9:$X$75</definedName>
    <definedName name="_xlnm.Print_Area" localSheetId="0">'Dean''s Office'!$A$9:$X$145</definedName>
    <definedName name="_xlnm.Print_Area" localSheetId="7">Economics!$A$9:$X$78</definedName>
    <definedName name="_xlnm.Print_Area" localSheetId="8">English!$A$9:$X$76</definedName>
    <definedName name="_xlnm.Print_Area" localSheetId="9">'Gender,Women &amp;Sexuality Studies'!$A$9:$X$75</definedName>
    <definedName name="_xlnm.Print_Area" localSheetId="10">Geography!$A$9:$X$79</definedName>
    <definedName name="_xlnm.Print_Area" localSheetId="11">Geology!$A$8:$X$73</definedName>
    <definedName name="_xlnm.Print_Area" localSheetId="12">Hist!$A$9:$X$83</definedName>
    <definedName name="_xlnm.Print_Area" localSheetId="13">JMC!$A$9:$X$74</definedName>
    <definedName name="_xlnm.Print_Area" localSheetId="14">Math!$A$8:$X$79</definedName>
    <definedName name="_xlnm.Print_Area" localSheetId="15">'Modern Language'!$A$9:$X$84</definedName>
    <definedName name="_xlnm.Print_Area" localSheetId="16">'Music Theatre Dance'!$A$9:$X$93</definedName>
    <definedName name="_xlnm.Print_Area" localSheetId="17">Philosophy!$A$9:$X$71</definedName>
    <definedName name="_xlnm.Print_Area" localSheetId="18">Physics!$A$8:$X$76</definedName>
    <definedName name="_xlnm.Print_Area" localSheetId="19">'Political Science'!$A$9:$X$78</definedName>
    <definedName name="_xlnm.Print_Area" localSheetId="20">Psych!$A$9:$X$77</definedName>
    <definedName name="_xlnm.Print_Area" localSheetId="21">SASW!$A$9:$X$91</definedName>
    <definedName name="_xlnm.Print_Area" localSheetId="22">Stats!$A$8:$X$78</definedName>
    <definedName name="_xlnm.Print_Titles" localSheetId="1">'Amer Ethnic Studies'!$A:$A,'Amer Ethnic Studies'!$1:$7</definedName>
    <definedName name="_xlnm.Print_Titles" localSheetId="2">Art!$A:$A,Art!$1:$7</definedName>
    <definedName name="_xlnm.Print_Titles" localSheetId="3">Biochemistry!$A:$A,Biochemistry!$1:$7</definedName>
    <definedName name="_xlnm.Print_Titles" localSheetId="4">Biology!$A:$A,Biology!$1:$7</definedName>
    <definedName name="_xlnm.Print_Titles" localSheetId="5">Chemistry!$A:$A,Chemistry!$1:$7</definedName>
    <definedName name="_xlnm.Print_Titles" localSheetId="6">'Comm Studies'!$A:$A,'Comm Studies'!$1:$7</definedName>
    <definedName name="_xlnm.Print_Titles" localSheetId="0">'Dean''s Office'!$A:$A,'Dean''s Office'!$1:$7</definedName>
    <definedName name="_xlnm.Print_Titles" localSheetId="7">Economics!$A:$A,Economics!$1:$7</definedName>
    <definedName name="_xlnm.Print_Titles" localSheetId="8">English!$A:$A,English!$1:$7</definedName>
    <definedName name="_xlnm.Print_Titles" localSheetId="9">'Gender,Women &amp;Sexuality Studies'!$A:$A,'Gender,Women &amp;Sexuality Studies'!$1:$7</definedName>
    <definedName name="_xlnm.Print_Titles" localSheetId="10">Geography!$A:$A,Geography!$1:$7</definedName>
    <definedName name="_xlnm.Print_Titles" localSheetId="11">Geology!$A:$A,Geology!$1:$7</definedName>
    <definedName name="_xlnm.Print_Titles" localSheetId="12">Hist!$A:$A,Hist!$1:$7</definedName>
    <definedName name="_xlnm.Print_Titles" localSheetId="13">JMC!$A:$A,JMC!$1:$7</definedName>
    <definedName name="_xlnm.Print_Titles" localSheetId="14">Math!$A:$A,Math!$1:$7</definedName>
    <definedName name="_xlnm.Print_Titles" localSheetId="15">'Modern Language'!$A:$A,'Modern Language'!$1:$7</definedName>
    <definedName name="_xlnm.Print_Titles" localSheetId="16">'Music Theatre Dance'!$A:$A,'Music Theatre Dance'!$1:$7</definedName>
    <definedName name="_xlnm.Print_Titles" localSheetId="17">Philosophy!$A:$A,Philosophy!$1:$7</definedName>
    <definedName name="_xlnm.Print_Titles" localSheetId="18">Physics!$A:$A,Physics!$1:$7</definedName>
    <definedName name="_xlnm.Print_Titles" localSheetId="19">'Political Science'!$A:$A,'Political Science'!$1:$7</definedName>
    <definedName name="_xlnm.Print_Titles" localSheetId="20">Psych!$A:$A,Psych!$1:$7</definedName>
    <definedName name="_xlnm.Print_Titles" localSheetId="21">SASW!$A:$A,SASW!$1:$7</definedName>
    <definedName name="_xlnm.Print_Titles" localSheetId="22">Stats!$A:$A,Stats!$1:$7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0" i="22" l="1"/>
  <c r="X103" i="26" l="1"/>
  <c r="X104" i="26"/>
  <c r="W14" i="26"/>
  <c r="X25" i="4"/>
  <c r="X26" i="4"/>
  <c r="X29" i="4"/>
  <c r="X25" i="5"/>
  <c r="X26" i="5"/>
  <c r="X27" i="5"/>
  <c r="X28" i="5"/>
  <c r="X29" i="5"/>
  <c r="T13" i="21" l="1"/>
  <c r="T14" i="21"/>
  <c r="T13" i="14"/>
  <c r="T14" i="14"/>
  <c r="T14" i="25" l="1"/>
  <c r="T19" i="25" l="1"/>
  <c r="W17" i="9"/>
  <c r="X17" i="9"/>
  <c r="X15" i="26" l="1"/>
  <c r="W15" i="26"/>
  <c r="X14" i="26"/>
  <c r="S19" i="25" l="1"/>
  <c r="S14" i="25"/>
  <c r="T33" i="25"/>
  <c r="N19" i="25"/>
  <c r="O19" i="25"/>
  <c r="P19" i="25"/>
  <c r="Q19" i="25"/>
  <c r="R19" i="25"/>
  <c r="C11" i="25"/>
  <c r="B13" i="25"/>
  <c r="B14" i="25"/>
  <c r="C14" i="25"/>
  <c r="B15" i="25"/>
  <c r="C15" i="25"/>
  <c r="B16" i="25"/>
  <c r="C16" i="25"/>
  <c r="B17" i="25"/>
  <c r="B18" i="25"/>
  <c r="C18" i="25"/>
  <c r="B19" i="25"/>
  <c r="C19" i="25"/>
  <c r="C28" i="25"/>
  <c r="C29" i="25"/>
  <c r="C39" i="25"/>
  <c r="C40" i="25"/>
  <c r="C41" i="25"/>
  <c r="C44" i="25"/>
  <c r="C45" i="25"/>
  <c r="C46" i="25"/>
  <c r="C47" i="25"/>
  <c r="C48" i="25"/>
  <c r="B52" i="25"/>
  <c r="B53" i="25"/>
  <c r="B54" i="25"/>
  <c r="B55" i="25"/>
  <c r="B56" i="25"/>
  <c r="B57" i="25"/>
  <c r="B58" i="25"/>
  <c r="B59" i="25"/>
  <c r="B61" i="25"/>
  <c r="B62" i="25"/>
  <c r="B64" i="25"/>
  <c r="B65" i="25"/>
  <c r="B66" i="25"/>
  <c r="B68" i="25"/>
  <c r="B69" i="25"/>
  <c r="B70" i="25"/>
  <c r="B71" i="25"/>
  <c r="X45" i="23"/>
  <c r="W38" i="23"/>
  <c r="X34" i="23"/>
  <c r="X27" i="23"/>
  <c r="X25" i="23"/>
  <c r="X22" i="23"/>
  <c r="X21" i="23"/>
  <c r="X18" i="23"/>
  <c r="X17" i="23"/>
  <c r="X16" i="23"/>
  <c r="X15" i="23"/>
  <c r="X14" i="23"/>
  <c r="X58" i="22"/>
  <c r="W52" i="22"/>
  <c r="X48" i="22"/>
  <c r="X41" i="22"/>
  <c r="X37" i="22"/>
  <c r="X34" i="22"/>
  <c r="X33" i="22"/>
  <c r="X32" i="22"/>
  <c r="X31" i="22"/>
  <c r="X30" i="22"/>
  <c r="X29" i="22"/>
  <c r="X26" i="22"/>
  <c r="X25" i="22"/>
  <c r="X21" i="22"/>
  <c r="X17" i="22"/>
  <c r="X16" i="22"/>
  <c r="X15" i="22"/>
  <c r="R13" i="22"/>
  <c r="R14" i="22"/>
  <c r="R15" i="22"/>
  <c r="R19" i="22"/>
  <c r="R20" i="22"/>
  <c r="R21" i="22"/>
  <c r="R23" i="22"/>
  <c r="R24" i="22"/>
  <c r="R25" i="22"/>
  <c r="S45" i="22"/>
  <c r="R50" i="22"/>
  <c r="S52" i="22"/>
  <c r="S53" i="22"/>
  <c r="R68" i="22"/>
  <c r="S68" i="22"/>
  <c r="S72" i="22" s="1"/>
  <c r="X72" i="22" s="1"/>
  <c r="S71" i="22"/>
  <c r="X71" i="22" s="1"/>
  <c r="S73" i="22"/>
  <c r="S74" i="22"/>
  <c r="X74" i="22" s="1"/>
  <c r="S75" i="22"/>
  <c r="X75" i="22" s="1"/>
  <c r="S76" i="22"/>
  <c r="X76" i="22" s="1"/>
  <c r="S77" i="22"/>
  <c r="S78" i="22"/>
  <c r="S80" i="22"/>
  <c r="X80" i="22" s="1"/>
  <c r="S83" i="22"/>
  <c r="S84" i="22"/>
  <c r="X84" i="22" s="1"/>
  <c r="S85" i="22"/>
  <c r="X85" i="22" s="1"/>
  <c r="S87" i="22"/>
  <c r="X87" i="22" s="1"/>
  <c r="S88" i="22"/>
  <c r="S89" i="22"/>
  <c r="S90" i="22"/>
  <c r="X90" i="22" s="1"/>
  <c r="X44" i="21"/>
  <c r="W38" i="21"/>
  <c r="X34" i="21"/>
  <c r="X27" i="21"/>
  <c r="X25" i="21"/>
  <c r="X22" i="21"/>
  <c r="X21" i="21"/>
  <c r="X18" i="21"/>
  <c r="X17" i="21"/>
  <c r="X16" i="21"/>
  <c r="X15" i="21"/>
  <c r="X45" i="20"/>
  <c r="W39" i="20"/>
  <c r="X35" i="20"/>
  <c r="X28" i="20"/>
  <c r="X26" i="20"/>
  <c r="X24" i="20"/>
  <c r="X23" i="20"/>
  <c r="X20" i="20"/>
  <c r="X19" i="20"/>
  <c r="X17" i="20"/>
  <c r="X16" i="20"/>
  <c r="X15" i="20"/>
  <c r="X43" i="19"/>
  <c r="W37" i="19"/>
  <c r="X33" i="19"/>
  <c r="X24" i="19"/>
  <c r="X26" i="19"/>
  <c r="X21" i="19"/>
  <c r="X20" i="19"/>
  <c r="X17" i="19"/>
  <c r="X16" i="19"/>
  <c r="X15" i="19"/>
  <c r="X14" i="19"/>
  <c r="X38" i="18"/>
  <c r="X31" i="18"/>
  <c r="X24" i="18"/>
  <c r="X22" i="18"/>
  <c r="X20" i="18"/>
  <c r="X19" i="18"/>
  <c r="X16" i="18"/>
  <c r="X15" i="18"/>
  <c r="W13" i="18"/>
  <c r="W15" i="17"/>
  <c r="X60" i="17"/>
  <c r="W54" i="17"/>
  <c r="X50" i="17"/>
  <c r="X43" i="17"/>
  <c r="X39" i="17"/>
  <c r="X37" i="17"/>
  <c r="X36" i="17"/>
  <c r="X35" i="17"/>
  <c r="X34" i="17"/>
  <c r="X33" i="17"/>
  <c r="X32" i="17"/>
  <c r="X29" i="17"/>
  <c r="X28" i="17"/>
  <c r="X27" i="17"/>
  <c r="X26" i="17"/>
  <c r="X18" i="17"/>
  <c r="X17" i="17"/>
  <c r="X16" i="17"/>
  <c r="X22" i="17"/>
  <c r="X15" i="17"/>
  <c r="X51" i="16"/>
  <c r="W46" i="16"/>
  <c r="X42" i="16"/>
  <c r="X35" i="16"/>
  <c r="X32" i="16"/>
  <c r="W17" i="16"/>
  <c r="X30" i="16"/>
  <c r="X29" i="16"/>
  <c r="X17" i="16"/>
  <c r="X26" i="16"/>
  <c r="X24" i="16"/>
  <c r="X23" i="16"/>
  <c r="X22" i="16"/>
  <c r="X21" i="16"/>
  <c r="X20" i="16"/>
  <c r="X19" i="16"/>
  <c r="X18" i="16"/>
  <c r="X16" i="16"/>
  <c r="X15" i="16"/>
  <c r="X51" i="15"/>
  <c r="X46" i="15"/>
  <c r="W39" i="15"/>
  <c r="X35" i="15"/>
  <c r="X28" i="15"/>
  <c r="X26" i="15"/>
  <c r="X23" i="15"/>
  <c r="X22" i="15"/>
  <c r="X19" i="15"/>
  <c r="X17" i="15"/>
  <c r="X16" i="15"/>
  <c r="X14" i="15"/>
  <c r="X41" i="14"/>
  <c r="W36" i="14"/>
  <c r="X32" i="14"/>
  <c r="X25" i="14"/>
  <c r="X23" i="14"/>
  <c r="X21" i="14"/>
  <c r="X20" i="14"/>
  <c r="X17" i="14"/>
  <c r="X16" i="14"/>
  <c r="X15" i="14"/>
  <c r="X50" i="13"/>
  <c r="W42" i="13"/>
  <c r="X38" i="13"/>
  <c r="X31" i="13"/>
  <c r="X28" i="13"/>
  <c r="X15" i="13"/>
  <c r="X25" i="13"/>
  <c r="X24" i="13"/>
  <c r="X21" i="13"/>
  <c r="X20" i="13"/>
  <c r="X18" i="13"/>
  <c r="X17" i="13"/>
  <c r="X16" i="13"/>
  <c r="X14" i="12"/>
  <c r="X40" i="12"/>
  <c r="W35" i="12"/>
  <c r="X31" i="12"/>
  <c r="X24" i="12"/>
  <c r="X22" i="12"/>
  <c r="X20" i="12"/>
  <c r="X19" i="12"/>
  <c r="X16" i="12"/>
  <c r="X15" i="12"/>
  <c r="X46" i="11"/>
  <c r="W40" i="11"/>
  <c r="X36" i="11"/>
  <c r="X29" i="11"/>
  <c r="X27" i="11"/>
  <c r="X24" i="11"/>
  <c r="X23" i="11"/>
  <c r="X20" i="11"/>
  <c r="X19" i="11"/>
  <c r="X17" i="11"/>
  <c r="X16" i="11"/>
  <c r="X15" i="11"/>
  <c r="X14" i="11"/>
  <c r="X42" i="24"/>
  <c r="X35" i="24"/>
  <c r="X28" i="24"/>
  <c r="X25" i="24"/>
  <c r="X23" i="24"/>
  <c r="X22" i="24"/>
  <c r="X19" i="24"/>
  <c r="X17" i="24"/>
  <c r="X16" i="24"/>
  <c r="X15" i="24"/>
  <c r="W13" i="24"/>
  <c r="X43" i="1"/>
  <c r="W38" i="1"/>
  <c r="X34" i="1"/>
  <c r="X27" i="1"/>
  <c r="X24" i="1"/>
  <c r="X22" i="1"/>
  <c r="X21" i="1"/>
  <c r="X18" i="1"/>
  <c r="X17" i="1"/>
  <c r="X16" i="1"/>
  <c r="X15" i="1"/>
  <c r="X45" i="10"/>
  <c r="W39" i="10"/>
  <c r="X35" i="10"/>
  <c r="X28" i="10"/>
  <c r="X26" i="10"/>
  <c r="X23" i="10"/>
  <c r="X22" i="10"/>
  <c r="X15" i="10"/>
  <c r="W13" i="10"/>
  <c r="X42" i="9"/>
  <c r="X33" i="9"/>
  <c r="X22" i="9"/>
  <c r="X21" i="9"/>
  <c r="X18" i="9"/>
  <c r="X15" i="9"/>
  <c r="X20" i="9"/>
  <c r="X43" i="8"/>
  <c r="W37" i="8"/>
  <c r="X33" i="8"/>
  <c r="X26" i="8"/>
  <c r="X24" i="8"/>
  <c r="X21" i="8"/>
  <c r="X20" i="8"/>
  <c r="X17" i="8"/>
  <c r="X16" i="8"/>
  <c r="X15" i="8"/>
  <c r="X14" i="8"/>
  <c r="W12" i="8"/>
  <c r="X60" i="7"/>
  <c r="W53" i="7"/>
  <c r="X49" i="7"/>
  <c r="X41" i="7"/>
  <c r="X37" i="7"/>
  <c r="X34" i="7"/>
  <c r="X33" i="7"/>
  <c r="X32" i="7"/>
  <c r="X31" i="7"/>
  <c r="X30" i="7"/>
  <c r="X29" i="7"/>
  <c r="X26" i="7"/>
  <c r="X25" i="7"/>
  <c r="X21" i="7"/>
  <c r="X17" i="7"/>
  <c r="X16" i="7"/>
  <c r="X15" i="7"/>
  <c r="X14" i="7"/>
  <c r="W12" i="7"/>
  <c r="X43" i="6"/>
  <c r="W37" i="6"/>
  <c r="X33" i="6"/>
  <c r="X26" i="6"/>
  <c r="X24" i="6"/>
  <c r="X21" i="6"/>
  <c r="X20" i="6"/>
  <c r="X17" i="6"/>
  <c r="X16" i="6"/>
  <c r="X15" i="6"/>
  <c r="W13" i="6"/>
  <c r="W36" i="5"/>
  <c r="X32" i="5"/>
  <c r="X23" i="5"/>
  <c r="X21" i="5"/>
  <c r="X20" i="5"/>
  <c r="X17" i="5"/>
  <c r="X16" i="5"/>
  <c r="X15" i="5"/>
  <c r="W13" i="5"/>
  <c r="W16" i="5"/>
  <c r="W74" i="24"/>
  <c r="W73" i="24"/>
  <c r="W72" i="24"/>
  <c r="W71" i="24"/>
  <c r="W69" i="24"/>
  <c r="W68" i="24"/>
  <c r="W67" i="24"/>
  <c r="W65" i="24"/>
  <c r="W64" i="24"/>
  <c r="W62" i="24"/>
  <c r="W61" i="24"/>
  <c r="W60" i="24"/>
  <c r="W59" i="24"/>
  <c r="W58" i="24"/>
  <c r="W57" i="24"/>
  <c r="W56" i="24"/>
  <c r="W55" i="24"/>
  <c r="X51" i="24"/>
  <c r="W51" i="24"/>
  <c r="X50" i="24"/>
  <c r="W50" i="24"/>
  <c r="X48" i="24"/>
  <c r="W48" i="24"/>
  <c r="X47" i="24"/>
  <c r="W47" i="24"/>
  <c r="X44" i="24"/>
  <c r="X43" i="24"/>
  <c r="W77" i="23"/>
  <c r="W76" i="23"/>
  <c r="W75" i="23"/>
  <c r="W74" i="23"/>
  <c r="W72" i="23"/>
  <c r="W71" i="23"/>
  <c r="W70" i="23"/>
  <c r="W68" i="23"/>
  <c r="W67" i="23"/>
  <c r="W65" i="23"/>
  <c r="W64" i="23"/>
  <c r="W63" i="23"/>
  <c r="W62" i="23"/>
  <c r="W61" i="23"/>
  <c r="W60" i="23"/>
  <c r="W59" i="23"/>
  <c r="W58" i="23"/>
  <c r="X54" i="23"/>
  <c r="W54" i="23"/>
  <c r="X53" i="23"/>
  <c r="W53" i="23"/>
  <c r="X51" i="23"/>
  <c r="W51" i="23"/>
  <c r="X50" i="23"/>
  <c r="W50" i="23"/>
  <c r="X47" i="23"/>
  <c r="X46" i="23"/>
  <c r="W90" i="22"/>
  <c r="X89" i="22"/>
  <c r="W89" i="22"/>
  <c r="X88" i="22"/>
  <c r="W88" i="22"/>
  <c r="W87" i="22"/>
  <c r="W85" i="22"/>
  <c r="W84" i="22"/>
  <c r="X83" i="22"/>
  <c r="W83" i="22"/>
  <c r="W81" i="22"/>
  <c r="W80" i="22"/>
  <c r="X78" i="22"/>
  <c r="W78" i="22"/>
  <c r="X77" i="22"/>
  <c r="W77" i="22"/>
  <c r="W76" i="22"/>
  <c r="W75" i="22"/>
  <c r="W74" i="22"/>
  <c r="X73" i="22"/>
  <c r="W73" i="22"/>
  <c r="W72" i="22"/>
  <c r="W71" i="22"/>
  <c r="X68" i="22"/>
  <c r="W68" i="22"/>
  <c r="X67" i="22"/>
  <c r="W67" i="22"/>
  <c r="X66" i="22"/>
  <c r="W66" i="22"/>
  <c r="X64" i="22"/>
  <c r="W64" i="22"/>
  <c r="X63" i="22"/>
  <c r="W63" i="22"/>
  <c r="X60" i="22"/>
  <c r="X59" i="22"/>
  <c r="W76" i="21"/>
  <c r="W75" i="21"/>
  <c r="W74" i="21"/>
  <c r="W73" i="21"/>
  <c r="W71" i="21"/>
  <c r="W70" i="21"/>
  <c r="W69" i="21"/>
  <c r="W67" i="21"/>
  <c r="W66" i="21"/>
  <c r="W64" i="21"/>
  <c r="W63" i="21"/>
  <c r="W62" i="21"/>
  <c r="W61" i="21"/>
  <c r="W60" i="21"/>
  <c r="W59" i="21"/>
  <c r="W58" i="21"/>
  <c r="W57" i="21"/>
  <c r="X53" i="21"/>
  <c r="W53" i="21"/>
  <c r="X52" i="21"/>
  <c r="W52" i="21"/>
  <c r="X50" i="21"/>
  <c r="W50" i="21"/>
  <c r="X49" i="21"/>
  <c r="W49" i="21"/>
  <c r="X46" i="21"/>
  <c r="X45" i="21"/>
  <c r="W77" i="20"/>
  <c r="W76" i="20"/>
  <c r="W75" i="20"/>
  <c r="W74" i="20"/>
  <c r="W72" i="20"/>
  <c r="W71" i="20"/>
  <c r="W70" i="20"/>
  <c r="W68" i="20"/>
  <c r="W67" i="20"/>
  <c r="W65" i="20"/>
  <c r="W64" i="20"/>
  <c r="W63" i="20"/>
  <c r="W62" i="20"/>
  <c r="W61" i="20"/>
  <c r="W60" i="20"/>
  <c r="W59" i="20"/>
  <c r="W58" i="20"/>
  <c r="X54" i="20"/>
  <c r="W54" i="20"/>
  <c r="X53" i="20"/>
  <c r="W53" i="20"/>
  <c r="X51" i="20"/>
  <c r="W51" i="20"/>
  <c r="X50" i="20"/>
  <c r="W50" i="20"/>
  <c r="X47" i="20"/>
  <c r="X46" i="20"/>
  <c r="W75" i="19"/>
  <c r="W74" i="19"/>
  <c r="W73" i="19"/>
  <c r="W72" i="19"/>
  <c r="W70" i="19"/>
  <c r="W69" i="19"/>
  <c r="W68" i="19"/>
  <c r="W66" i="19"/>
  <c r="W65" i="19"/>
  <c r="W63" i="19"/>
  <c r="W62" i="19"/>
  <c r="W61" i="19"/>
  <c r="W60" i="19"/>
  <c r="W59" i="19"/>
  <c r="W58" i="19"/>
  <c r="W57" i="19"/>
  <c r="W56" i="19"/>
  <c r="X52" i="19"/>
  <c r="W52" i="19"/>
  <c r="X51" i="19"/>
  <c r="W51" i="19"/>
  <c r="X49" i="19"/>
  <c r="W49" i="19"/>
  <c r="X48" i="19"/>
  <c r="W48" i="19"/>
  <c r="X45" i="19"/>
  <c r="X44" i="19"/>
  <c r="W70" i="18"/>
  <c r="W69" i="18"/>
  <c r="W68" i="18"/>
  <c r="W67" i="18"/>
  <c r="W65" i="18"/>
  <c r="W64" i="18"/>
  <c r="W63" i="18"/>
  <c r="W61" i="18"/>
  <c r="W60" i="18"/>
  <c r="W58" i="18"/>
  <c r="W57" i="18"/>
  <c r="W56" i="18"/>
  <c r="W55" i="18"/>
  <c r="W54" i="18"/>
  <c r="W53" i="18"/>
  <c r="W52" i="18"/>
  <c r="W51" i="18"/>
  <c r="X47" i="18"/>
  <c r="W47" i="18"/>
  <c r="X46" i="18"/>
  <c r="W46" i="18"/>
  <c r="X44" i="18"/>
  <c r="W44" i="18"/>
  <c r="X43" i="18"/>
  <c r="W43" i="18"/>
  <c r="X40" i="18"/>
  <c r="X39" i="18"/>
  <c r="W92" i="17"/>
  <c r="W91" i="17"/>
  <c r="W90" i="17"/>
  <c r="W89" i="17"/>
  <c r="W87" i="17"/>
  <c r="W86" i="17"/>
  <c r="W85" i="17"/>
  <c r="W83" i="17"/>
  <c r="W82" i="17"/>
  <c r="W80" i="17"/>
  <c r="W79" i="17"/>
  <c r="W78" i="17"/>
  <c r="W77" i="17"/>
  <c r="W76" i="17"/>
  <c r="W75" i="17"/>
  <c r="W74" i="17"/>
  <c r="W73" i="17"/>
  <c r="X69" i="17"/>
  <c r="W69" i="17"/>
  <c r="X68" i="17"/>
  <c r="W68" i="17"/>
  <c r="X66" i="17"/>
  <c r="W66" i="17"/>
  <c r="X65" i="17"/>
  <c r="W65" i="17"/>
  <c r="X62" i="17"/>
  <c r="X61" i="17"/>
  <c r="W83" i="16"/>
  <c r="W82" i="16"/>
  <c r="W77" i="16"/>
  <c r="W71" i="16"/>
  <c r="W70" i="16"/>
  <c r="W69" i="16"/>
  <c r="W68" i="16"/>
  <c r="W67" i="16"/>
  <c r="W65" i="16"/>
  <c r="X60" i="16"/>
  <c r="W60" i="16"/>
  <c r="X59" i="16"/>
  <c r="W59" i="16"/>
  <c r="X57" i="16"/>
  <c r="W57" i="16"/>
  <c r="X56" i="16"/>
  <c r="W56" i="16"/>
  <c r="X53" i="16"/>
  <c r="X52" i="16"/>
  <c r="W78" i="15"/>
  <c r="W77" i="15"/>
  <c r="W76" i="15"/>
  <c r="W75" i="15"/>
  <c r="W73" i="15"/>
  <c r="W72" i="15"/>
  <c r="W71" i="15"/>
  <c r="W69" i="15"/>
  <c r="W68" i="15"/>
  <c r="W66" i="15"/>
  <c r="W65" i="15"/>
  <c r="W64" i="15"/>
  <c r="W63" i="15"/>
  <c r="W62" i="15"/>
  <c r="W61" i="15"/>
  <c r="W60" i="15"/>
  <c r="W59" i="15"/>
  <c r="X55" i="15"/>
  <c r="W55" i="15"/>
  <c r="X54" i="15"/>
  <c r="W54" i="15"/>
  <c r="X52" i="15"/>
  <c r="W52" i="15"/>
  <c r="W51" i="15"/>
  <c r="X48" i="15"/>
  <c r="X47" i="15"/>
  <c r="W73" i="14"/>
  <c r="W72" i="14"/>
  <c r="W71" i="14"/>
  <c r="W70" i="14"/>
  <c r="W68" i="14"/>
  <c r="W67" i="14"/>
  <c r="W66" i="14"/>
  <c r="W64" i="14"/>
  <c r="W63" i="14"/>
  <c r="W61" i="14"/>
  <c r="W60" i="14"/>
  <c r="W59" i="14"/>
  <c r="W58" i="14"/>
  <c r="W57" i="14"/>
  <c r="W56" i="14"/>
  <c r="W55" i="14"/>
  <c r="W54" i="14"/>
  <c r="X50" i="14"/>
  <c r="W50" i="14"/>
  <c r="X49" i="14"/>
  <c r="W49" i="14"/>
  <c r="X47" i="14"/>
  <c r="W47" i="14"/>
  <c r="X46" i="14"/>
  <c r="W46" i="14"/>
  <c r="X43" i="14"/>
  <c r="X42" i="14"/>
  <c r="W82" i="13"/>
  <c r="W81" i="13"/>
  <c r="W80" i="13"/>
  <c r="W79" i="13"/>
  <c r="W77" i="13"/>
  <c r="W76" i="13"/>
  <c r="W75" i="13"/>
  <c r="W73" i="13"/>
  <c r="W72" i="13"/>
  <c r="W70" i="13"/>
  <c r="W69" i="13"/>
  <c r="W68" i="13"/>
  <c r="W67" i="13"/>
  <c r="W66" i="13"/>
  <c r="W65" i="13"/>
  <c r="W64" i="13"/>
  <c r="W63" i="13"/>
  <c r="X59" i="13"/>
  <c r="W59" i="13"/>
  <c r="X58" i="13"/>
  <c r="W58" i="13"/>
  <c r="X56" i="13"/>
  <c r="W56" i="13"/>
  <c r="X55" i="13"/>
  <c r="W55" i="13"/>
  <c r="X52" i="13"/>
  <c r="X51" i="13"/>
  <c r="W72" i="12"/>
  <c r="W71" i="12"/>
  <c r="W70" i="12"/>
  <c r="W69" i="12"/>
  <c r="W67" i="12"/>
  <c r="W66" i="12"/>
  <c r="W65" i="12"/>
  <c r="W63" i="12"/>
  <c r="W62" i="12"/>
  <c r="W60" i="12"/>
  <c r="W59" i="12"/>
  <c r="W58" i="12"/>
  <c r="W57" i="12"/>
  <c r="W56" i="12"/>
  <c r="W55" i="12"/>
  <c r="W54" i="12"/>
  <c r="W53" i="12"/>
  <c r="X49" i="12"/>
  <c r="W49" i="12"/>
  <c r="X48" i="12"/>
  <c r="W48" i="12"/>
  <c r="X46" i="12"/>
  <c r="W46" i="12"/>
  <c r="X45" i="12"/>
  <c r="W45" i="12"/>
  <c r="X42" i="12"/>
  <c r="X41" i="12"/>
  <c r="W78" i="11"/>
  <c r="W77" i="11"/>
  <c r="W76" i="11"/>
  <c r="W75" i="11"/>
  <c r="W73" i="11"/>
  <c r="W72" i="11"/>
  <c r="W71" i="11"/>
  <c r="W69" i="11"/>
  <c r="W68" i="11"/>
  <c r="W66" i="11"/>
  <c r="W65" i="11"/>
  <c r="W64" i="11"/>
  <c r="W63" i="11"/>
  <c r="W62" i="11"/>
  <c r="W61" i="11"/>
  <c r="W60" i="11"/>
  <c r="W59" i="11"/>
  <c r="X55" i="11"/>
  <c r="W55" i="11"/>
  <c r="X54" i="11"/>
  <c r="W54" i="11"/>
  <c r="X52" i="11"/>
  <c r="W52" i="11"/>
  <c r="X51" i="11"/>
  <c r="W51" i="11"/>
  <c r="X48" i="11"/>
  <c r="X47" i="11"/>
  <c r="W75" i="1"/>
  <c r="W74" i="1"/>
  <c r="W73" i="1"/>
  <c r="W72" i="1"/>
  <c r="W70" i="1"/>
  <c r="W69" i="1"/>
  <c r="W68" i="1"/>
  <c r="W66" i="1"/>
  <c r="W65" i="1"/>
  <c r="W63" i="1"/>
  <c r="W62" i="1"/>
  <c r="W61" i="1"/>
  <c r="W60" i="1"/>
  <c r="W59" i="1"/>
  <c r="W58" i="1"/>
  <c r="W57" i="1"/>
  <c r="W56" i="1"/>
  <c r="X52" i="1"/>
  <c r="W52" i="1"/>
  <c r="X51" i="1"/>
  <c r="W51" i="1"/>
  <c r="X49" i="1"/>
  <c r="W49" i="1"/>
  <c r="X48" i="1"/>
  <c r="W48" i="1"/>
  <c r="X45" i="1"/>
  <c r="X44" i="1"/>
  <c r="W77" i="10"/>
  <c r="W76" i="10"/>
  <c r="W75" i="10"/>
  <c r="W74" i="10"/>
  <c r="W72" i="10"/>
  <c r="W71" i="10"/>
  <c r="W70" i="10"/>
  <c r="W68" i="10"/>
  <c r="W67" i="10"/>
  <c r="W65" i="10"/>
  <c r="W64" i="10"/>
  <c r="W63" i="10"/>
  <c r="W62" i="10"/>
  <c r="W61" i="10"/>
  <c r="W60" i="10"/>
  <c r="W59" i="10"/>
  <c r="W58" i="10"/>
  <c r="X54" i="10"/>
  <c r="W54" i="10"/>
  <c r="X53" i="10"/>
  <c r="W53" i="10"/>
  <c r="X51" i="10"/>
  <c r="W51" i="10"/>
  <c r="X50" i="10"/>
  <c r="W50" i="10"/>
  <c r="X47" i="10"/>
  <c r="X46" i="10"/>
  <c r="W74" i="9"/>
  <c r="W73" i="9"/>
  <c r="W68" i="9"/>
  <c r="W62" i="9"/>
  <c r="W61" i="9"/>
  <c r="W60" i="9"/>
  <c r="W59" i="9"/>
  <c r="W58" i="9"/>
  <c r="W57" i="9"/>
  <c r="W56" i="9"/>
  <c r="W55" i="9"/>
  <c r="X51" i="9"/>
  <c r="W51" i="9"/>
  <c r="X50" i="9"/>
  <c r="W50" i="9"/>
  <c r="X48" i="9"/>
  <c r="W48" i="9"/>
  <c r="X47" i="9"/>
  <c r="W47" i="9"/>
  <c r="X44" i="9"/>
  <c r="X43" i="9"/>
  <c r="W75" i="8"/>
  <c r="W74" i="8"/>
  <c r="W73" i="8"/>
  <c r="W72" i="8"/>
  <c r="W70" i="8"/>
  <c r="W69" i="8"/>
  <c r="W68" i="8"/>
  <c r="W66" i="8"/>
  <c r="W65" i="8"/>
  <c r="W63" i="8"/>
  <c r="W62" i="8"/>
  <c r="W61" i="8"/>
  <c r="W60" i="8"/>
  <c r="W59" i="8"/>
  <c r="W58" i="8"/>
  <c r="W57" i="8"/>
  <c r="W56" i="8"/>
  <c r="X52" i="8"/>
  <c r="W52" i="8"/>
  <c r="X51" i="8"/>
  <c r="W51" i="8"/>
  <c r="X49" i="8"/>
  <c r="W49" i="8"/>
  <c r="X48" i="8"/>
  <c r="W48" i="8"/>
  <c r="X45" i="8"/>
  <c r="X44" i="8"/>
  <c r="W92" i="7"/>
  <c r="W91" i="7"/>
  <c r="W90" i="7"/>
  <c r="W89" i="7"/>
  <c r="W87" i="7"/>
  <c r="W86" i="7"/>
  <c r="W85" i="7"/>
  <c r="W83" i="7"/>
  <c r="W82" i="7"/>
  <c r="W80" i="7"/>
  <c r="W79" i="7"/>
  <c r="W78" i="7"/>
  <c r="W77" i="7"/>
  <c r="W76" i="7"/>
  <c r="W75" i="7"/>
  <c r="W74" i="7"/>
  <c r="W73" i="7"/>
  <c r="X69" i="7"/>
  <c r="W69" i="7"/>
  <c r="X68" i="7"/>
  <c r="W68" i="7"/>
  <c r="X66" i="7"/>
  <c r="W66" i="7"/>
  <c r="X65" i="7"/>
  <c r="W65" i="7"/>
  <c r="X62" i="7"/>
  <c r="X61" i="7"/>
  <c r="W75" i="6"/>
  <c r="W74" i="6"/>
  <c r="W73" i="6"/>
  <c r="W72" i="6"/>
  <c r="W70" i="6"/>
  <c r="W69" i="6"/>
  <c r="W68" i="6"/>
  <c r="W66" i="6"/>
  <c r="W65" i="6"/>
  <c r="W63" i="6"/>
  <c r="W62" i="6"/>
  <c r="W61" i="6"/>
  <c r="W60" i="6"/>
  <c r="W59" i="6"/>
  <c r="W58" i="6"/>
  <c r="W57" i="6"/>
  <c r="W56" i="6"/>
  <c r="X52" i="6"/>
  <c r="W52" i="6"/>
  <c r="X51" i="6"/>
  <c r="W51" i="6"/>
  <c r="X49" i="6"/>
  <c r="W49" i="6"/>
  <c r="X48" i="6"/>
  <c r="W48" i="6"/>
  <c r="X45" i="6"/>
  <c r="X44" i="6"/>
  <c r="W73" i="5"/>
  <c r="W72" i="5"/>
  <c r="W71" i="5"/>
  <c r="W70" i="5"/>
  <c r="W68" i="5"/>
  <c r="W67" i="5"/>
  <c r="W66" i="5"/>
  <c r="W64" i="5"/>
  <c r="W63" i="5"/>
  <c r="W61" i="5"/>
  <c r="W60" i="5"/>
  <c r="W59" i="5"/>
  <c r="W58" i="5"/>
  <c r="W57" i="5"/>
  <c r="W56" i="5"/>
  <c r="W55" i="5"/>
  <c r="W54" i="5"/>
  <c r="X50" i="5"/>
  <c r="W50" i="5"/>
  <c r="X49" i="5"/>
  <c r="W49" i="5"/>
  <c r="X47" i="5"/>
  <c r="W47" i="5"/>
  <c r="X46" i="5"/>
  <c r="W46" i="5"/>
  <c r="X43" i="5"/>
  <c r="X42" i="5"/>
  <c r="X41" i="5"/>
  <c r="X71" i="4"/>
  <c r="X70" i="4"/>
  <c r="X69" i="4"/>
  <c r="X68" i="4"/>
  <c r="X66" i="4"/>
  <c r="X65" i="4"/>
  <c r="X64" i="4"/>
  <c r="X62" i="4"/>
  <c r="X61" i="4"/>
  <c r="X59" i="4"/>
  <c r="X58" i="4"/>
  <c r="X57" i="4"/>
  <c r="X56" i="4"/>
  <c r="X55" i="4"/>
  <c r="X54" i="4"/>
  <c r="X53" i="4"/>
  <c r="W52" i="4"/>
  <c r="X52" i="4"/>
  <c r="W71" i="4"/>
  <c r="W70" i="4"/>
  <c r="W69" i="4"/>
  <c r="W68" i="4"/>
  <c r="W66" i="4"/>
  <c r="W65" i="4"/>
  <c r="W64" i="4"/>
  <c r="W62" i="4"/>
  <c r="W61" i="4"/>
  <c r="W59" i="4"/>
  <c r="W58" i="4"/>
  <c r="W57" i="4"/>
  <c r="W56" i="4"/>
  <c r="W55" i="4"/>
  <c r="W54" i="4"/>
  <c r="W53" i="4"/>
  <c r="W49" i="4"/>
  <c r="W48" i="4"/>
  <c r="W47" i="4"/>
  <c r="W45" i="4"/>
  <c r="W44" i="4"/>
  <c r="X49" i="4"/>
  <c r="X48" i="4"/>
  <c r="X47" i="4"/>
  <c r="X45" i="4"/>
  <c r="X44" i="4"/>
  <c r="X41" i="4"/>
  <c r="X40" i="4"/>
  <c r="X39" i="4"/>
  <c r="X32" i="4"/>
  <c r="X23" i="4"/>
  <c r="X21" i="4"/>
  <c r="X20" i="4"/>
  <c r="X16" i="4"/>
  <c r="X15" i="4"/>
  <c r="W13" i="4"/>
  <c r="X117" i="26"/>
  <c r="X108" i="26"/>
  <c r="X95" i="26"/>
  <c r="X75" i="26"/>
  <c r="X81" i="26"/>
  <c r="X73" i="26"/>
  <c r="X45" i="26"/>
  <c r="X41" i="26"/>
  <c r="X37" i="26"/>
  <c r="X35" i="26"/>
  <c r="X33" i="26"/>
  <c r="X27" i="26"/>
  <c r="X23" i="26"/>
  <c r="X19" i="26"/>
  <c r="W17" i="26"/>
  <c r="C49" i="25" l="1"/>
  <c r="S81" i="22"/>
  <c r="X81" i="22" s="1"/>
  <c r="W17" i="6"/>
  <c r="W16" i="6"/>
  <c r="W14" i="6"/>
  <c r="W26" i="7"/>
  <c r="W24" i="7"/>
  <c r="W23" i="7"/>
  <c r="W20" i="7"/>
  <c r="W19" i="7"/>
  <c r="W17" i="7"/>
  <c r="W16" i="7"/>
  <c r="W15" i="7"/>
  <c r="W13" i="7"/>
  <c r="W17" i="8"/>
  <c r="W16" i="8"/>
  <c r="W15" i="8"/>
  <c r="W13" i="8"/>
  <c r="W18" i="9"/>
  <c r="X17" i="10"/>
  <c r="X18" i="10"/>
  <c r="X19" i="10"/>
  <c r="X16" i="10"/>
  <c r="W19" i="10"/>
  <c r="W18" i="10"/>
  <c r="W17" i="10"/>
  <c r="W16" i="10"/>
  <c r="W14" i="10"/>
  <c r="W18" i="1"/>
  <c r="W17" i="1"/>
  <c r="W16" i="1"/>
  <c r="W14" i="1"/>
  <c r="W13" i="1"/>
  <c r="W20" i="11"/>
  <c r="W19" i="11"/>
  <c r="W17" i="11"/>
  <c r="W16" i="11"/>
  <c r="W15" i="11"/>
  <c r="W13" i="11"/>
  <c r="W12" i="11"/>
  <c r="W16" i="12"/>
  <c r="W15" i="12"/>
  <c r="W13" i="12"/>
  <c r="W12" i="12"/>
  <c r="W21" i="13"/>
  <c r="W20" i="13"/>
  <c r="W18" i="13"/>
  <c r="W17" i="13"/>
  <c r="W16" i="13"/>
  <c r="W14" i="13"/>
  <c r="W13" i="13"/>
  <c r="W17" i="14"/>
  <c r="W16" i="14"/>
  <c r="W14" i="14"/>
  <c r="W13" i="14"/>
  <c r="W19" i="15"/>
  <c r="W17" i="15"/>
  <c r="W16" i="15"/>
  <c r="W13" i="15"/>
  <c r="W12" i="15"/>
  <c r="W26" i="16"/>
  <c r="W24" i="16"/>
  <c r="W23" i="16"/>
  <c r="W22" i="16"/>
  <c r="W21" i="16"/>
  <c r="W20" i="16"/>
  <c r="W19" i="16"/>
  <c r="W16" i="16"/>
  <c r="W29" i="17"/>
  <c r="W28" i="17"/>
  <c r="W27" i="17"/>
  <c r="W25" i="17"/>
  <c r="W24" i="17"/>
  <c r="W21" i="17"/>
  <c r="W20" i="17"/>
  <c r="W18" i="17"/>
  <c r="W17" i="17"/>
  <c r="W16" i="17"/>
  <c r="W14" i="17"/>
  <c r="W13" i="17"/>
  <c r="W16" i="18"/>
  <c r="W14" i="18"/>
  <c r="W17" i="19"/>
  <c r="W16" i="19"/>
  <c r="W15" i="19"/>
  <c r="W13" i="19"/>
  <c r="W12" i="19"/>
  <c r="W20" i="20"/>
  <c r="W19" i="20"/>
  <c r="W17" i="20"/>
  <c r="W16" i="20"/>
  <c r="W14" i="20"/>
  <c r="W13" i="20"/>
  <c r="W18" i="21"/>
  <c r="W17" i="21"/>
  <c r="W16" i="21"/>
  <c r="W14" i="21"/>
  <c r="W13" i="21"/>
  <c r="W25" i="22"/>
  <c r="W15" i="22"/>
  <c r="W26" i="22"/>
  <c r="W24" i="22"/>
  <c r="W23" i="22"/>
  <c r="W20" i="22"/>
  <c r="W19" i="22"/>
  <c r="W17" i="22"/>
  <c r="W16" i="22"/>
  <c r="W14" i="22"/>
  <c r="W13" i="22"/>
  <c r="W18" i="23"/>
  <c r="W17" i="23"/>
  <c r="W16" i="23"/>
  <c r="W15" i="23"/>
  <c r="W13" i="23"/>
  <c r="W12" i="23"/>
  <c r="W19" i="24"/>
  <c r="W17" i="24"/>
  <c r="W16" i="24"/>
  <c r="W14" i="24"/>
  <c r="W39" i="23"/>
  <c r="W53" i="22"/>
  <c r="W39" i="21"/>
  <c r="W40" i="20"/>
  <c r="W38" i="19"/>
  <c r="W55" i="17"/>
  <c r="W40" i="15"/>
  <c r="W45" i="13"/>
  <c r="W44" i="13"/>
  <c r="W43" i="13"/>
  <c r="W41" i="11"/>
  <c r="W40" i="10"/>
  <c r="W37" i="9"/>
  <c r="W38" i="8"/>
  <c r="W55" i="7"/>
  <c r="W54" i="7"/>
  <c r="W38" i="6"/>
  <c r="W17" i="5"/>
  <c r="W14" i="5"/>
  <c r="W16" i="4"/>
  <c r="W14" i="4"/>
  <c r="W81" i="26"/>
  <c r="W79" i="26"/>
  <c r="W78" i="26"/>
  <c r="W75" i="26"/>
  <c r="W73" i="26"/>
  <c r="W71" i="26"/>
  <c r="W69" i="26"/>
  <c r="W67" i="26"/>
  <c r="W65" i="26"/>
  <c r="W63" i="26"/>
  <c r="W61" i="26"/>
  <c r="W59" i="26"/>
  <c r="W57" i="26"/>
  <c r="W55" i="26"/>
  <c r="W53" i="26"/>
  <c r="W51" i="26"/>
  <c r="W49" i="26"/>
  <c r="W47" i="26"/>
  <c r="W43" i="26"/>
  <c r="W40" i="26"/>
  <c r="W39" i="26"/>
  <c r="W37" i="26"/>
  <c r="W35" i="26"/>
  <c r="W31" i="26"/>
  <c r="W29" i="26"/>
  <c r="W26" i="26"/>
  <c r="W25" i="26"/>
  <c r="W18" i="26"/>
  <c r="X38" i="22"/>
  <c r="X39" i="22"/>
  <c r="X40" i="17"/>
  <c r="X41" i="17"/>
  <c r="X24" i="9"/>
  <c r="X39" i="7"/>
  <c r="X38" i="7"/>
  <c r="X96" i="26"/>
  <c r="X97" i="26"/>
  <c r="X98" i="26"/>
  <c r="X99" i="26"/>
  <c r="X36" i="24"/>
  <c r="W37" i="24" s="1"/>
  <c r="X35" i="23"/>
  <c r="W36" i="23"/>
  <c r="X49" i="22"/>
  <c r="W50" i="22"/>
  <c r="X35" i="21"/>
  <c r="W36" i="21"/>
  <c r="X36" i="20"/>
  <c r="W37" i="20"/>
  <c r="X34" i="19"/>
  <c r="W35" i="19"/>
  <c r="X32" i="18"/>
  <c r="W33" i="18" s="1"/>
  <c r="X51" i="17"/>
  <c r="W52" i="17"/>
  <c r="X43" i="16"/>
  <c r="W44" i="16" s="1"/>
  <c r="X36" i="15"/>
  <c r="X33" i="14"/>
  <c r="W34" i="14" s="1"/>
  <c r="X39" i="13"/>
  <c r="W40" i="13"/>
  <c r="X32" i="12"/>
  <c r="W33" i="12" s="1"/>
  <c r="X37" i="11"/>
  <c r="W38" i="11" s="1"/>
  <c r="X35" i="1"/>
  <c r="X36" i="10"/>
  <c r="X34" i="9"/>
  <c r="W35" i="9" s="1"/>
  <c r="X34" i="8"/>
  <c r="W35" i="8" s="1"/>
  <c r="X50" i="7"/>
  <c r="X34" i="6"/>
  <c r="W35" i="6" s="1"/>
  <c r="X33" i="5"/>
  <c r="W34" i="5"/>
  <c r="X33" i="4"/>
  <c r="W34" i="4" s="1"/>
  <c r="X109" i="26"/>
  <c r="W110" i="26" s="1"/>
  <c r="X21" i="24"/>
  <c r="X20" i="23"/>
  <c r="X28" i="22"/>
  <c r="X20" i="21"/>
  <c r="X22" i="20"/>
  <c r="X19" i="19"/>
  <c r="X18" i="18"/>
  <c r="X31" i="17"/>
  <c r="X28" i="16"/>
  <c r="X21" i="15"/>
  <c r="X19" i="14"/>
  <c r="X23" i="13"/>
  <c r="X18" i="12"/>
  <c r="X22" i="11"/>
  <c r="X20" i="1"/>
  <c r="X21" i="10"/>
  <c r="X19" i="8"/>
  <c r="X28" i="7"/>
  <c r="X19" i="6"/>
  <c r="X19" i="5"/>
  <c r="X23" i="23"/>
  <c r="X35" i="22"/>
  <c r="X23" i="21"/>
  <c r="X22" i="19"/>
  <c r="X24" i="15"/>
  <c r="X26" i="13"/>
  <c r="X25" i="11"/>
  <c r="X24" i="10"/>
  <c r="X22" i="8"/>
  <c r="X35" i="7"/>
  <c r="X22" i="6"/>
  <c r="X19" i="4"/>
  <c r="X88" i="26"/>
  <c r="X89" i="26"/>
  <c r="X90" i="26"/>
  <c r="X91" i="26"/>
  <c r="X92" i="26"/>
  <c r="X93" i="26"/>
  <c r="X87" i="26"/>
  <c r="X86" i="26"/>
  <c r="X85" i="26"/>
  <c r="X84" i="26"/>
  <c r="X30" i="24"/>
  <c r="X29" i="24"/>
  <c r="X30" i="23"/>
  <c r="X29" i="23"/>
  <c r="X28" i="23"/>
  <c r="X45" i="22"/>
  <c r="X44" i="22"/>
  <c r="X43" i="22"/>
  <c r="X42" i="22"/>
  <c r="X30" i="21"/>
  <c r="X29" i="21"/>
  <c r="X28" i="21"/>
  <c r="X31" i="20"/>
  <c r="X30" i="20"/>
  <c r="X29" i="20"/>
  <c r="X29" i="19"/>
  <c r="X28" i="19"/>
  <c r="X27" i="19"/>
  <c r="X27" i="18"/>
  <c r="X26" i="18"/>
  <c r="X25" i="18"/>
  <c r="X46" i="17"/>
  <c r="X45" i="17"/>
  <c r="X44" i="17"/>
  <c r="X38" i="16"/>
  <c r="X37" i="16"/>
  <c r="X36" i="16"/>
  <c r="X31" i="15"/>
  <c r="X30" i="15"/>
  <c r="X29" i="15"/>
  <c r="X28" i="14"/>
  <c r="X27" i="14"/>
  <c r="X26" i="14"/>
  <c r="X34" i="13"/>
  <c r="X33" i="13"/>
  <c r="X32" i="13"/>
  <c r="X27" i="12"/>
  <c r="X26" i="12"/>
  <c r="X25" i="12"/>
  <c r="X32" i="11"/>
  <c r="X31" i="11"/>
  <c r="X30" i="11"/>
  <c r="X29" i="1"/>
  <c r="X28" i="1"/>
  <c r="X31" i="10"/>
  <c r="X30" i="10"/>
  <c r="X29" i="10"/>
  <c r="X29" i="8"/>
  <c r="X28" i="8"/>
  <c r="X27" i="8"/>
  <c r="X44" i="7"/>
  <c r="X43" i="7"/>
  <c r="X42" i="7"/>
  <c r="X29" i="6"/>
  <c r="X28" i="6"/>
  <c r="X27" i="6"/>
  <c r="W37" i="15" l="1"/>
  <c r="W36" i="1"/>
  <c r="W37" i="10"/>
  <c r="W51" i="7"/>
  <c r="X120" i="26"/>
  <c r="X144" i="26" l="1"/>
  <c r="W144" i="26"/>
  <c r="X143" i="26"/>
  <c r="W143" i="26"/>
  <c r="X142" i="26"/>
  <c r="W142" i="26"/>
  <c r="X141" i="26"/>
  <c r="W141" i="26"/>
  <c r="X139" i="26"/>
  <c r="W139" i="26"/>
  <c r="X138" i="26"/>
  <c r="W138" i="26"/>
  <c r="X137" i="26"/>
  <c r="W137" i="26"/>
  <c r="X135" i="26"/>
  <c r="W135" i="26"/>
  <c r="X134" i="26"/>
  <c r="W134" i="26"/>
  <c r="X132" i="26"/>
  <c r="W132" i="26"/>
  <c r="X131" i="26"/>
  <c r="W131" i="26"/>
  <c r="X130" i="26"/>
  <c r="W130" i="26"/>
  <c r="X129" i="26"/>
  <c r="W129" i="26"/>
  <c r="X128" i="26"/>
  <c r="W128" i="26"/>
  <c r="X127" i="26"/>
  <c r="W127" i="26"/>
  <c r="X126" i="26"/>
  <c r="W126" i="26"/>
  <c r="X125" i="26"/>
  <c r="W125" i="26"/>
  <c r="W122" i="26"/>
  <c r="X121" i="26"/>
  <c r="X118" i="26"/>
  <c r="T38" i="11" l="1"/>
  <c r="U37" i="9"/>
  <c r="T71" i="25"/>
  <c r="T70" i="25"/>
  <c r="T69" i="25"/>
  <c r="T68" i="25"/>
  <c r="T66" i="25"/>
  <c r="T65" i="25"/>
  <c r="T64" i="25"/>
  <c r="T62" i="25"/>
  <c r="T61" i="25"/>
  <c r="T59" i="25"/>
  <c r="T58" i="25"/>
  <c r="T57" i="25"/>
  <c r="T56" i="25"/>
  <c r="T55" i="25"/>
  <c r="T54" i="25"/>
  <c r="T53" i="25"/>
  <c r="T52" i="25"/>
  <c r="U48" i="25"/>
  <c r="T48" i="25"/>
  <c r="U47" i="25"/>
  <c r="T47" i="25"/>
  <c r="U46" i="25"/>
  <c r="T46" i="25"/>
  <c r="U45" i="25"/>
  <c r="T45" i="25"/>
  <c r="U44" i="25"/>
  <c r="T44" i="25"/>
  <c r="U41" i="25"/>
  <c r="U40" i="25"/>
  <c r="U39" i="25"/>
  <c r="T34" i="25"/>
  <c r="T18" i="25"/>
  <c r="T17" i="25"/>
  <c r="T16" i="25"/>
  <c r="T15" i="25"/>
  <c r="T13" i="25"/>
  <c r="T12" i="25"/>
  <c r="U52" i="24"/>
  <c r="U74" i="24" s="1"/>
  <c r="T52" i="24"/>
  <c r="T37" i="24"/>
  <c r="U32" i="24"/>
  <c r="U15" i="24"/>
  <c r="U55" i="23"/>
  <c r="U77" i="23" s="1"/>
  <c r="T55" i="23"/>
  <c r="U39" i="23"/>
  <c r="U38" i="23"/>
  <c r="T36" i="23"/>
  <c r="U31" i="23"/>
  <c r="U68" i="22"/>
  <c r="U90" i="22" s="1"/>
  <c r="T68" i="22"/>
  <c r="U53" i="22"/>
  <c r="U52" i="22"/>
  <c r="U45" i="22"/>
  <c r="U25" i="22"/>
  <c r="U21" i="22"/>
  <c r="W21" i="22"/>
  <c r="U15" i="22"/>
  <c r="U54" i="21"/>
  <c r="U76" i="21" s="1"/>
  <c r="T54" i="21"/>
  <c r="U39" i="21"/>
  <c r="U38" i="21"/>
  <c r="T36" i="21"/>
  <c r="U31" i="21"/>
  <c r="U15" i="21"/>
  <c r="U55" i="20"/>
  <c r="U77" i="20" s="1"/>
  <c r="T55" i="20"/>
  <c r="U40" i="20"/>
  <c r="U39" i="20"/>
  <c r="T37" i="20"/>
  <c r="U32" i="20"/>
  <c r="U15" i="20"/>
  <c r="U53" i="19"/>
  <c r="U75" i="19" s="1"/>
  <c r="T53" i="19"/>
  <c r="U38" i="19"/>
  <c r="U37" i="19"/>
  <c r="T35" i="19"/>
  <c r="U30" i="19"/>
  <c r="U48" i="18"/>
  <c r="U70" i="18" s="1"/>
  <c r="T48" i="18"/>
  <c r="T33" i="18"/>
  <c r="U28" i="18"/>
  <c r="U15" i="18"/>
  <c r="U70" i="17"/>
  <c r="U92" i="17" s="1"/>
  <c r="T70" i="17"/>
  <c r="U55" i="17"/>
  <c r="U54" i="17"/>
  <c r="T52" i="17"/>
  <c r="U47" i="17"/>
  <c r="U61" i="16"/>
  <c r="U83" i="16" s="1"/>
  <c r="T61" i="16"/>
  <c r="U46" i="16"/>
  <c r="T44" i="16"/>
  <c r="U39" i="16"/>
  <c r="U15" i="16"/>
  <c r="U56" i="15"/>
  <c r="U78" i="15" s="1"/>
  <c r="T56" i="15"/>
  <c r="U40" i="15"/>
  <c r="U39" i="15"/>
  <c r="T37" i="15"/>
  <c r="U32" i="15"/>
  <c r="U51" i="14"/>
  <c r="U73" i="14" s="1"/>
  <c r="T51" i="14"/>
  <c r="U36" i="14"/>
  <c r="T34" i="14"/>
  <c r="U29" i="14"/>
  <c r="U15" i="14"/>
  <c r="U82" i="13"/>
  <c r="U77" i="13"/>
  <c r="U72" i="13"/>
  <c r="U67" i="13"/>
  <c r="U63" i="13"/>
  <c r="U60" i="13"/>
  <c r="U81" i="13" s="1"/>
  <c r="T60" i="13"/>
  <c r="U45" i="13"/>
  <c r="U44" i="13"/>
  <c r="U43" i="13"/>
  <c r="U42" i="13"/>
  <c r="T40" i="13"/>
  <c r="U35" i="13"/>
  <c r="U15" i="13"/>
  <c r="U50" i="12"/>
  <c r="U72" i="12" s="1"/>
  <c r="T50" i="12"/>
  <c r="U35" i="12"/>
  <c r="T33" i="12"/>
  <c r="U28" i="12"/>
  <c r="U56" i="11"/>
  <c r="U78" i="11" s="1"/>
  <c r="T56" i="11"/>
  <c r="U41" i="11"/>
  <c r="U40" i="11"/>
  <c r="U33" i="11"/>
  <c r="U14" i="11"/>
  <c r="U53" i="1"/>
  <c r="U75" i="1" s="1"/>
  <c r="T53" i="1"/>
  <c r="U38" i="1"/>
  <c r="T36" i="1"/>
  <c r="U31" i="1"/>
  <c r="U55" i="10"/>
  <c r="U77" i="10" s="1"/>
  <c r="T55" i="10"/>
  <c r="U40" i="10"/>
  <c r="U39" i="10"/>
  <c r="T37" i="10"/>
  <c r="U32" i="10"/>
  <c r="U15" i="10"/>
  <c r="U52" i="9"/>
  <c r="U74" i="9" s="1"/>
  <c r="T52" i="9"/>
  <c r="T35" i="9"/>
  <c r="U30" i="9"/>
  <c r="U15" i="9"/>
  <c r="U53" i="8"/>
  <c r="U75" i="8" s="1"/>
  <c r="T53" i="8"/>
  <c r="U38" i="8"/>
  <c r="U37" i="8"/>
  <c r="T35" i="8"/>
  <c r="U30" i="8"/>
  <c r="U70" i="7"/>
  <c r="U92" i="7" s="1"/>
  <c r="T70" i="7"/>
  <c r="U55" i="7"/>
  <c r="U54" i="7"/>
  <c r="U53" i="7"/>
  <c r="T51" i="7"/>
  <c r="U45" i="7"/>
  <c r="U25" i="7"/>
  <c r="U21" i="7"/>
  <c r="U14" i="7"/>
  <c r="U53" i="6"/>
  <c r="U75" i="6" s="1"/>
  <c r="T53" i="6"/>
  <c r="U38" i="6"/>
  <c r="U37" i="6"/>
  <c r="T35" i="6"/>
  <c r="U30" i="6"/>
  <c r="U51" i="5"/>
  <c r="U73" i="5" s="1"/>
  <c r="T51" i="5"/>
  <c r="U36" i="5"/>
  <c r="T34" i="5"/>
  <c r="U29" i="5"/>
  <c r="U15" i="5"/>
  <c r="U49" i="4"/>
  <c r="U71" i="4" s="1"/>
  <c r="T49" i="4"/>
  <c r="T34" i="4"/>
  <c r="U29" i="4"/>
  <c r="U15" i="4"/>
  <c r="U122" i="26"/>
  <c r="T110" i="26"/>
  <c r="U19" i="26"/>
  <c r="T49" i="25" l="1"/>
  <c r="U49" i="25"/>
  <c r="U90" i="17"/>
  <c r="U78" i="16"/>
  <c r="U65" i="13"/>
  <c r="U69" i="13"/>
  <c r="U75" i="13"/>
  <c r="U80" i="13"/>
  <c r="U54" i="12"/>
  <c r="U58" i="12"/>
  <c r="U63" i="12"/>
  <c r="U69" i="12"/>
  <c r="U53" i="12"/>
  <c r="U56" i="12"/>
  <c r="U60" i="12"/>
  <c r="U66" i="12"/>
  <c r="U71" i="12"/>
  <c r="U33" i="25"/>
  <c r="U34" i="25"/>
  <c r="U54" i="5"/>
  <c r="T11" i="25"/>
  <c r="U56" i="24"/>
  <c r="U58" i="24"/>
  <c r="U60" i="24"/>
  <c r="U62" i="24"/>
  <c r="U65" i="24"/>
  <c r="U68" i="24"/>
  <c r="U71" i="24"/>
  <c r="U73" i="24"/>
  <c r="U55" i="24"/>
  <c r="U57" i="24"/>
  <c r="U59" i="24"/>
  <c r="U61" i="24"/>
  <c r="U64" i="24"/>
  <c r="U67" i="24"/>
  <c r="U69" i="24"/>
  <c r="U72" i="24"/>
  <c r="U59" i="23"/>
  <c r="U61" i="23"/>
  <c r="U63" i="23"/>
  <c r="U65" i="23"/>
  <c r="U68" i="23"/>
  <c r="U71" i="23"/>
  <c r="U74" i="23"/>
  <c r="U76" i="23"/>
  <c r="U58" i="23"/>
  <c r="U60" i="23"/>
  <c r="U62" i="23"/>
  <c r="U64" i="23"/>
  <c r="U67" i="23"/>
  <c r="U70" i="23"/>
  <c r="U72" i="23"/>
  <c r="U75" i="23"/>
  <c r="U72" i="22"/>
  <c r="U74" i="22"/>
  <c r="U76" i="22"/>
  <c r="U78" i="22"/>
  <c r="U81" i="22"/>
  <c r="U84" i="22"/>
  <c r="U87" i="22"/>
  <c r="U89" i="22"/>
  <c r="U71" i="22"/>
  <c r="U73" i="22"/>
  <c r="U75" i="22"/>
  <c r="U77" i="22"/>
  <c r="U80" i="22"/>
  <c r="U83" i="22"/>
  <c r="U85" i="22"/>
  <c r="U88" i="22"/>
  <c r="U58" i="21"/>
  <c r="U60" i="21"/>
  <c r="U62" i="21"/>
  <c r="U64" i="21"/>
  <c r="U67" i="21"/>
  <c r="U70" i="21"/>
  <c r="U73" i="21"/>
  <c r="U75" i="21"/>
  <c r="U57" i="21"/>
  <c r="U59" i="21"/>
  <c r="U61" i="21"/>
  <c r="U63" i="21"/>
  <c r="U66" i="21"/>
  <c r="U69" i="21"/>
  <c r="U71" i="21"/>
  <c r="U74" i="21"/>
  <c r="U59" i="20"/>
  <c r="U61" i="20"/>
  <c r="U63" i="20"/>
  <c r="U65" i="20"/>
  <c r="U68" i="20"/>
  <c r="U71" i="20"/>
  <c r="U74" i="20"/>
  <c r="U76" i="20"/>
  <c r="U58" i="20"/>
  <c r="U60" i="20"/>
  <c r="U62" i="20"/>
  <c r="U64" i="20"/>
  <c r="U67" i="20"/>
  <c r="U70" i="20"/>
  <c r="U72" i="20"/>
  <c r="U75" i="20"/>
  <c r="U57" i="19"/>
  <c r="U59" i="19"/>
  <c r="U61" i="19"/>
  <c r="U63" i="19"/>
  <c r="U66" i="19"/>
  <c r="U69" i="19"/>
  <c r="U72" i="19"/>
  <c r="U74" i="19"/>
  <c r="U56" i="19"/>
  <c r="U58" i="19"/>
  <c r="U60" i="19"/>
  <c r="U62" i="19"/>
  <c r="U65" i="19"/>
  <c r="U68" i="19"/>
  <c r="U70" i="19"/>
  <c r="U73" i="19"/>
  <c r="U52" i="18"/>
  <c r="U54" i="18"/>
  <c r="U56" i="18"/>
  <c r="U58" i="18"/>
  <c r="U61" i="18"/>
  <c r="U64" i="18"/>
  <c r="U67" i="18"/>
  <c r="U69" i="18"/>
  <c r="U51" i="18"/>
  <c r="U53" i="18"/>
  <c r="U55" i="18"/>
  <c r="U57" i="18"/>
  <c r="U60" i="18"/>
  <c r="U63" i="18"/>
  <c r="U65" i="18"/>
  <c r="U68" i="18"/>
  <c r="U73" i="17"/>
  <c r="U75" i="17"/>
  <c r="U77" i="17"/>
  <c r="U79" i="17"/>
  <c r="U82" i="17"/>
  <c r="U85" i="17"/>
  <c r="U87" i="17"/>
  <c r="U91" i="17"/>
  <c r="U74" i="17"/>
  <c r="U76" i="17"/>
  <c r="U78" i="17"/>
  <c r="U80" i="17"/>
  <c r="U83" i="17"/>
  <c r="U86" i="17"/>
  <c r="U89" i="17"/>
  <c r="U64" i="16"/>
  <c r="U66" i="16"/>
  <c r="U68" i="16"/>
  <c r="U70" i="16"/>
  <c r="U73" i="16"/>
  <c r="U76" i="16"/>
  <c r="U80" i="16"/>
  <c r="U82" i="16"/>
  <c r="U65" i="16"/>
  <c r="U67" i="16"/>
  <c r="U69" i="16"/>
  <c r="U71" i="16"/>
  <c r="U74" i="16"/>
  <c r="U77" i="16"/>
  <c r="U81" i="16"/>
  <c r="U60" i="15"/>
  <c r="U62" i="15"/>
  <c r="U64" i="15"/>
  <c r="U66" i="15"/>
  <c r="U69" i="15"/>
  <c r="U72" i="15"/>
  <c r="U75" i="15"/>
  <c r="U77" i="15"/>
  <c r="U59" i="15"/>
  <c r="U61" i="15"/>
  <c r="U63" i="15"/>
  <c r="U65" i="15"/>
  <c r="U68" i="15"/>
  <c r="U71" i="15"/>
  <c r="U73" i="15"/>
  <c r="U76" i="15"/>
  <c r="U55" i="14"/>
  <c r="U57" i="14"/>
  <c r="U59" i="14"/>
  <c r="U61" i="14"/>
  <c r="U64" i="14"/>
  <c r="U67" i="14"/>
  <c r="U70" i="14"/>
  <c r="U72" i="14"/>
  <c r="U54" i="14"/>
  <c r="U56" i="14"/>
  <c r="U58" i="14"/>
  <c r="U60" i="14"/>
  <c r="U63" i="14"/>
  <c r="U66" i="14"/>
  <c r="U68" i="14"/>
  <c r="U71" i="14"/>
  <c r="U64" i="13"/>
  <c r="U66" i="13"/>
  <c r="U68" i="13"/>
  <c r="U70" i="13"/>
  <c r="U73" i="13"/>
  <c r="U76" i="13"/>
  <c r="U79" i="13"/>
  <c r="U55" i="12"/>
  <c r="U57" i="12"/>
  <c r="U59" i="12"/>
  <c r="U62" i="12"/>
  <c r="U65" i="12"/>
  <c r="U67" i="12"/>
  <c r="U70" i="12"/>
  <c r="U60" i="11"/>
  <c r="U62" i="11"/>
  <c r="U64" i="11"/>
  <c r="U66" i="11"/>
  <c r="U69" i="11"/>
  <c r="U72" i="11"/>
  <c r="U75" i="11"/>
  <c r="U77" i="11"/>
  <c r="U59" i="11"/>
  <c r="U61" i="11"/>
  <c r="U63" i="11"/>
  <c r="U65" i="11"/>
  <c r="U68" i="11"/>
  <c r="U71" i="11"/>
  <c r="U73" i="11"/>
  <c r="U76" i="11"/>
  <c r="U57" i="1"/>
  <c r="U59" i="1"/>
  <c r="U61" i="1"/>
  <c r="U63" i="1"/>
  <c r="U66" i="1"/>
  <c r="U69" i="1"/>
  <c r="U72" i="1"/>
  <c r="U74" i="1"/>
  <c r="U56" i="1"/>
  <c r="U58" i="1"/>
  <c r="U60" i="1"/>
  <c r="U62" i="1"/>
  <c r="U65" i="1"/>
  <c r="U68" i="1"/>
  <c r="U70" i="1"/>
  <c r="U73" i="1"/>
  <c r="U59" i="10"/>
  <c r="U61" i="10"/>
  <c r="U63" i="10"/>
  <c r="U65" i="10"/>
  <c r="U68" i="10"/>
  <c r="U71" i="10"/>
  <c r="U74" i="10"/>
  <c r="U76" i="10"/>
  <c r="U58" i="10"/>
  <c r="U60" i="10"/>
  <c r="U62" i="10"/>
  <c r="U64" i="10"/>
  <c r="U67" i="10"/>
  <c r="U70" i="10"/>
  <c r="U72" i="10"/>
  <c r="U75" i="10"/>
  <c r="U56" i="9"/>
  <c r="U58" i="9"/>
  <c r="U60" i="9"/>
  <c r="U62" i="9"/>
  <c r="U65" i="9"/>
  <c r="U68" i="9"/>
  <c r="U71" i="9"/>
  <c r="U73" i="9"/>
  <c r="U55" i="9"/>
  <c r="U57" i="9"/>
  <c r="U59" i="9"/>
  <c r="U61" i="9"/>
  <c r="U64" i="9"/>
  <c r="U67" i="9"/>
  <c r="U69" i="9"/>
  <c r="U72" i="9"/>
  <c r="U57" i="8"/>
  <c r="U59" i="8"/>
  <c r="U61" i="8"/>
  <c r="U63" i="8"/>
  <c r="U66" i="8"/>
  <c r="U69" i="8"/>
  <c r="U72" i="8"/>
  <c r="U74" i="8"/>
  <c r="U56" i="8"/>
  <c r="U58" i="8"/>
  <c r="U60" i="8"/>
  <c r="U62" i="8"/>
  <c r="U65" i="8"/>
  <c r="U68" i="8"/>
  <c r="U70" i="8"/>
  <c r="U73" i="8"/>
  <c r="U74" i="7"/>
  <c r="U76" i="7"/>
  <c r="U78" i="7"/>
  <c r="U80" i="7"/>
  <c r="U83" i="7"/>
  <c r="U86" i="7"/>
  <c r="U89" i="7"/>
  <c r="U91" i="7"/>
  <c r="U73" i="7"/>
  <c r="U75" i="7"/>
  <c r="U77" i="7"/>
  <c r="U79" i="7"/>
  <c r="U82" i="7"/>
  <c r="U85" i="7"/>
  <c r="U87" i="7"/>
  <c r="U90" i="7"/>
  <c r="U57" i="6"/>
  <c r="U59" i="6"/>
  <c r="U61" i="6"/>
  <c r="U63" i="6"/>
  <c r="U66" i="6"/>
  <c r="U69" i="6"/>
  <c r="U72" i="6"/>
  <c r="U74" i="6"/>
  <c r="U56" i="6"/>
  <c r="U58" i="6"/>
  <c r="U60" i="6"/>
  <c r="U62" i="6"/>
  <c r="U65" i="6"/>
  <c r="U68" i="6"/>
  <c r="U70" i="6"/>
  <c r="U73" i="6"/>
  <c r="U55" i="5"/>
  <c r="U57" i="5"/>
  <c r="U59" i="5"/>
  <c r="U61" i="5"/>
  <c r="U64" i="5"/>
  <c r="U67" i="5"/>
  <c r="U70" i="5"/>
  <c r="U72" i="5"/>
  <c r="U56" i="5"/>
  <c r="U58" i="5"/>
  <c r="U60" i="5"/>
  <c r="U63" i="5"/>
  <c r="U66" i="5"/>
  <c r="U68" i="5"/>
  <c r="U71" i="5"/>
  <c r="U53" i="4"/>
  <c r="U55" i="4"/>
  <c r="U57" i="4"/>
  <c r="U59" i="4"/>
  <c r="U62" i="4"/>
  <c r="U65" i="4"/>
  <c r="U68" i="4"/>
  <c r="U70" i="4"/>
  <c r="U52" i="4"/>
  <c r="U54" i="4"/>
  <c r="U56" i="4"/>
  <c r="U58" i="4"/>
  <c r="U61" i="4"/>
  <c r="U64" i="4"/>
  <c r="U66" i="4"/>
  <c r="U69" i="4"/>
  <c r="Q32" i="17"/>
  <c r="E19" i="25" l="1"/>
  <c r="E18" i="25"/>
  <c r="G19" i="25"/>
  <c r="G18" i="25"/>
  <c r="I19" i="25"/>
  <c r="I18" i="25"/>
  <c r="K19" i="25"/>
  <c r="K18" i="25"/>
  <c r="M19" i="25"/>
  <c r="M18" i="25"/>
  <c r="O18" i="25"/>
  <c r="S18" i="25"/>
  <c r="Q18" i="25"/>
  <c r="Q16" i="25"/>
  <c r="Q15" i="25"/>
  <c r="Q14" i="25"/>
  <c r="Q13" i="25"/>
  <c r="Q11" i="25"/>
  <c r="D19" i="25"/>
  <c r="D18" i="25"/>
  <c r="D17" i="25"/>
  <c r="D16" i="25"/>
  <c r="D15" i="25"/>
  <c r="D14" i="25"/>
  <c r="D13" i="25"/>
  <c r="D12" i="25"/>
  <c r="F19" i="25"/>
  <c r="F18" i="25"/>
  <c r="F16" i="25"/>
  <c r="F15" i="25"/>
  <c r="F14" i="25"/>
  <c r="F13" i="25"/>
  <c r="H19" i="25"/>
  <c r="H18" i="25"/>
  <c r="H16" i="25"/>
  <c r="H13" i="25"/>
  <c r="J19" i="25"/>
  <c r="J18" i="25"/>
  <c r="J17" i="25"/>
  <c r="J16" i="25"/>
  <c r="J15" i="25"/>
  <c r="J14" i="25"/>
  <c r="J13" i="25"/>
  <c r="L19" i="25"/>
  <c r="L18" i="25"/>
  <c r="L17" i="25"/>
  <c r="L16" i="25"/>
  <c r="L15" i="25"/>
  <c r="L13" i="25"/>
  <c r="N18" i="25"/>
  <c r="N17" i="25"/>
  <c r="N16" i="25"/>
  <c r="N15" i="25"/>
  <c r="N14" i="25"/>
  <c r="N13" i="25"/>
  <c r="P18" i="25"/>
  <c r="P17" i="25"/>
  <c r="P16" i="25"/>
  <c r="P15" i="25"/>
  <c r="P14" i="25"/>
  <c r="P13" i="25"/>
  <c r="R18" i="25"/>
  <c r="E14" i="25"/>
  <c r="G14" i="25"/>
  <c r="I14" i="25"/>
  <c r="K14" i="25"/>
  <c r="M14" i="25"/>
  <c r="O14" i="25"/>
  <c r="R14" i="25"/>
  <c r="R17" i="25" l="1"/>
  <c r="G13" i="25"/>
  <c r="I13" i="25"/>
  <c r="K13" i="25"/>
  <c r="M13" i="25"/>
  <c r="O13" i="25"/>
  <c r="R13" i="25"/>
  <c r="S13" i="25"/>
  <c r="R71" i="25" l="1"/>
  <c r="R70" i="25"/>
  <c r="R69" i="25"/>
  <c r="R68" i="25"/>
  <c r="R65" i="25"/>
  <c r="R64" i="25"/>
  <c r="R62" i="25"/>
  <c r="R61" i="25"/>
  <c r="R59" i="25"/>
  <c r="R58" i="25"/>
  <c r="R57" i="25"/>
  <c r="R56" i="25"/>
  <c r="R55" i="25"/>
  <c r="R54" i="25"/>
  <c r="R53" i="25"/>
  <c r="R52" i="25"/>
  <c r="P71" i="25"/>
  <c r="P70" i="25"/>
  <c r="P69" i="25"/>
  <c r="P68" i="25"/>
  <c r="P66" i="25"/>
  <c r="P65" i="25"/>
  <c r="P64" i="25"/>
  <c r="P62" i="25"/>
  <c r="P61" i="25"/>
  <c r="P59" i="25"/>
  <c r="P58" i="25"/>
  <c r="P57" i="25"/>
  <c r="P56" i="25"/>
  <c r="P55" i="25"/>
  <c r="P54" i="25"/>
  <c r="P53" i="25"/>
  <c r="P52" i="25"/>
  <c r="N71" i="25"/>
  <c r="N70" i="25"/>
  <c r="N65" i="25"/>
  <c r="N59" i="25"/>
  <c r="N58" i="25"/>
  <c r="N57" i="25"/>
  <c r="N56" i="25"/>
  <c r="N55" i="25"/>
  <c r="N53" i="25"/>
  <c r="L71" i="25"/>
  <c r="L70" i="25"/>
  <c r="L69" i="25"/>
  <c r="L68" i="25"/>
  <c r="L66" i="25"/>
  <c r="L65" i="25"/>
  <c r="L64" i="25"/>
  <c r="L62" i="25"/>
  <c r="L61" i="25"/>
  <c r="L59" i="25"/>
  <c r="L58" i="25"/>
  <c r="L57" i="25"/>
  <c r="L56" i="25"/>
  <c r="L55" i="25"/>
  <c r="L54" i="25"/>
  <c r="L53" i="25"/>
  <c r="L52" i="25"/>
  <c r="J71" i="25"/>
  <c r="H71" i="25"/>
  <c r="H70" i="25"/>
  <c r="H69" i="25"/>
  <c r="H68" i="25"/>
  <c r="H66" i="25"/>
  <c r="H65" i="25"/>
  <c r="H64" i="25"/>
  <c r="H62" i="25"/>
  <c r="H61" i="25"/>
  <c r="H59" i="25"/>
  <c r="H58" i="25"/>
  <c r="H57" i="25"/>
  <c r="H56" i="25"/>
  <c r="H55" i="25"/>
  <c r="H54" i="25"/>
  <c r="H53" i="25"/>
  <c r="H52" i="25"/>
  <c r="F71" i="25"/>
  <c r="F70" i="25"/>
  <c r="F69" i="25"/>
  <c r="F68" i="25"/>
  <c r="F66" i="25"/>
  <c r="F65" i="25"/>
  <c r="F64" i="25"/>
  <c r="F62" i="25"/>
  <c r="F61" i="25"/>
  <c r="F59" i="25"/>
  <c r="F58" i="25"/>
  <c r="F57" i="25"/>
  <c r="F56" i="25"/>
  <c r="F55" i="25"/>
  <c r="F54" i="25"/>
  <c r="F53" i="25"/>
  <c r="F52" i="25"/>
  <c r="D53" i="25"/>
  <c r="D54" i="25"/>
  <c r="D55" i="25"/>
  <c r="D56" i="25"/>
  <c r="D58" i="25"/>
  <c r="D59" i="25"/>
  <c r="D64" i="25"/>
  <c r="D65" i="25"/>
  <c r="D70" i="25"/>
  <c r="D71" i="25"/>
  <c r="G44" i="25"/>
  <c r="I44" i="25"/>
  <c r="J44" i="25"/>
  <c r="K44" i="25"/>
  <c r="L44" i="25"/>
  <c r="M44" i="25"/>
  <c r="N44" i="25"/>
  <c r="O44" i="25"/>
  <c r="P44" i="25"/>
  <c r="Q44" i="25"/>
  <c r="R44" i="25"/>
  <c r="S44" i="25"/>
  <c r="G45" i="25"/>
  <c r="I45" i="25"/>
  <c r="J45" i="25"/>
  <c r="K45" i="25"/>
  <c r="L45" i="25"/>
  <c r="M45" i="25"/>
  <c r="N45" i="25"/>
  <c r="O45" i="25"/>
  <c r="P45" i="25"/>
  <c r="Q45" i="25"/>
  <c r="R45" i="25"/>
  <c r="S45" i="25"/>
  <c r="G46" i="25"/>
  <c r="I46" i="25"/>
  <c r="J46" i="25"/>
  <c r="K46" i="25"/>
  <c r="L46" i="25"/>
  <c r="M46" i="25"/>
  <c r="N46" i="25"/>
  <c r="O46" i="25"/>
  <c r="P46" i="25"/>
  <c r="Q46" i="25"/>
  <c r="R46" i="25"/>
  <c r="S46" i="25"/>
  <c r="G47" i="25"/>
  <c r="I47" i="25"/>
  <c r="J47" i="25"/>
  <c r="K47" i="25"/>
  <c r="L47" i="25"/>
  <c r="M47" i="25"/>
  <c r="N47" i="25"/>
  <c r="O47" i="25"/>
  <c r="P47" i="25"/>
  <c r="Q47" i="25"/>
  <c r="R47" i="25"/>
  <c r="S47" i="25"/>
  <c r="G48" i="25"/>
  <c r="I48" i="25"/>
  <c r="J48" i="25"/>
  <c r="K48" i="25"/>
  <c r="L48" i="25"/>
  <c r="M48" i="25"/>
  <c r="N48" i="25"/>
  <c r="O48" i="25"/>
  <c r="P48" i="25"/>
  <c r="Q48" i="25"/>
  <c r="R48" i="25"/>
  <c r="S48" i="25"/>
  <c r="E44" i="25"/>
  <c r="E45" i="25"/>
  <c r="E46" i="25"/>
  <c r="E47" i="25"/>
  <c r="E48" i="25"/>
  <c r="G39" i="25"/>
  <c r="I39" i="25"/>
  <c r="K39" i="25"/>
  <c r="M39" i="25"/>
  <c r="O39" i="25"/>
  <c r="Q39" i="25"/>
  <c r="S39" i="25"/>
  <c r="G40" i="25"/>
  <c r="I40" i="25"/>
  <c r="K40" i="25"/>
  <c r="M40" i="25"/>
  <c r="O40" i="25"/>
  <c r="Q40" i="25"/>
  <c r="S40" i="25"/>
  <c r="G41" i="25"/>
  <c r="I41" i="25"/>
  <c r="K41" i="25"/>
  <c r="M41" i="25"/>
  <c r="O41" i="25"/>
  <c r="Q41" i="25"/>
  <c r="S41" i="25"/>
  <c r="E40" i="25"/>
  <c r="E41" i="25"/>
  <c r="E39" i="25"/>
  <c r="R34" i="25"/>
  <c r="R33" i="25"/>
  <c r="P34" i="25"/>
  <c r="P33" i="25"/>
  <c r="N34" i="25"/>
  <c r="N33" i="25"/>
  <c r="L34" i="25"/>
  <c r="L33" i="25"/>
  <c r="J34" i="25"/>
  <c r="J33" i="25"/>
  <c r="H34" i="25"/>
  <c r="H33" i="25"/>
  <c r="G26" i="25"/>
  <c r="O26" i="25"/>
  <c r="S26" i="25"/>
  <c r="G27" i="25"/>
  <c r="O27" i="25"/>
  <c r="S27" i="25"/>
  <c r="G28" i="25"/>
  <c r="M28" i="25"/>
  <c r="O28" i="25"/>
  <c r="Q28" i="25"/>
  <c r="S28" i="25"/>
  <c r="G29" i="25"/>
  <c r="I29" i="25"/>
  <c r="K29" i="25"/>
  <c r="M29" i="25"/>
  <c r="O29" i="25"/>
  <c r="Q29" i="25"/>
  <c r="S29" i="25"/>
  <c r="E27" i="25"/>
  <c r="E28" i="25"/>
  <c r="E29" i="25"/>
  <c r="E26" i="25"/>
  <c r="E11" i="25"/>
  <c r="G11" i="25"/>
  <c r="I11" i="25"/>
  <c r="K11" i="25"/>
  <c r="M11" i="25"/>
  <c r="O11" i="25"/>
  <c r="E15" i="25"/>
  <c r="G15" i="25"/>
  <c r="I15" i="25"/>
  <c r="K15" i="25"/>
  <c r="M15" i="25"/>
  <c r="O15" i="25"/>
  <c r="S15" i="25"/>
  <c r="E16" i="25"/>
  <c r="G16" i="25"/>
  <c r="I16" i="25"/>
  <c r="K16" i="25"/>
  <c r="M16" i="25"/>
  <c r="O16" i="25"/>
  <c r="R16" i="25"/>
  <c r="S16" i="25"/>
  <c r="X41" i="11" l="1"/>
  <c r="X40" i="11"/>
  <c r="F83" i="7"/>
  <c r="F82" i="7"/>
  <c r="S55" i="7" l="1"/>
  <c r="S54" i="7"/>
  <c r="S53" i="7"/>
  <c r="Q55" i="7"/>
  <c r="Q54" i="7"/>
  <c r="Q53" i="7"/>
  <c r="O55" i="7"/>
  <c r="O54" i="7"/>
  <c r="O53" i="7"/>
  <c r="M55" i="7"/>
  <c r="M54" i="7"/>
  <c r="M53" i="7"/>
  <c r="K55" i="7"/>
  <c r="K54" i="7"/>
  <c r="K53" i="7"/>
  <c r="I55" i="7"/>
  <c r="I54" i="7"/>
  <c r="I53" i="7"/>
  <c r="S49" i="25" l="1"/>
  <c r="R49" i="25"/>
  <c r="Q49" i="25"/>
  <c r="Q71" i="25" s="1"/>
  <c r="P49" i="25"/>
  <c r="O49" i="25"/>
  <c r="O71" i="25" s="1"/>
  <c r="N49" i="25"/>
  <c r="M49" i="25"/>
  <c r="M70" i="25" s="1"/>
  <c r="L49" i="25"/>
  <c r="K49" i="25"/>
  <c r="K71" i="25" s="1"/>
  <c r="J49" i="25"/>
  <c r="I49" i="25"/>
  <c r="I71" i="25" s="1"/>
  <c r="G49" i="25"/>
  <c r="G71" i="25" s="1"/>
  <c r="E49" i="25"/>
  <c r="S34" i="25"/>
  <c r="Q34" i="25"/>
  <c r="O34" i="25"/>
  <c r="M34" i="25"/>
  <c r="K34" i="25"/>
  <c r="I34" i="25"/>
  <c r="S33" i="25"/>
  <c r="Q33" i="25"/>
  <c r="O33" i="25"/>
  <c r="M33" i="25"/>
  <c r="K33" i="25"/>
  <c r="I33" i="25"/>
  <c r="S30" i="25"/>
  <c r="O30" i="25"/>
  <c r="G30" i="25"/>
  <c r="E30" i="25"/>
  <c r="E71" i="25" l="1"/>
  <c r="C56" i="25"/>
  <c r="C66" i="25"/>
  <c r="C54" i="25"/>
  <c r="C61" i="25"/>
  <c r="C64" i="25"/>
  <c r="C52" i="25"/>
  <c r="C71" i="25"/>
  <c r="C55" i="25"/>
  <c r="C62" i="25"/>
  <c r="C68" i="25"/>
  <c r="C59" i="25"/>
  <c r="C70" i="25"/>
  <c r="C53" i="25"/>
  <c r="C65" i="25"/>
  <c r="C69" i="25"/>
  <c r="C57" i="25"/>
  <c r="C58" i="25"/>
  <c r="S71" i="25"/>
  <c r="U53" i="25"/>
  <c r="U57" i="25"/>
  <c r="U62" i="25"/>
  <c r="U68" i="25"/>
  <c r="U52" i="25"/>
  <c r="U56" i="25"/>
  <c r="U61" i="25"/>
  <c r="U66" i="25"/>
  <c r="U71" i="25"/>
  <c r="U55" i="25"/>
  <c r="U59" i="25"/>
  <c r="U65" i="25"/>
  <c r="U70" i="25"/>
  <c r="U54" i="25"/>
  <c r="U58" i="25"/>
  <c r="U64" i="25"/>
  <c r="U69" i="25"/>
  <c r="M52" i="25"/>
  <c r="I53" i="25"/>
  <c r="Q53" i="25"/>
  <c r="M54" i="25"/>
  <c r="I55" i="25"/>
  <c r="Q55" i="25"/>
  <c r="M56" i="25"/>
  <c r="I57" i="25"/>
  <c r="Q57" i="25"/>
  <c r="M58" i="25"/>
  <c r="I59" i="25"/>
  <c r="Q59" i="25"/>
  <c r="M61" i="25"/>
  <c r="I62" i="25"/>
  <c r="Q62" i="25"/>
  <c r="M64" i="25"/>
  <c r="I65" i="25"/>
  <c r="Q65" i="25"/>
  <c r="M66" i="25"/>
  <c r="I68" i="25"/>
  <c r="Q68" i="25"/>
  <c r="M69" i="25"/>
  <c r="I70" i="25"/>
  <c r="Q70" i="25"/>
  <c r="M71" i="25"/>
  <c r="I52" i="25"/>
  <c r="Q52" i="25"/>
  <c r="M53" i="25"/>
  <c r="I54" i="25"/>
  <c r="Q54" i="25"/>
  <c r="M55" i="25"/>
  <c r="I56" i="25"/>
  <c r="Q56" i="25"/>
  <c r="M57" i="25"/>
  <c r="I58" i="25"/>
  <c r="Q58" i="25"/>
  <c r="M59" i="25"/>
  <c r="I61" i="25"/>
  <c r="Q61" i="25"/>
  <c r="M62" i="25"/>
  <c r="I64" i="25"/>
  <c r="Q64" i="25"/>
  <c r="M65" i="25"/>
  <c r="I66" i="25"/>
  <c r="Q66" i="25"/>
  <c r="M68" i="25"/>
  <c r="I69" i="25"/>
  <c r="Q69" i="25"/>
  <c r="E53" i="25"/>
  <c r="E54" i="25"/>
  <c r="E55" i="25"/>
  <c r="E56" i="25"/>
  <c r="E58" i="25"/>
  <c r="E59" i="25"/>
  <c r="E64" i="25"/>
  <c r="E65" i="25"/>
  <c r="E70" i="25"/>
  <c r="G52" i="25"/>
  <c r="S52" i="25"/>
  <c r="G53" i="25"/>
  <c r="O53" i="25"/>
  <c r="S53" i="25"/>
  <c r="G54" i="25"/>
  <c r="S54" i="25"/>
  <c r="G55" i="25"/>
  <c r="O55" i="25"/>
  <c r="S55" i="25"/>
  <c r="G56" i="25"/>
  <c r="O56" i="25"/>
  <c r="S56" i="25"/>
  <c r="G57" i="25"/>
  <c r="O57" i="25"/>
  <c r="S57" i="25"/>
  <c r="G58" i="25"/>
  <c r="O58" i="25"/>
  <c r="S58" i="25"/>
  <c r="G59" i="25"/>
  <c r="O59" i="25"/>
  <c r="S59" i="25"/>
  <c r="G61" i="25"/>
  <c r="S61" i="25"/>
  <c r="G62" i="25"/>
  <c r="S62" i="25"/>
  <c r="G64" i="25"/>
  <c r="S64" i="25"/>
  <c r="G65" i="25"/>
  <c r="O65" i="25"/>
  <c r="S65" i="25"/>
  <c r="G66" i="25"/>
  <c r="G68" i="25"/>
  <c r="S68" i="25"/>
  <c r="G69" i="25"/>
  <c r="S69" i="25"/>
  <c r="G70" i="25"/>
  <c r="O70" i="25"/>
  <c r="S70" i="25"/>
  <c r="S38" i="23" l="1"/>
  <c r="Q38" i="23"/>
  <c r="O38" i="23"/>
  <c r="O39" i="23"/>
  <c r="O53" i="22"/>
  <c r="S39" i="21"/>
  <c r="S38" i="21"/>
  <c r="Q38" i="21"/>
  <c r="O38" i="21"/>
  <c r="O39" i="21"/>
  <c r="O39" i="20"/>
  <c r="Q37" i="19"/>
  <c r="O37" i="19"/>
  <c r="O38" i="19"/>
  <c r="O54" i="17"/>
  <c r="S39" i="15"/>
  <c r="Q39" i="15"/>
  <c r="O39" i="15"/>
  <c r="O40" i="15"/>
  <c r="S45" i="13"/>
  <c r="O41" i="11" l="1"/>
  <c r="S39" i="10"/>
  <c r="Q39" i="10"/>
  <c r="O39" i="10"/>
  <c r="M40" i="10"/>
  <c r="S37" i="6"/>
  <c r="O37" i="6"/>
  <c r="R52" i="24" l="1"/>
  <c r="W52" i="24" s="1"/>
  <c r="P52" i="24"/>
  <c r="N52" i="24"/>
  <c r="L52" i="24"/>
  <c r="J52" i="24"/>
  <c r="P68" i="22"/>
  <c r="N68" i="22"/>
  <c r="L68" i="22"/>
  <c r="J68" i="22"/>
  <c r="R54" i="21"/>
  <c r="W54" i="21" s="1"/>
  <c r="P54" i="21"/>
  <c r="N54" i="21"/>
  <c r="L54" i="21"/>
  <c r="J54" i="21"/>
  <c r="J57" i="21"/>
  <c r="J55" i="20"/>
  <c r="L55" i="20"/>
  <c r="K55" i="20"/>
  <c r="N55" i="20"/>
  <c r="P55" i="20"/>
  <c r="R55" i="20"/>
  <c r="W55" i="20" s="1"/>
  <c r="R48" i="18"/>
  <c r="W48" i="18" s="1"/>
  <c r="P48" i="18"/>
  <c r="N48" i="18"/>
  <c r="L48" i="18"/>
  <c r="J48" i="18"/>
  <c r="R70" i="17"/>
  <c r="W70" i="17" s="1"/>
  <c r="P70" i="17"/>
  <c r="N70" i="17"/>
  <c r="L70" i="17"/>
  <c r="R61" i="16"/>
  <c r="W61" i="16" s="1"/>
  <c r="P61" i="16"/>
  <c r="N61" i="16"/>
  <c r="L61" i="16"/>
  <c r="J61" i="16"/>
  <c r="J51" i="14"/>
  <c r="L51" i="14"/>
  <c r="N51" i="14"/>
  <c r="P51" i="14"/>
  <c r="R51" i="14"/>
  <c r="W51" i="14" s="1"/>
  <c r="J60" i="13"/>
  <c r="L60" i="13"/>
  <c r="N60" i="13"/>
  <c r="P60" i="13"/>
  <c r="R60" i="13"/>
  <c r="W60" i="13" s="1"/>
  <c r="R56" i="11"/>
  <c r="W56" i="11" s="1"/>
  <c r="P56" i="11"/>
  <c r="N56" i="11"/>
  <c r="L56" i="11"/>
  <c r="J56" i="11"/>
  <c r="R53" i="1"/>
  <c r="W53" i="1" s="1"/>
  <c r="P53" i="1"/>
  <c r="N53" i="1"/>
  <c r="L53" i="1"/>
  <c r="J53" i="1"/>
  <c r="J55" i="10"/>
  <c r="L55" i="10"/>
  <c r="N55" i="10"/>
  <c r="P55" i="10"/>
  <c r="R55" i="10"/>
  <c r="W55" i="10" s="1"/>
  <c r="R52" i="9"/>
  <c r="P52" i="9"/>
  <c r="N52" i="9"/>
  <c r="L52" i="9"/>
  <c r="J70" i="7"/>
  <c r="L70" i="7"/>
  <c r="N70" i="7"/>
  <c r="P70" i="7"/>
  <c r="R70" i="7"/>
  <c r="W70" i="7" s="1"/>
  <c r="R53" i="6"/>
  <c r="W53" i="6" s="1"/>
  <c r="P53" i="6"/>
  <c r="N53" i="6"/>
  <c r="L53" i="6"/>
  <c r="J53" i="6"/>
  <c r="R51" i="5"/>
  <c r="W51" i="5" s="1"/>
  <c r="P51" i="5"/>
  <c r="N51" i="5"/>
  <c r="L51" i="5"/>
  <c r="J51" i="5"/>
  <c r="J49" i="4"/>
  <c r="W52" i="9" l="1"/>
  <c r="R49" i="4"/>
  <c r="P49" i="4"/>
  <c r="N49" i="4"/>
  <c r="L49" i="4"/>
  <c r="J53" i="8" l="1"/>
  <c r="J50" i="12"/>
  <c r="J56" i="15"/>
  <c r="J53" i="19"/>
  <c r="J55" i="23"/>
  <c r="L55" i="23"/>
  <c r="L53" i="19"/>
  <c r="L56" i="15"/>
  <c r="L50" i="12"/>
  <c r="L53" i="8"/>
  <c r="N53" i="8" l="1"/>
  <c r="N50" i="12"/>
  <c r="N56" i="15"/>
  <c r="N53" i="19"/>
  <c r="N55" i="23"/>
  <c r="P55" i="23" l="1"/>
  <c r="Q55" i="23"/>
  <c r="P53" i="19"/>
  <c r="P56" i="15"/>
  <c r="P50" i="12"/>
  <c r="P53" i="8"/>
  <c r="R56" i="15"/>
  <c r="W56" i="15" s="1"/>
  <c r="R53" i="19"/>
  <c r="W53" i="19" s="1"/>
  <c r="R55" i="23"/>
  <c r="W55" i="23" s="1"/>
  <c r="R53" i="8"/>
  <c r="W53" i="8" s="1"/>
  <c r="R50" i="12"/>
  <c r="W50" i="12" s="1"/>
  <c r="G40" i="10" l="1"/>
  <c r="I40" i="10"/>
  <c r="K40" i="10"/>
  <c r="O40" i="10"/>
  <c r="Q40" i="10"/>
  <c r="S40" i="10"/>
  <c r="C54" i="17"/>
  <c r="E54" i="17"/>
  <c r="G54" i="17"/>
  <c r="I54" i="17"/>
  <c r="K54" i="17"/>
  <c r="Q54" i="17"/>
  <c r="S55" i="17"/>
  <c r="S54" i="17"/>
  <c r="I40" i="20"/>
  <c r="I39" i="20"/>
  <c r="K40" i="20"/>
  <c r="K39" i="20"/>
  <c r="M40" i="20"/>
  <c r="M39" i="20"/>
  <c r="O40" i="20"/>
  <c r="Q39" i="20"/>
  <c r="Q40" i="20"/>
  <c r="S40" i="20"/>
  <c r="S39" i="20"/>
  <c r="R90" i="17" l="1"/>
  <c r="R78" i="16"/>
  <c r="R66" i="25" s="1"/>
  <c r="S66" i="25" s="1"/>
  <c r="R53" i="12"/>
  <c r="R54" i="5"/>
  <c r="S122" i="26"/>
  <c r="X38" i="19" l="1"/>
  <c r="S47" i="23" l="1"/>
  <c r="S62" i="7"/>
  <c r="K47" i="23" l="1"/>
  <c r="E47" i="23"/>
  <c r="E62" i="7" l="1"/>
  <c r="Q55" i="17" l="1"/>
  <c r="O55" i="17"/>
  <c r="M55" i="17"/>
  <c r="K55" i="17"/>
  <c r="S44" i="13" l="1"/>
  <c r="S43" i="13"/>
  <c r="S42" i="13"/>
  <c r="Q45" i="13"/>
  <c r="Q44" i="13"/>
  <c r="Q43" i="13"/>
  <c r="Q42" i="13"/>
  <c r="O45" i="13"/>
  <c r="O44" i="13"/>
  <c r="O43" i="13"/>
  <c r="O42" i="13"/>
  <c r="M45" i="13"/>
  <c r="M44" i="13"/>
  <c r="M43" i="13"/>
  <c r="M42" i="13"/>
  <c r="K45" i="13"/>
  <c r="K44" i="13"/>
  <c r="K43" i="13"/>
  <c r="K42" i="13"/>
  <c r="I43" i="13"/>
  <c r="I42" i="13"/>
  <c r="I44" i="13"/>
  <c r="I45" i="13"/>
  <c r="C44" i="13"/>
  <c r="E44" i="13"/>
  <c r="G44" i="13"/>
  <c r="C43" i="13"/>
  <c r="E43" i="13"/>
  <c r="G43" i="13"/>
  <c r="I55" i="17" l="1"/>
  <c r="B13" i="8" l="1"/>
  <c r="R22" i="26" l="1"/>
  <c r="W22" i="26" s="1"/>
  <c r="R21" i="26"/>
  <c r="W21" i="26" s="1"/>
  <c r="R44" i="26"/>
  <c r="W44" i="26" s="1"/>
  <c r="R14" i="9"/>
  <c r="W14" i="9" s="1"/>
  <c r="R13" i="9"/>
  <c r="W13" i="9" s="1"/>
  <c r="R14" i="21"/>
  <c r="R13" i="21"/>
  <c r="R13" i="20"/>
  <c r="R13" i="19"/>
  <c r="R12" i="19"/>
  <c r="R14" i="18"/>
  <c r="R13" i="18"/>
  <c r="R25" i="17" l="1"/>
  <c r="R24" i="17"/>
  <c r="R21" i="17"/>
  <c r="R20" i="17"/>
  <c r="R14" i="17"/>
  <c r="R14" i="16"/>
  <c r="W14" i="16" s="1"/>
  <c r="R13" i="16"/>
  <c r="W13" i="16" s="1"/>
  <c r="R13" i="15"/>
  <c r="R12" i="15"/>
  <c r="R14" i="14"/>
  <c r="R13" i="14"/>
  <c r="R14" i="13"/>
  <c r="R13" i="13"/>
  <c r="R13" i="12"/>
  <c r="R12" i="12"/>
  <c r="R13" i="11"/>
  <c r="R12" i="11"/>
  <c r="R14" i="1"/>
  <c r="R13" i="1"/>
  <c r="R14" i="10"/>
  <c r="R13" i="10"/>
  <c r="R13" i="8"/>
  <c r="R12" i="8"/>
  <c r="R24" i="7"/>
  <c r="R23" i="7"/>
  <c r="R20" i="7"/>
  <c r="R19" i="7"/>
  <c r="R12" i="7"/>
  <c r="R13" i="7"/>
  <c r="R14" i="6"/>
  <c r="R13" i="6"/>
  <c r="R13" i="5"/>
  <c r="R14" i="5"/>
  <c r="R33" i="26" l="1"/>
  <c r="K144" i="26"/>
  <c r="K143" i="26"/>
  <c r="K142" i="26"/>
  <c r="K141" i="26"/>
  <c r="K139" i="26"/>
  <c r="K138" i="26"/>
  <c r="K137" i="26"/>
  <c r="K135" i="26"/>
  <c r="K134" i="26"/>
  <c r="K132" i="26"/>
  <c r="K131" i="26"/>
  <c r="K130" i="26"/>
  <c r="K129" i="26"/>
  <c r="K128" i="26"/>
  <c r="K127" i="26"/>
  <c r="K126" i="26"/>
  <c r="K125" i="26"/>
  <c r="I144" i="26"/>
  <c r="I143" i="26"/>
  <c r="I142" i="26"/>
  <c r="I141" i="26"/>
  <c r="I139" i="26"/>
  <c r="I138" i="26"/>
  <c r="I137" i="26"/>
  <c r="I135" i="26"/>
  <c r="I134" i="26"/>
  <c r="I132" i="26"/>
  <c r="I131" i="26"/>
  <c r="I130" i="26"/>
  <c r="I129" i="26"/>
  <c r="I128" i="26"/>
  <c r="I127" i="26"/>
  <c r="I126" i="26"/>
  <c r="I125" i="26"/>
  <c r="W33" i="26" l="1"/>
  <c r="R15" i="25"/>
  <c r="R23" i="26"/>
  <c r="D23" i="26"/>
  <c r="F23" i="26"/>
  <c r="H23" i="26"/>
  <c r="J23" i="26"/>
  <c r="L23" i="26"/>
  <c r="N23" i="26"/>
  <c r="P23" i="26"/>
  <c r="B23" i="26"/>
  <c r="D27" i="26"/>
  <c r="F27" i="26"/>
  <c r="H27" i="26"/>
  <c r="J27" i="26"/>
  <c r="L27" i="26"/>
  <c r="N27" i="26"/>
  <c r="P27" i="26"/>
  <c r="R27" i="26"/>
  <c r="B27" i="26"/>
  <c r="D45" i="26"/>
  <c r="F45" i="26"/>
  <c r="H45" i="26"/>
  <c r="J45" i="26"/>
  <c r="L45" i="26"/>
  <c r="N45" i="26"/>
  <c r="P45" i="26"/>
  <c r="R45" i="26"/>
  <c r="B45" i="26"/>
  <c r="D41" i="26"/>
  <c r="F41" i="26"/>
  <c r="H41" i="26"/>
  <c r="J41" i="26"/>
  <c r="L41" i="26"/>
  <c r="N41" i="26"/>
  <c r="P41" i="26"/>
  <c r="R41" i="26"/>
  <c r="W41" i="26" s="1"/>
  <c r="B41" i="26"/>
  <c r="D19" i="26"/>
  <c r="F19" i="26"/>
  <c r="H19" i="26"/>
  <c r="J19" i="26"/>
  <c r="L19" i="26"/>
  <c r="N19" i="26"/>
  <c r="P19" i="26"/>
  <c r="R19" i="26"/>
  <c r="W19" i="26" s="1"/>
  <c r="B19" i="26"/>
  <c r="W45" i="26" l="1"/>
  <c r="W27" i="26"/>
  <c r="W23" i="26"/>
  <c r="O122" i="26"/>
  <c r="M122" i="26"/>
  <c r="G122" i="26"/>
  <c r="E122" i="26"/>
  <c r="C122" i="26"/>
  <c r="R110" i="26"/>
  <c r="P110" i="26"/>
  <c r="N110" i="26"/>
  <c r="L110" i="26"/>
  <c r="J110" i="26"/>
  <c r="H110" i="26"/>
  <c r="F110" i="26"/>
  <c r="D110" i="26"/>
  <c r="B110" i="26"/>
  <c r="S105" i="26"/>
  <c r="O105" i="26"/>
  <c r="G105" i="26"/>
  <c r="E105" i="26"/>
  <c r="I103" i="26"/>
  <c r="Q102" i="26"/>
  <c r="Q27" i="25" s="1"/>
  <c r="M102" i="26"/>
  <c r="K102" i="26"/>
  <c r="I102" i="26"/>
  <c r="C102" i="26"/>
  <c r="C27" i="25" s="1"/>
  <c r="Q101" i="26"/>
  <c r="Q26" i="25" s="1"/>
  <c r="M101" i="26"/>
  <c r="K101" i="26"/>
  <c r="I101" i="26"/>
  <c r="C101" i="26"/>
  <c r="C26" i="25" s="1"/>
  <c r="C30" i="25" s="1"/>
  <c r="H79" i="26"/>
  <c r="H17" i="25" s="1"/>
  <c r="F79" i="26"/>
  <c r="F17" i="25" s="1"/>
  <c r="J78" i="26"/>
  <c r="J12" i="25" s="1"/>
  <c r="H75" i="26"/>
  <c r="H15" i="25" s="1"/>
  <c r="R77" i="26"/>
  <c r="R12" i="25" s="1"/>
  <c r="P77" i="26"/>
  <c r="P12" i="25" s="1"/>
  <c r="N77" i="26"/>
  <c r="L77" i="26"/>
  <c r="L12" i="25" s="1"/>
  <c r="F77" i="26"/>
  <c r="F12" i="25" s="1"/>
  <c r="H63" i="26"/>
  <c r="B63" i="26"/>
  <c r="B12" i="25" s="1"/>
  <c r="H47" i="26"/>
  <c r="H29" i="26"/>
  <c r="X102" i="26" l="1"/>
  <c r="M27" i="25"/>
  <c r="X122" i="26"/>
  <c r="X101" i="26"/>
  <c r="M26" i="25"/>
  <c r="M30" i="25" s="1"/>
  <c r="H12" i="25"/>
  <c r="Q30" i="25"/>
  <c r="W77" i="26"/>
  <c r="N12" i="25"/>
  <c r="C126" i="26"/>
  <c r="C128" i="26"/>
  <c r="C130" i="26"/>
  <c r="C132" i="26"/>
  <c r="C134" i="26"/>
  <c r="C136" i="26"/>
  <c r="C138" i="26"/>
  <c r="C140" i="26"/>
  <c r="C142" i="26"/>
  <c r="C144" i="26"/>
  <c r="C127" i="26"/>
  <c r="C129" i="26"/>
  <c r="C131" i="26"/>
  <c r="C133" i="26"/>
  <c r="C135" i="26"/>
  <c r="C137" i="26"/>
  <c r="C139" i="26"/>
  <c r="C141" i="26"/>
  <c r="C143" i="26"/>
  <c r="C125" i="26"/>
  <c r="G144" i="26"/>
  <c r="G142" i="26"/>
  <c r="G138" i="26"/>
  <c r="G134" i="26"/>
  <c r="G132" i="26"/>
  <c r="G130" i="26"/>
  <c r="G128" i="26"/>
  <c r="G126" i="26"/>
  <c r="G143" i="26"/>
  <c r="G141" i="26"/>
  <c r="G139" i="26"/>
  <c r="G137" i="26"/>
  <c r="G135" i="26"/>
  <c r="G129" i="26"/>
  <c r="G127" i="26"/>
  <c r="G125" i="26"/>
  <c r="E144" i="26"/>
  <c r="E142" i="26"/>
  <c r="E140" i="26"/>
  <c r="E138" i="26"/>
  <c r="E136" i="26"/>
  <c r="E134" i="26"/>
  <c r="E132" i="26"/>
  <c r="E130" i="26"/>
  <c r="E128" i="26"/>
  <c r="E126" i="26"/>
  <c r="E143" i="26"/>
  <c r="E141" i="26"/>
  <c r="E139" i="26"/>
  <c r="E137" i="26"/>
  <c r="E135" i="26"/>
  <c r="E133" i="26"/>
  <c r="E129" i="26"/>
  <c r="E127" i="26"/>
  <c r="E125" i="26"/>
  <c r="I105" i="26"/>
  <c r="M105" i="26"/>
  <c r="X105" i="26" s="1"/>
  <c r="C105" i="26"/>
  <c r="K105" i="26"/>
  <c r="Q105" i="26"/>
  <c r="Q53" i="22" l="1"/>
  <c r="M53" i="22"/>
  <c r="K53" i="22"/>
  <c r="I53" i="22"/>
  <c r="G53" i="22"/>
  <c r="E53" i="22"/>
  <c r="Q52" i="22"/>
  <c r="O52" i="22"/>
  <c r="M52" i="22"/>
  <c r="K52" i="22"/>
  <c r="I52" i="22"/>
  <c r="G52" i="22"/>
  <c r="E52" i="22"/>
  <c r="C53" i="22"/>
  <c r="C52" i="22"/>
  <c r="Q39" i="21"/>
  <c r="M39" i="21"/>
  <c r="K39" i="21"/>
  <c r="I39" i="21"/>
  <c r="E46" i="16"/>
  <c r="C46" i="16"/>
  <c r="S40" i="15"/>
  <c r="Q40" i="15"/>
  <c r="M40" i="15"/>
  <c r="K40" i="15"/>
  <c r="I40" i="15"/>
  <c r="G45" i="13" l="1"/>
  <c r="E45" i="13"/>
  <c r="G42" i="13"/>
  <c r="E42" i="13"/>
  <c r="C45" i="13"/>
  <c r="C42" i="13"/>
  <c r="S38" i="6"/>
  <c r="Q38" i="6"/>
  <c r="O38" i="6"/>
  <c r="M38" i="6"/>
  <c r="K38" i="6"/>
  <c r="I38" i="6"/>
  <c r="G38" i="6"/>
  <c r="E38" i="6"/>
  <c r="C38" i="6"/>
  <c r="X53" i="22" l="1"/>
  <c r="X55" i="17" l="1"/>
  <c r="X39" i="15"/>
  <c r="X40" i="15"/>
  <c r="X44" i="13"/>
  <c r="X40" i="10" l="1"/>
  <c r="X53" i="7"/>
  <c r="X54" i="7"/>
  <c r="X55" i="7"/>
  <c r="X38" i="6"/>
  <c r="M35" i="17" l="1"/>
  <c r="K35" i="17"/>
  <c r="G35" i="17"/>
  <c r="E35" i="17"/>
  <c r="C35" i="17"/>
  <c r="M32" i="17"/>
  <c r="K32" i="17"/>
  <c r="G32" i="17"/>
  <c r="E32" i="17"/>
  <c r="C32" i="17"/>
  <c r="N71" i="24" l="1"/>
  <c r="N67" i="24"/>
  <c r="N65" i="24"/>
  <c r="N55" i="24"/>
  <c r="J73" i="24"/>
  <c r="J72" i="24"/>
  <c r="J71" i="24"/>
  <c r="J69" i="24"/>
  <c r="J68" i="24"/>
  <c r="J67" i="24"/>
  <c r="J65" i="24"/>
  <c r="J64" i="24"/>
  <c r="J62" i="24"/>
  <c r="J61" i="24"/>
  <c r="J60" i="24"/>
  <c r="J59" i="24"/>
  <c r="J58" i="24"/>
  <c r="J57" i="24"/>
  <c r="J56" i="24"/>
  <c r="J55" i="24"/>
  <c r="D72" i="24"/>
  <c r="D69" i="24"/>
  <c r="D65" i="24"/>
  <c r="D55" i="24"/>
  <c r="D52" i="25" s="1"/>
  <c r="E52" i="25" s="1"/>
  <c r="K35" i="24"/>
  <c r="N74" i="23"/>
  <c r="N70" i="23"/>
  <c r="N67" i="23"/>
  <c r="N58" i="23"/>
  <c r="J77" i="23"/>
  <c r="J76" i="23"/>
  <c r="J75" i="23"/>
  <c r="J74" i="23"/>
  <c r="J72" i="23"/>
  <c r="J71" i="23"/>
  <c r="J70" i="23"/>
  <c r="J68" i="23"/>
  <c r="J67" i="23"/>
  <c r="J65" i="23"/>
  <c r="J64" i="23"/>
  <c r="J63" i="23"/>
  <c r="J62" i="23"/>
  <c r="J61" i="23"/>
  <c r="J60" i="23"/>
  <c r="J59" i="23"/>
  <c r="J58" i="23"/>
  <c r="D74" i="23"/>
  <c r="D72" i="23"/>
  <c r="D70" i="23"/>
  <c r="D67" i="23"/>
  <c r="D58" i="23"/>
  <c r="B58" i="23"/>
  <c r="N88" i="22"/>
  <c r="N87" i="22"/>
  <c r="N81" i="22"/>
  <c r="N80" i="22"/>
  <c r="N73" i="22"/>
  <c r="N71" i="22"/>
  <c r="J90" i="22"/>
  <c r="J89" i="22"/>
  <c r="J88" i="22"/>
  <c r="J87" i="22"/>
  <c r="J85" i="22"/>
  <c r="J84" i="22"/>
  <c r="J83" i="22"/>
  <c r="J81" i="22"/>
  <c r="J80" i="22"/>
  <c r="J78" i="22"/>
  <c r="J77" i="22"/>
  <c r="J76" i="22"/>
  <c r="J75" i="22"/>
  <c r="J74" i="22"/>
  <c r="J73" i="22"/>
  <c r="J72" i="22"/>
  <c r="J71" i="22"/>
  <c r="D88" i="22"/>
  <c r="D87" i="22"/>
  <c r="D85" i="22"/>
  <c r="D83" i="22"/>
  <c r="D81" i="22"/>
  <c r="D80" i="22"/>
  <c r="D71" i="22"/>
  <c r="E43" i="22"/>
  <c r="E42" i="22"/>
  <c r="E41" i="22"/>
  <c r="C16" i="22"/>
  <c r="P25" i="22"/>
  <c r="N25" i="22"/>
  <c r="L25" i="22"/>
  <c r="J25" i="22"/>
  <c r="H25" i="22"/>
  <c r="F25" i="22"/>
  <c r="D25" i="22"/>
  <c r="B25" i="22"/>
  <c r="P21" i="22"/>
  <c r="N21" i="22"/>
  <c r="L21" i="22"/>
  <c r="J21" i="22"/>
  <c r="H21" i="22"/>
  <c r="F21" i="22"/>
  <c r="D21" i="22"/>
  <c r="B21" i="22"/>
  <c r="N73" i="21"/>
  <c r="N71" i="21"/>
  <c r="N69" i="21"/>
  <c r="N67" i="21"/>
  <c r="N66" i="21"/>
  <c r="N57" i="21"/>
  <c r="J74" i="21"/>
  <c r="J73" i="21"/>
  <c r="J71" i="21"/>
  <c r="J70" i="21"/>
  <c r="J69" i="21"/>
  <c r="J67" i="21"/>
  <c r="J66" i="21"/>
  <c r="J64" i="21"/>
  <c r="J63" i="21"/>
  <c r="J62" i="21"/>
  <c r="J61" i="21"/>
  <c r="J60" i="21"/>
  <c r="J59" i="21"/>
  <c r="J58" i="21"/>
  <c r="D73" i="21"/>
  <c r="D71" i="21"/>
  <c r="D69" i="21"/>
  <c r="D67" i="21"/>
  <c r="D66" i="21"/>
  <c r="D57" i="21"/>
  <c r="C16" i="21"/>
  <c r="X39" i="21"/>
  <c r="J65" i="20"/>
  <c r="J64" i="20"/>
  <c r="J63" i="20"/>
  <c r="J62" i="20"/>
  <c r="J61" i="20"/>
  <c r="J60" i="20"/>
  <c r="J59" i="20"/>
  <c r="J58" i="20"/>
  <c r="D74" i="20"/>
  <c r="D72" i="20"/>
  <c r="D67" i="20"/>
  <c r="D58" i="20"/>
  <c r="C17" i="20"/>
  <c r="X40" i="20"/>
  <c r="N72" i="19"/>
  <c r="N68" i="19"/>
  <c r="N65" i="19"/>
  <c r="N61" i="19"/>
  <c r="N56" i="19"/>
  <c r="J75" i="19"/>
  <c r="J74" i="19"/>
  <c r="J73" i="19"/>
  <c r="J72" i="19"/>
  <c r="J70" i="19"/>
  <c r="J69" i="19"/>
  <c r="J68" i="19"/>
  <c r="J66" i="19"/>
  <c r="J65" i="19"/>
  <c r="J62" i="19"/>
  <c r="J61" i="19"/>
  <c r="J60" i="19"/>
  <c r="J59" i="19"/>
  <c r="J58" i="19"/>
  <c r="J57" i="19"/>
  <c r="J56" i="19"/>
  <c r="D72" i="19"/>
  <c r="D68" i="19"/>
  <c r="D65" i="19"/>
  <c r="D56" i="19"/>
  <c r="E48" i="19"/>
  <c r="N67" i="18"/>
  <c r="N63" i="18"/>
  <c r="N60" i="18"/>
  <c r="N51" i="18"/>
  <c r="J70" i="18"/>
  <c r="J69" i="18"/>
  <c r="J68" i="18"/>
  <c r="J67" i="18"/>
  <c r="J65" i="18"/>
  <c r="J64" i="18"/>
  <c r="J63" i="18"/>
  <c r="J61" i="18"/>
  <c r="J60" i="18"/>
  <c r="J58" i="18"/>
  <c r="J57" i="18"/>
  <c r="J56" i="18"/>
  <c r="J55" i="18"/>
  <c r="J54" i="18"/>
  <c r="J53" i="18"/>
  <c r="J52" i="18"/>
  <c r="J51" i="18"/>
  <c r="N91" i="17"/>
  <c r="N90" i="17"/>
  <c r="N89" i="17"/>
  <c r="N83" i="17"/>
  <c r="N82" i="17"/>
  <c r="N73" i="17"/>
  <c r="K45" i="17"/>
  <c r="I45" i="17"/>
  <c r="G45" i="17"/>
  <c r="E45" i="17"/>
  <c r="C45" i="17"/>
  <c r="K44" i="17"/>
  <c r="I44" i="17"/>
  <c r="G44" i="17"/>
  <c r="E44" i="17"/>
  <c r="C44" i="17"/>
  <c r="K43" i="17"/>
  <c r="I43" i="17"/>
  <c r="G43" i="17"/>
  <c r="E43" i="17"/>
  <c r="C43" i="17"/>
  <c r="L18" i="17"/>
  <c r="M54" i="17" s="1"/>
  <c r="H16" i="17"/>
  <c r="R26" i="17"/>
  <c r="W26" i="17" s="1"/>
  <c r="P26" i="17"/>
  <c r="N26" i="17"/>
  <c r="L26" i="17"/>
  <c r="J26" i="17"/>
  <c r="H26" i="17"/>
  <c r="F26" i="17"/>
  <c r="D26" i="17"/>
  <c r="B26" i="17"/>
  <c r="R22" i="17"/>
  <c r="W22" i="17" s="1"/>
  <c r="P22" i="17"/>
  <c r="N22" i="17"/>
  <c r="L22" i="17"/>
  <c r="J22" i="17"/>
  <c r="H22" i="17"/>
  <c r="F22" i="17"/>
  <c r="D22" i="17"/>
  <c r="B22" i="17"/>
  <c r="N81" i="16"/>
  <c r="N80" i="16"/>
  <c r="W80" i="16" s="1"/>
  <c r="N78" i="16"/>
  <c r="N76" i="16"/>
  <c r="W76" i="16" s="1"/>
  <c r="N74" i="16"/>
  <c r="W74" i="16" s="1"/>
  <c r="N73" i="16"/>
  <c r="N66" i="16"/>
  <c r="N64" i="16"/>
  <c r="W64" i="16" s="1"/>
  <c r="J82" i="16"/>
  <c r="J81" i="16"/>
  <c r="J80" i="16"/>
  <c r="J78" i="16"/>
  <c r="J77" i="16"/>
  <c r="J76" i="16"/>
  <c r="J74" i="16"/>
  <c r="J73" i="16"/>
  <c r="J71" i="16"/>
  <c r="J70" i="16"/>
  <c r="J69" i="16"/>
  <c r="J68" i="16"/>
  <c r="J67" i="16"/>
  <c r="J66" i="16"/>
  <c r="J65" i="16"/>
  <c r="J64" i="16"/>
  <c r="D81" i="16"/>
  <c r="D80" i="16"/>
  <c r="D68" i="25" s="1"/>
  <c r="E68" i="25" s="1"/>
  <c r="D78" i="16"/>
  <c r="D74" i="16"/>
  <c r="D73" i="16"/>
  <c r="D61" i="25" s="1"/>
  <c r="E61" i="25" s="1"/>
  <c r="D69" i="16"/>
  <c r="D57" i="25" s="1"/>
  <c r="E57" i="25" s="1"/>
  <c r="D64" i="16"/>
  <c r="B64" i="16"/>
  <c r="H24" i="16"/>
  <c r="H14" i="25" s="1"/>
  <c r="L18" i="16"/>
  <c r="N59" i="15"/>
  <c r="N68" i="15"/>
  <c r="N71" i="15"/>
  <c r="N73" i="15"/>
  <c r="N75" i="15"/>
  <c r="J76" i="15"/>
  <c r="J75" i="15"/>
  <c r="J73" i="15"/>
  <c r="J72" i="15"/>
  <c r="J71" i="15"/>
  <c r="J69" i="15"/>
  <c r="J68" i="15"/>
  <c r="J66" i="15"/>
  <c r="J65" i="15"/>
  <c r="J64" i="15"/>
  <c r="J63" i="15"/>
  <c r="J62" i="15"/>
  <c r="J61" i="15"/>
  <c r="J60" i="15"/>
  <c r="J59" i="15"/>
  <c r="D73" i="15"/>
  <c r="D68" i="15"/>
  <c r="D59" i="15"/>
  <c r="B59" i="15"/>
  <c r="N71" i="14"/>
  <c r="N68" i="14"/>
  <c r="N64" i="14"/>
  <c r="N63" i="14"/>
  <c r="N54" i="14"/>
  <c r="D71" i="14"/>
  <c r="D70" i="14"/>
  <c r="D68" i="14"/>
  <c r="D64" i="14"/>
  <c r="D63" i="14"/>
  <c r="D55" i="14"/>
  <c r="D54" i="14"/>
  <c r="B55" i="14"/>
  <c r="B54" i="14"/>
  <c r="L17" i="14"/>
  <c r="N79" i="13"/>
  <c r="N77" i="13"/>
  <c r="N73" i="13"/>
  <c r="N72" i="13"/>
  <c r="N63" i="13"/>
  <c r="J82" i="13"/>
  <c r="J81" i="13"/>
  <c r="J80" i="13"/>
  <c r="J79" i="13"/>
  <c r="J77" i="13"/>
  <c r="J76" i="13"/>
  <c r="J75" i="13"/>
  <c r="J73" i="13"/>
  <c r="J72" i="13"/>
  <c r="J70" i="13"/>
  <c r="J69" i="13"/>
  <c r="J68" i="13"/>
  <c r="J67" i="13"/>
  <c r="J66" i="13"/>
  <c r="J65" i="13"/>
  <c r="J64" i="13"/>
  <c r="J63" i="13"/>
  <c r="D80" i="13"/>
  <c r="D79" i="13"/>
  <c r="D77" i="13"/>
  <c r="D75" i="13"/>
  <c r="D73" i="13"/>
  <c r="D72" i="13"/>
  <c r="D63" i="13"/>
  <c r="B63" i="13"/>
  <c r="K56" i="13"/>
  <c r="K55" i="13"/>
  <c r="C17" i="13"/>
  <c r="X45" i="13"/>
  <c r="X43" i="13"/>
  <c r="N69" i="12"/>
  <c r="N67" i="12"/>
  <c r="N65" i="12"/>
  <c r="N62" i="12"/>
  <c r="N53" i="12"/>
  <c r="J72" i="12"/>
  <c r="J71" i="12"/>
  <c r="J70" i="12"/>
  <c r="J69" i="12"/>
  <c r="J67" i="12"/>
  <c r="J66" i="12"/>
  <c r="J65" i="12"/>
  <c r="J63" i="12"/>
  <c r="J62" i="12"/>
  <c r="J60" i="12"/>
  <c r="J59" i="12"/>
  <c r="J58" i="12"/>
  <c r="J57" i="12"/>
  <c r="J56" i="12"/>
  <c r="J55" i="12"/>
  <c r="J54" i="12"/>
  <c r="J53" i="12"/>
  <c r="D69" i="12"/>
  <c r="D67" i="12"/>
  <c r="D62" i="12"/>
  <c r="D53" i="12"/>
  <c r="J14" i="12"/>
  <c r="J78" i="11"/>
  <c r="J77" i="11"/>
  <c r="J76" i="11"/>
  <c r="J75" i="11"/>
  <c r="J73" i="11"/>
  <c r="J72" i="11"/>
  <c r="J71" i="11"/>
  <c r="J69" i="11"/>
  <c r="J68" i="11"/>
  <c r="J66" i="11"/>
  <c r="J65" i="11"/>
  <c r="J64" i="11"/>
  <c r="J63" i="11"/>
  <c r="J62" i="11"/>
  <c r="J61" i="11"/>
  <c r="J60" i="11"/>
  <c r="J59" i="11"/>
  <c r="L15" i="11"/>
  <c r="D62" i="25" l="1"/>
  <c r="E62" i="25" s="1"/>
  <c r="D66" i="25"/>
  <c r="E66" i="25" s="1"/>
  <c r="J58" i="25"/>
  <c r="K58" i="25" s="1"/>
  <c r="J69" i="25"/>
  <c r="K69" i="25" s="1"/>
  <c r="W81" i="16"/>
  <c r="D69" i="25"/>
  <c r="E69" i="25" s="1"/>
  <c r="J59" i="25"/>
  <c r="K59" i="25" s="1"/>
  <c r="J70" i="25"/>
  <c r="K70" i="25" s="1"/>
  <c r="J56" i="25"/>
  <c r="K56" i="25" s="1"/>
  <c r="W78" i="16"/>
  <c r="J68" i="25"/>
  <c r="K68" i="25" s="1"/>
  <c r="N52" i="25"/>
  <c r="O52" i="25" s="1"/>
  <c r="W66" i="16"/>
  <c r="N54" i="25"/>
  <c r="O54" i="25" s="1"/>
  <c r="W73" i="16"/>
  <c r="J54" i="25"/>
  <c r="K54" i="25" s="1"/>
  <c r="J64" i="25"/>
  <c r="K64" i="25" s="1"/>
  <c r="J66" i="25"/>
  <c r="K66" i="25" s="1"/>
  <c r="J57" i="25"/>
  <c r="K57" i="25" s="1"/>
  <c r="W18" i="16"/>
  <c r="L14" i="25"/>
  <c r="J52" i="25"/>
  <c r="K52" i="25" s="1"/>
  <c r="J61" i="25"/>
  <c r="K61" i="25" s="1"/>
  <c r="J53" i="25"/>
  <c r="K53" i="25" s="1"/>
  <c r="J62" i="25"/>
  <c r="K62" i="25" s="1"/>
  <c r="J55" i="25"/>
  <c r="K55" i="25" s="1"/>
  <c r="J65" i="25"/>
  <c r="K65" i="25" s="1"/>
  <c r="J75" i="1"/>
  <c r="J74" i="1"/>
  <c r="D74" i="1"/>
  <c r="N73" i="1"/>
  <c r="J73" i="1"/>
  <c r="D73" i="1"/>
  <c r="N72" i="1"/>
  <c r="J72" i="1"/>
  <c r="D72" i="1"/>
  <c r="N70" i="1"/>
  <c r="J70" i="1"/>
  <c r="D70" i="1"/>
  <c r="J69" i="1"/>
  <c r="N68" i="1"/>
  <c r="J68" i="1"/>
  <c r="D68" i="1"/>
  <c r="N66" i="1"/>
  <c r="J66" i="1"/>
  <c r="D66" i="1"/>
  <c r="N65" i="1"/>
  <c r="J65" i="1"/>
  <c r="D65" i="1"/>
  <c r="J63" i="1"/>
  <c r="J62" i="1"/>
  <c r="J61" i="1"/>
  <c r="J60" i="1"/>
  <c r="J58" i="1"/>
  <c r="J57" i="1"/>
  <c r="N56" i="1"/>
  <c r="J56" i="1"/>
  <c r="D56" i="1"/>
  <c r="B56" i="1"/>
  <c r="S53" i="1"/>
  <c r="X53" i="1" s="1"/>
  <c r="Q53" i="1"/>
  <c r="Q73" i="1" s="1"/>
  <c r="O53" i="1"/>
  <c r="O75" i="1" s="1"/>
  <c r="M53" i="1"/>
  <c r="M73" i="1" s="1"/>
  <c r="K53" i="1"/>
  <c r="K59" i="1" s="1"/>
  <c r="I53" i="1"/>
  <c r="I75" i="1" s="1"/>
  <c r="G53" i="1"/>
  <c r="G69" i="1" s="1"/>
  <c r="E53" i="1"/>
  <c r="E63" i="1" s="1"/>
  <c r="C48" i="1"/>
  <c r="C53" i="1" s="1"/>
  <c r="R36" i="1"/>
  <c r="P36" i="1"/>
  <c r="N36" i="1"/>
  <c r="L36" i="1"/>
  <c r="J36" i="1"/>
  <c r="H36" i="1"/>
  <c r="F36" i="1"/>
  <c r="D36" i="1"/>
  <c r="B36" i="1"/>
  <c r="S31" i="1"/>
  <c r="X31" i="1" s="1"/>
  <c r="Q31" i="1"/>
  <c r="O31" i="1"/>
  <c r="M31" i="1"/>
  <c r="K31" i="1"/>
  <c r="I31" i="1"/>
  <c r="G31" i="1"/>
  <c r="E31" i="1"/>
  <c r="C31" i="1"/>
  <c r="S38" i="1"/>
  <c r="Q38" i="1"/>
  <c r="O38" i="1"/>
  <c r="K38" i="1"/>
  <c r="I38" i="1"/>
  <c r="G38" i="1"/>
  <c r="E38" i="1"/>
  <c r="C38" i="1"/>
  <c r="L17" i="1"/>
  <c r="L16" i="1"/>
  <c r="R15" i="1"/>
  <c r="P15" i="1"/>
  <c r="N15" i="1"/>
  <c r="L15" i="1"/>
  <c r="J15" i="1"/>
  <c r="H15" i="1"/>
  <c r="F15" i="1"/>
  <c r="D15" i="1"/>
  <c r="B15" i="1"/>
  <c r="D15" i="17"/>
  <c r="F15" i="17"/>
  <c r="H15" i="17"/>
  <c r="J15" i="17"/>
  <c r="W15" i="1" l="1"/>
  <c r="S72" i="1"/>
  <c r="X72" i="1" s="1"/>
  <c r="M38" i="1"/>
  <c r="X38" i="1"/>
  <c r="E72" i="1"/>
  <c r="E74" i="1"/>
  <c r="K57" i="1"/>
  <c r="S58" i="1"/>
  <c r="X58" i="1" s="1"/>
  <c r="K65" i="1"/>
  <c r="K68" i="1"/>
  <c r="K75" i="1"/>
  <c r="K56" i="1"/>
  <c r="S57" i="1"/>
  <c r="X57" i="1" s="1"/>
  <c r="K58" i="1"/>
  <c r="K61" i="1"/>
  <c r="K63" i="1"/>
  <c r="K66" i="1"/>
  <c r="E68" i="1"/>
  <c r="O70" i="1"/>
  <c r="K72" i="1"/>
  <c r="O73" i="1"/>
  <c r="K74" i="1"/>
  <c r="E57" i="1"/>
  <c r="E58" i="1"/>
  <c r="E59" i="1"/>
  <c r="M60" i="1"/>
  <c r="M62" i="1"/>
  <c r="E65" i="1"/>
  <c r="E66" i="1"/>
  <c r="M68" i="1"/>
  <c r="Q68" i="1"/>
  <c r="Q69" i="1"/>
  <c r="I70" i="1"/>
  <c r="M72" i="1"/>
  <c r="Q72" i="1"/>
  <c r="I73" i="1"/>
  <c r="M74" i="1"/>
  <c r="M75" i="1"/>
  <c r="E56" i="1"/>
  <c r="M56" i="1"/>
  <c r="S56" i="1"/>
  <c r="X56" i="1" s="1"/>
  <c r="M57" i="1"/>
  <c r="M58" i="1"/>
  <c r="M59" i="1"/>
  <c r="K60" i="1"/>
  <c r="M61" i="1"/>
  <c r="K62" i="1"/>
  <c r="M63" i="1"/>
  <c r="M65" i="1"/>
  <c r="Q65" i="1"/>
  <c r="I66" i="1"/>
  <c r="O66" i="1"/>
  <c r="E69" i="1"/>
  <c r="M69" i="1"/>
  <c r="E70" i="1"/>
  <c r="K70" i="1"/>
  <c r="E73" i="1"/>
  <c r="K73" i="1"/>
  <c r="S74" i="1"/>
  <c r="X74" i="1" s="1"/>
  <c r="E75" i="1"/>
  <c r="S75" i="1"/>
  <c r="X75" i="1" s="1"/>
  <c r="C74" i="1"/>
  <c r="C72" i="1"/>
  <c r="C68" i="1"/>
  <c r="C65" i="1"/>
  <c r="C63" i="1"/>
  <c r="C60" i="1"/>
  <c r="C66" i="1"/>
  <c r="C73" i="1"/>
  <c r="C70" i="1"/>
  <c r="C75" i="1"/>
  <c r="C59" i="1"/>
  <c r="C58" i="1"/>
  <c r="C57" i="1"/>
  <c r="C62" i="1"/>
  <c r="C61" i="1"/>
  <c r="C69" i="1"/>
  <c r="C56" i="1"/>
  <c r="G60" i="1"/>
  <c r="G63" i="1"/>
  <c r="O56" i="1"/>
  <c r="I57" i="1"/>
  <c r="Q59" i="1"/>
  <c r="Q61" i="1"/>
  <c r="Q62" i="1"/>
  <c r="Q63" i="1"/>
  <c r="I65" i="1"/>
  <c r="Q56" i="1"/>
  <c r="Q57" i="1"/>
  <c r="Q58" i="1"/>
  <c r="S59" i="1"/>
  <c r="X59" i="1" s="1"/>
  <c r="E60" i="1"/>
  <c r="S60" i="1"/>
  <c r="X60" i="1" s="1"/>
  <c r="E61" i="1"/>
  <c r="S61" i="1"/>
  <c r="X61" i="1" s="1"/>
  <c r="S62" i="1"/>
  <c r="X62" i="1" s="1"/>
  <c r="S63" i="1"/>
  <c r="X63" i="1" s="1"/>
  <c r="O65" i="1"/>
  <c r="G66" i="1"/>
  <c r="M66" i="1"/>
  <c r="S66" i="1"/>
  <c r="X66" i="1" s="1"/>
  <c r="O68" i="1"/>
  <c r="I69" i="1"/>
  <c r="O69" i="1"/>
  <c r="G70" i="1"/>
  <c r="M70" i="1"/>
  <c r="S70" i="1"/>
  <c r="X70" i="1" s="1"/>
  <c r="O72" i="1"/>
  <c r="G73" i="1"/>
  <c r="S73" i="1"/>
  <c r="X73" i="1" s="1"/>
  <c r="Q74" i="1"/>
  <c r="Q75" i="1"/>
  <c r="I56" i="1"/>
  <c r="G57" i="1"/>
  <c r="G58" i="1"/>
  <c r="G59" i="1"/>
  <c r="O59" i="1"/>
  <c r="I60" i="1"/>
  <c r="O60" i="1"/>
  <c r="I61" i="1"/>
  <c r="O61" i="1"/>
  <c r="I62" i="1"/>
  <c r="O62" i="1"/>
  <c r="I63" i="1"/>
  <c r="O63" i="1"/>
  <c r="G65" i="1"/>
  <c r="S65" i="1"/>
  <c r="X65" i="1" s="1"/>
  <c r="G68" i="1"/>
  <c r="S68" i="1"/>
  <c r="X68" i="1" s="1"/>
  <c r="K69" i="1"/>
  <c r="S69" i="1"/>
  <c r="X69" i="1" s="1"/>
  <c r="G72" i="1"/>
  <c r="G74" i="1"/>
  <c r="G75" i="1"/>
  <c r="G56" i="1"/>
  <c r="G61" i="1"/>
  <c r="O57" i="1"/>
  <c r="I58" i="1"/>
  <c r="O58" i="1"/>
  <c r="I59" i="1"/>
  <c r="Q60" i="1"/>
  <c r="Q66" i="1"/>
  <c r="I68" i="1"/>
  <c r="Q70" i="1"/>
  <c r="I72" i="1"/>
  <c r="I74" i="1"/>
  <c r="O74" i="1"/>
  <c r="N74" i="10" l="1"/>
  <c r="N70" i="10"/>
  <c r="N67" i="10"/>
  <c r="N58" i="10"/>
  <c r="J77" i="10"/>
  <c r="J76" i="10"/>
  <c r="J75" i="10"/>
  <c r="J74" i="10"/>
  <c r="J72" i="10"/>
  <c r="J71" i="10"/>
  <c r="J70" i="10"/>
  <c r="J68" i="10"/>
  <c r="J67" i="10"/>
  <c r="J65" i="10"/>
  <c r="J64" i="10"/>
  <c r="J63" i="10"/>
  <c r="J62" i="10"/>
  <c r="J61" i="10"/>
  <c r="J60" i="10"/>
  <c r="J59" i="10"/>
  <c r="J58" i="10"/>
  <c r="D74" i="10"/>
  <c r="D70" i="10"/>
  <c r="D67" i="10"/>
  <c r="D62" i="10"/>
  <c r="D58" i="10"/>
  <c r="B62" i="10"/>
  <c r="B59" i="10"/>
  <c r="B58" i="10"/>
  <c r="D18" i="10"/>
  <c r="C18" i="10"/>
  <c r="J15" i="10"/>
  <c r="N72" i="9" l="1"/>
  <c r="N71" i="9"/>
  <c r="N69" i="9"/>
  <c r="N67" i="9"/>
  <c r="N65" i="9"/>
  <c r="N64" i="9"/>
  <c r="C52" i="9"/>
  <c r="E52" i="9"/>
  <c r="G52" i="9"/>
  <c r="I52" i="9"/>
  <c r="K52" i="9"/>
  <c r="M52" i="9"/>
  <c r="O52" i="9"/>
  <c r="Q52" i="9"/>
  <c r="P35" i="9"/>
  <c r="N35" i="9"/>
  <c r="L35" i="9"/>
  <c r="K28" i="9"/>
  <c r="I28" i="9"/>
  <c r="I28" i="25" s="1"/>
  <c r="K27" i="9"/>
  <c r="I27" i="9"/>
  <c r="I27" i="25" s="1"/>
  <c r="K26" i="9"/>
  <c r="I26" i="9"/>
  <c r="I26" i="25" s="1"/>
  <c r="C21" i="8"/>
  <c r="C20" i="8"/>
  <c r="L13" i="8"/>
  <c r="L12" i="8"/>
  <c r="J13" i="8"/>
  <c r="J12" i="8"/>
  <c r="B12" i="8"/>
  <c r="I30" i="25" l="1"/>
  <c r="W65" i="9"/>
  <c r="N62" i="25"/>
  <c r="O62" i="25" s="1"/>
  <c r="X26" i="9"/>
  <c r="K26" i="25"/>
  <c r="W64" i="9"/>
  <c r="N61" i="25"/>
  <c r="O61" i="25" s="1"/>
  <c r="X27" i="9"/>
  <c r="K27" i="25"/>
  <c r="W67" i="9"/>
  <c r="N64" i="25"/>
  <c r="O64" i="25" s="1"/>
  <c r="W69" i="9"/>
  <c r="N66" i="25"/>
  <c r="O66" i="25" s="1"/>
  <c r="X28" i="9"/>
  <c r="K28" i="25"/>
  <c r="W71" i="9"/>
  <c r="N68" i="25"/>
  <c r="O68" i="25" s="1"/>
  <c r="W72" i="9"/>
  <c r="N69" i="25"/>
  <c r="O69" i="25" s="1"/>
  <c r="J74" i="8"/>
  <c r="J73" i="8"/>
  <c r="J72" i="8"/>
  <c r="J70" i="8"/>
  <c r="J69" i="8"/>
  <c r="J68" i="8"/>
  <c r="J66" i="8"/>
  <c r="J65" i="8"/>
  <c r="J63" i="8"/>
  <c r="J62" i="8"/>
  <c r="J61" i="8"/>
  <c r="J60" i="8"/>
  <c r="J59" i="8"/>
  <c r="J58" i="8"/>
  <c r="J57" i="8"/>
  <c r="J56" i="8"/>
  <c r="D72" i="8"/>
  <c r="D70" i="8"/>
  <c r="D66" i="8"/>
  <c r="D60" i="8"/>
  <c r="B61" i="8"/>
  <c r="B60" i="8"/>
  <c r="B56" i="8"/>
  <c r="L24" i="7"/>
  <c r="L23" i="7"/>
  <c r="J24" i="7"/>
  <c r="J23" i="7"/>
  <c r="F23" i="7"/>
  <c r="B24" i="7"/>
  <c r="B23" i="7"/>
  <c r="L20" i="7"/>
  <c r="L19" i="7"/>
  <c r="J20" i="7"/>
  <c r="J19" i="7"/>
  <c r="B20" i="7"/>
  <c r="B19" i="7"/>
  <c r="P13" i="7"/>
  <c r="P12" i="7"/>
  <c r="N13" i="7"/>
  <c r="L13" i="7"/>
  <c r="L12" i="7"/>
  <c r="J13" i="7"/>
  <c r="J12" i="7"/>
  <c r="B13" i="7"/>
  <c r="B12" i="7"/>
  <c r="K30" i="25" l="1"/>
  <c r="R25" i="7"/>
  <c r="P25" i="7"/>
  <c r="N25" i="7"/>
  <c r="L25" i="7"/>
  <c r="J25" i="7"/>
  <c r="H25" i="7"/>
  <c r="F25" i="7"/>
  <c r="D25" i="7"/>
  <c r="B25" i="7"/>
  <c r="R21" i="7"/>
  <c r="P21" i="7"/>
  <c r="N21" i="7"/>
  <c r="L21" i="7"/>
  <c r="J21" i="7"/>
  <c r="H21" i="7"/>
  <c r="F21" i="7"/>
  <c r="D21" i="7"/>
  <c r="B21" i="7"/>
  <c r="N90" i="7"/>
  <c r="N89" i="7"/>
  <c r="N87" i="7"/>
  <c r="N85" i="7"/>
  <c r="N83" i="7"/>
  <c r="N82" i="7"/>
  <c r="N73" i="7"/>
  <c r="L90" i="7"/>
  <c r="L89" i="7"/>
  <c r="L85" i="7"/>
  <c r="L83" i="7"/>
  <c r="L82" i="7"/>
  <c r="L77" i="7"/>
  <c r="L73" i="7"/>
  <c r="J90" i="7"/>
  <c r="J89" i="7"/>
  <c r="J87" i="7"/>
  <c r="J86" i="7"/>
  <c r="J85" i="7"/>
  <c r="J83" i="7"/>
  <c r="J82" i="7"/>
  <c r="J80" i="7"/>
  <c r="J79" i="7"/>
  <c r="J78" i="7"/>
  <c r="J77" i="7"/>
  <c r="J76" i="7"/>
  <c r="J75" i="7"/>
  <c r="J74" i="7"/>
  <c r="J73" i="7"/>
  <c r="D90" i="7"/>
  <c r="D89" i="7"/>
  <c r="D87" i="7"/>
  <c r="D85" i="7"/>
  <c r="D83" i="7"/>
  <c r="D82" i="7"/>
  <c r="D78" i="7"/>
  <c r="D77" i="7"/>
  <c r="D75" i="7"/>
  <c r="D73" i="7"/>
  <c r="B78" i="7"/>
  <c r="B77" i="7"/>
  <c r="B75" i="7"/>
  <c r="B73" i="7"/>
  <c r="N15" i="6"/>
  <c r="L14" i="6"/>
  <c r="L13" i="6"/>
  <c r="J14" i="6"/>
  <c r="J13" i="6"/>
  <c r="W21" i="7" l="1"/>
  <c r="W25" i="7"/>
  <c r="J75" i="6"/>
  <c r="J74" i="6"/>
  <c r="J73" i="6"/>
  <c r="J72" i="6"/>
  <c r="J70" i="6"/>
  <c r="J69" i="6"/>
  <c r="J68" i="6"/>
  <c r="J66" i="6"/>
  <c r="J65" i="6"/>
  <c r="J63" i="6"/>
  <c r="J62" i="6"/>
  <c r="J61" i="6"/>
  <c r="J60" i="6"/>
  <c r="J59" i="6"/>
  <c r="J58" i="6"/>
  <c r="J57" i="6"/>
  <c r="J56" i="6"/>
  <c r="D72" i="6"/>
  <c r="D70" i="6"/>
  <c r="D69" i="6"/>
  <c r="D68" i="6"/>
  <c r="D66" i="6"/>
  <c r="D65" i="6"/>
  <c r="D60" i="6"/>
  <c r="D56" i="6"/>
  <c r="C21" i="5"/>
  <c r="C20" i="5"/>
  <c r="N71" i="5"/>
  <c r="N64" i="5"/>
  <c r="N63" i="5"/>
  <c r="N54" i="5"/>
  <c r="J71" i="5"/>
  <c r="J70" i="5"/>
  <c r="J68" i="5"/>
  <c r="J66" i="5"/>
  <c r="J64" i="5"/>
  <c r="J63" i="5"/>
  <c r="J58" i="5"/>
  <c r="J54" i="5"/>
  <c r="D71" i="5"/>
  <c r="D68" i="5"/>
  <c r="D66" i="5"/>
  <c r="D63" i="5"/>
  <c r="D54" i="5"/>
  <c r="G51" i="5"/>
  <c r="P34" i="4" l="1"/>
  <c r="N34" i="4"/>
  <c r="L34" i="4"/>
  <c r="K32" i="4"/>
  <c r="S52" i="24" l="1"/>
  <c r="Q52" i="24"/>
  <c r="Q72" i="24" s="1"/>
  <c r="O52" i="24"/>
  <c r="O74" i="24" s="1"/>
  <c r="M52" i="24"/>
  <c r="M73" i="24" s="1"/>
  <c r="K52" i="24"/>
  <c r="K72" i="24" s="1"/>
  <c r="I52" i="24"/>
  <c r="I72" i="24" s="1"/>
  <c r="G52" i="24"/>
  <c r="G74" i="24" s="1"/>
  <c r="E52" i="24"/>
  <c r="E73" i="24" s="1"/>
  <c r="C52" i="24"/>
  <c r="C72" i="24" s="1"/>
  <c r="R37" i="24"/>
  <c r="P37" i="24"/>
  <c r="N37" i="24"/>
  <c r="L37" i="24"/>
  <c r="J37" i="24"/>
  <c r="H37" i="24"/>
  <c r="F37" i="24"/>
  <c r="D37" i="24"/>
  <c r="B37" i="24"/>
  <c r="S32" i="24"/>
  <c r="X32" i="24" s="1"/>
  <c r="Q32" i="24"/>
  <c r="O32" i="24"/>
  <c r="M32" i="24"/>
  <c r="K32" i="24"/>
  <c r="I32" i="24"/>
  <c r="G32" i="24"/>
  <c r="E32" i="24"/>
  <c r="C32" i="24"/>
  <c r="R15" i="24"/>
  <c r="W15" i="24" s="1"/>
  <c r="P15" i="24"/>
  <c r="N15" i="24"/>
  <c r="L15" i="24"/>
  <c r="J15" i="24"/>
  <c r="H15" i="24"/>
  <c r="F15" i="24"/>
  <c r="D15" i="24"/>
  <c r="B15" i="24"/>
  <c r="S55" i="23"/>
  <c r="Q74" i="23"/>
  <c r="O55" i="23"/>
  <c r="O77" i="23" s="1"/>
  <c r="M55" i="23"/>
  <c r="M76" i="23" s="1"/>
  <c r="K55" i="23"/>
  <c r="K75" i="23" s="1"/>
  <c r="I55" i="23"/>
  <c r="I74" i="23" s="1"/>
  <c r="G55" i="23"/>
  <c r="G77" i="23" s="1"/>
  <c r="E55" i="23"/>
  <c r="E76" i="23" s="1"/>
  <c r="C55" i="23"/>
  <c r="C75" i="23" s="1"/>
  <c r="R36" i="23"/>
  <c r="P36" i="23"/>
  <c r="N36" i="23"/>
  <c r="L36" i="23"/>
  <c r="J36" i="23"/>
  <c r="H36" i="23"/>
  <c r="F36" i="23"/>
  <c r="D36" i="23"/>
  <c r="B36" i="23"/>
  <c r="S31" i="23"/>
  <c r="X31" i="23" s="1"/>
  <c r="Q31" i="23"/>
  <c r="O31" i="23"/>
  <c r="M31" i="23"/>
  <c r="K31" i="23"/>
  <c r="I31" i="23"/>
  <c r="G31" i="23"/>
  <c r="E31" i="23"/>
  <c r="C31" i="23"/>
  <c r="S39" i="23"/>
  <c r="Q39" i="23"/>
  <c r="M39" i="23"/>
  <c r="K39" i="23"/>
  <c r="I39" i="23"/>
  <c r="M38" i="23"/>
  <c r="K38" i="23"/>
  <c r="I38" i="23"/>
  <c r="R14" i="23"/>
  <c r="W14" i="23" s="1"/>
  <c r="P14" i="23"/>
  <c r="N14" i="23"/>
  <c r="L14" i="23"/>
  <c r="J14" i="23"/>
  <c r="H14" i="23"/>
  <c r="F14" i="23"/>
  <c r="D14" i="23"/>
  <c r="B14" i="23"/>
  <c r="Q68" i="22"/>
  <c r="Q87" i="22" s="1"/>
  <c r="O68" i="22"/>
  <c r="O90" i="22" s="1"/>
  <c r="M68" i="22"/>
  <c r="M88" i="22" s="1"/>
  <c r="K68" i="22"/>
  <c r="K88" i="22" s="1"/>
  <c r="I68" i="22"/>
  <c r="I87" i="22" s="1"/>
  <c r="G68" i="22"/>
  <c r="G90" i="22" s="1"/>
  <c r="E68" i="22"/>
  <c r="E88" i="22" s="1"/>
  <c r="C68" i="22"/>
  <c r="C88" i="22" s="1"/>
  <c r="P50" i="22"/>
  <c r="N50" i="22"/>
  <c r="L50" i="22"/>
  <c r="J50" i="22"/>
  <c r="H50" i="22"/>
  <c r="F50" i="22"/>
  <c r="D50" i="22"/>
  <c r="B50" i="22"/>
  <c r="Q45" i="22"/>
  <c r="O45" i="22"/>
  <c r="M45" i="22"/>
  <c r="K45" i="22"/>
  <c r="I45" i="22"/>
  <c r="G45" i="22"/>
  <c r="E45" i="22"/>
  <c r="C45" i="22"/>
  <c r="X52" i="22"/>
  <c r="P15" i="22"/>
  <c r="N15" i="22"/>
  <c r="L15" i="22"/>
  <c r="J15" i="22"/>
  <c r="H15" i="22"/>
  <c r="F15" i="22"/>
  <c r="D15" i="22"/>
  <c r="B15" i="22"/>
  <c r="S54" i="21"/>
  <c r="Q54" i="21"/>
  <c r="Q74" i="21" s="1"/>
  <c r="O54" i="21"/>
  <c r="O76" i="21" s="1"/>
  <c r="M54" i="21"/>
  <c r="M75" i="21" s="1"/>
  <c r="K54" i="21"/>
  <c r="K74" i="21" s="1"/>
  <c r="I54" i="21"/>
  <c r="I74" i="21" s="1"/>
  <c r="G54" i="21"/>
  <c r="G76" i="21" s="1"/>
  <c r="E54" i="21"/>
  <c r="E75" i="21" s="1"/>
  <c r="C54" i="21"/>
  <c r="C74" i="21" s="1"/>
  <c r="R36" i="21"/>
  <c r="P36" i="21"/>
  <c r="N36" i="21"/>
  <c r="L36" i="21"/>
  <c r="J36" i="21"/>
  <c r="H36" i="21"/>
  <c r="F36" i="21"/>
  <c r="D36" i="21"/>
  <c r="B36" i="21"/>
  <c r="S31" i="21"/>
  <c r="X31" i="21" s="1"/>
  <c r="Q31" i="21"/>
  <c r="O31" i="21"/>
  <c r="M31" i="21"/>
  <c r="K31" i="21"/>
  <c r="I31" i="21"/>
  <c r="G31" i="21"/>
  <c r="E31" i="21"/>
  <c r="C31" i="21"/>
  <c r="M38" i="21"/>
  <c r="K38" i="21"/>
  <c r="I38" i="21"/>
  <c r="R15" i="21"/>
  <c r="W15" i="21" s="1"/>
  <c r="P15" i="21"/>
  <c r="N15" i="21"/>
  <c r="L15" i="21"/>
  <c r="J15" i="21"/>
  <c r="H15" i="21"/>
  <c r="F15" i="21"/>
  <c r="D15" i="21"/>
  <c r="B15" i="21"/>
  <c r="S55" i="20"/>
  <c r="Q55" i="20"/>
  <c r="Q74" i="20" s="1"/>
  <c r="O55" i="20"/>
  <c r="O77" i="20" s="1"/>
  <c r="M55" i="20"/>
  <c r="M77" i="20" s="1"/>
  <c r="K75" i="20"/>
  <c r="I55" i="20"/>
  <c r="I74" i="20" s="1"/>
  <c r="G55" i="20"/>
  <c r="G77" i="20" s="1"/>
  <c r="E55" i="20"/>
  <c r="E77" i="20" s="1"/>
  <c r="C55" i="20"/>
  <c r="C75" i="20" s="1"/>
  <c r="R37" i="20"/>
  <c r="P37" i="20"/>
  <c r="N37" i="20"/>
  <c r="L37" i="20"/>
  <c r="J37" i="20"/>
  <c r="H37" i="20"/>
  <c r="F37" i="20"/>
  <c r="D37" i="20"/>
  <c r="B37" i="20"/>
  <c r="S32" i="20"/>
  <c r="X32" i="20" s="1"/>
  <c r="Q32" i="20"/>
  <c r="O32" i="20"/>
  <c r="M32" i="20"/>
  <c r="K32" i="20"/>
  <c r="I32" i="20"/>
  <c r="G32" i="20"/>
  <c r="E32" i="20"/>
  <c r="C32" i="20"/>
  <c r="R15" i="20"/>
  <c r="W15" i="20" s="1"/>
  <c r="P15" i="20"/>
  <c r="N15" i="20"/>
  <c r="L15" i="20"/>
  <c r="J15" i="20"/>
  <c r="H15" i="20"/>
  <c r="F15" i="20"/>
  <c r="D15" i="20"/>
  <c r="B15" i="20"/>
  <c r="S53" i="19"/>
  <c r="Q53" i="19"/>
  <c r="Q72" i="19" s="1"/>
  <c r="O53" i="19"/>
  <c r="O75" i="19" s="1"/>
  <c r="M53" i="19"/>
  <c r="M74" i="19" s="1"/>
  <c r="K53" i="19"/>
  <c r="K73" i="19" s="1"/>
  <c r="I53" i="19"/>
  <c r="I72" i="19" s="1"/>
  <c r="G53" i="19"/>
  <c r="G75" i="19" s="1"/>
  <c r="E53" i="19"/>
  <c r="E74" i="19" s="1"/>
  <c r="C53" i="19"/>
  <c r="C73" i="19" s="1"/>
  <c r="R35" i="19"/>
  <c r="P35" i="19"/>
  <c r="N35" i="19"/>
  <c r="L35" i="19"/>
  <c r="J35" i="19"/>
  <c r="H35" i="19"/>
  <c r="F35" i="19"/>
  <c r="D35" i="19"/>
  <c r="B35" i="19"/>
  <c r="S30" i="19"/>
  <c r="X30" i="19" s="1"/>
  <c r="Q30" i="19"/>
  <c r="O30" i="19"/>
  <c r="M30" i="19"/>
  <c r="K30" i="19"/>
  <c r="I30" i="19"/>
  <c r="G30" i="19"/>
  <c r="E30" i="19"/>
  <c r="C30" i="19"/>
  <c r="S38" i="19"/>
  <c r="Q38" i="19"/>
  <c r="M38" i="19"/>
  <c r="K38" i="19"/>
  <c r="I38" i="19"/>
  <c r="S37" i="19"/>
  <c r="M37" i="19"/>
  <c r="K37" i="19"/>
  <c r="X37" i="19"/>
  <c r="R14" i="19"/>
  <c r="W14" i="19" s="1"/>
  <c r="P14" i="19"/>
  <c r="N14" i="19"/>
  <c r="L14" i="19"/>
  <c r="J14" i="19"/>
  <c r="H14" i="19"/>
  <c r="F14" i="19"/>
  <c r="D14" i="19"/>
  <c r="B14" i="19"/>
  <c r="S48" i="18"/>
  <c r="Q48" i="18"/>
  <c r="Q67" i="18" s="1"/>
  <c r="O48" i="18"/>
  <c r="O70" i="18" s="1"/>
  <c r="M48" i="18"/>
  <c r="M69" i="18" s="1"/>
  <c r="K48" i="18"/>
  <c r="K68" i="18" s="1"/>
  <c r="I48" i="18"/>
  <c r="I67" i="18" s="1"/>
  <c r="G48" i="18"/>
  <c r="G70" i="18" s="1"/>
  <c r="E48" i="18"/>
  <c r="E69" i="18" s="1"/>
  <c r="C48" i="18"/>
  <c r="C68" i="18" s="1"/>
  <c r="R33" i="18"/>
  <c r="P33" i="18"/>
  <c r="N33" i="18"/>
  <c r="L33" i="18"/>
  <c r="J33" i="18"/>
  <c r="H33" i="18"/>
  <c r="F33" i="18"/>
  <c r="D33" i="18"/>
  <c r="B33" i="18"/>
  <c r="S28" i="18"/>
  <c r="X28" i="18" s="1"/>
  <c r="Q28" i="18"/>
  <c r="O28" i="18"/>
  <c r="M28" i="18"/>
  <c r="K28" i="18"/>
  <c r="I28" i="18"/>
  <c r="G28" i="18"/>
  <c r="E28" i="18"/>
  <c r="C28" i="18"/>
  <c r="R15" i="18"/>
  <c r="W15" i="18" s="1"/>
  <c r="P15" i="18"/>
  <c r="N15" i="18"/>
  <c r="L15" i="18"/>
  <c r="J15" i="18"/>
  <c r="H15" i="18"/>
  <c r="F15" i="18"/>
  <c r="D15" i="18"/>
  <c r="B15" i="18"/>
  <c r="S70" i="17"/>
  <c r="Q70" i="17"/>
  <c r="Q89" i="17" s="1"/>
  <c r="O70" i="17"/>
  <c r="O92" i="17" s="1"/>
  <c r="M70" i="17"/>
  <c r="M91" i="17" s="1"/>
  <c r="R52" i="17"/>
  <c r="P52" i="17"/>
  <c r="N52" i="17"/>
  <c r="L52" i="17"/>
  <c r="S47" i="17"/>
  <c r="X47" i="17" s="1"/>
  <c r="Q47" i="17"/>
  <c r="O47" i="17"/>
  <c r="M47" i="17"/>
  <c r="K47" i="17"/>
  <c r="I47" i="17"/>
  <c r="G47" i="17"/>
  <c r="E47" i="17"/>
  <c r="C47" i="17"/>
  <c r="X54" i="17"/>
  <c r="R15" i="17"/>
  <c r="P15" i="17"/>
  <c r="N15" i="17"/>
  <c r="L15" i="17"/>
  <c r="B15" i="17"/>
  <c r="S61" i="16"/>
  <c r="Q61" i="16"/>
  <c r="Q80" i="16" s="1"/>
  <c r="O61" i="16"/>
  <c r="O83" i="16" s="1"/>
  <c r="M61" i="16"/>
  <c r="M83" i="16" s="1"/>
  <c r="K61" i="16"/>
  <c r="K81" i="16" s="1"/>
  <c r="I61" i="16"/>
  <c r="I80" i="16" s="1"/>
  <c r="G61" i="16"/>
  <c r="G83" i="16" s="1"/>
  <c r="E61" i="16"/>
  <c r="E83" i="16" s="1"/>
  <c r="C61" i="16"/>
  <c r="C81" i="16" s="1"/>
  <c r="R44" i="16"/>
  <c r="P44" i="16"/>
  <c r="N44" i="16"/>
  <c r="L44" i="16"/>
  <c r="J44" i="16"/>
  <c r="H44" i="16"/>
  <c r="F44" i="16"/>
  <c r="D44" i="16"/>
  <c r="B44" i="16"/>
  <c r="S39" i="16"/>
  <c r="Q39" i="16"/>
  <c r="O39" i="16"/>
  <c r="M39" i="16"/>
  <c r="K39" i="16"/>
  <c r="I39" i="16"/>
  <c r="G39" i="16"/>
  <c r="E39" i="16"/>
  <c r="C39" i="16"/>
  <c r="S46" i="16"/>
  <c r="Q46" i="16"/>
  <c r="O46" i="16"/>
  <c r="M46" i="16"/>
  <c r="K46" i="16"/>
  <c r="I46" i="16"/>
  <c r="G46" i="16"/>
  <c r="R15" i="16"/>
  <c r="W15" i="16" s="1"/>
  <c r="P15" i="16"/>
  <c r="N15" i="16"/>
  <c r="L15" i="16"/>
  <c r="J15" i="16"/>
  <c r="H15" i="16"/>
  <c r="F15" i="16"/>
  <c r="D15" i="16"/>
  <c r="B15" i="16"/>
  <c r="S56" i="15"/>
  <c r="Q56" i="15"/>
  <c r="Q75" i="15" s="1"/>
  <c r="O56" i="15"/>
  <c r="O78" i="15" s="1"/>
  <c r="M56" i="15"/>
  <c r="M77" i="15" s="1"/>
  <c r="K56" i="15"/>
  <c r="K76" i="15" s="1"/>
  <c r="I56" i="15"/>
  <c r="I75" i="15" s="1"/>
  <c r="G56" i="15"/>
  <c r="G78" i="15" s="1"/>
  <c r="E56" i="15"/>
  <c r="E77" i="15" s="1"/>
  <c r="C56" i="15"/>
  <c r="C76" i="15" s="1"/>
  <c r="R37" i="15"/>
  <c r="P37" i="15"/>
  <c r="N37" i="15"/>
  <c r="L37" i="15"/>
  <c r="J37" i="15"/>
  <c r="H37" i="15"/>
  <c r="F37" i="15"/>
  <c r="D37" i="15"/>
  <c r="B37" i="15"/>
  <c r="S32" i="15"/>
  <c r="X32" i="15" s="1"/>
  <c r="Q32" i="15"/>
  <c r="O32" i="15"/>
  <c r="M32" i="15"/>
  <c r="K32" i="15"/>
  <c r="I32" i="15"/>
  <c r="G32" i="15"/>
  <c r="E32" i="15"/>
  <c r="C32" i="15"/>
  <c r="M39" i="15"/>
  <c r="K39" i="15"/>
  <c r="I39" i="15"/>
  <c r="R14" i="15"/>
  <c r="W14" i="15" s="1"/>
  <c r="P14" i="15"/>
  <c r="N14" i="15"/>
  <c r="L14" i="15"/>
  <c r="J14" i="15"/>
  <c r="H14" i="15"/>
  <c r="F14" i="15"/>
  <c r="D14" i="15"/>
  <c r="B14" i="15"/>
  <c r="S51" i="14"/>
  <c r="Q51" i="14"/>
  <c r="Q71" i="14" s="1"/>
  <c r="O51" i="14"/>
  <c r="O70" i="14" s="1"/>
  <c r="M51" i="14"/>
  <c r="M73" i="14" s="1"/>
  <c r="K51" i="14"/>
  <c r="K72" i="14" s="1"/>
  <c r="I51" i="14"/>
  <c r="I71" i="14" s="1"/>
  <c r="G51" i="14"/>
  <c r="G70" i="14" s="1"/>
  <c r="E51" i="14"/>
  <c r="E73" i="14" s="1"/>
  <c r="C51" i="14"/>
  <c r="C72" i="14" s="1"/>
  <c r="R34" i="14"/>
  <c r="P34" i="14"/>
  <c r="N34" i="14"/>
  <c r="L34" i="14"/>
  <c r="J34" i="14"/>
  <c r="H34" i="14"/>
  <c r="F34" i="14"/>
  <c r="D34" i="14"/>
  <c r="B34" i="14"/>
  <c r="S29" i="14"/>
  <c r="X29" i="14" s="1"/>
  <c r="Q29" i="14"/>
  <c r="O29" i="14"/>
  <c r="M29" i="14"/>
  <c r="K29" i="14"/>
  <c r="I29" i="14"/>
  <c r="G29" i="14"/>
  <c r="E29" i="14"/>
  <c r="C29" i="14"/>
  <c r="X36" i="14"/>
  <c r="S36" i="14"/>
  <c r="Q36" i="14"/>
  <c r="O36" i="14"/>
  <c r="M36" i="14"/>
  <c r="K36" i="14"/>
  <c r="I36" i="14"/>
  <c r="G36" i="14"/>
  <c r="E36" i="14"/>
  <c r="C36" i="14"/>
  <c r="R15" i="14"/>
  <c r="W15" i="14" s="1"/>
  <c r="P15" i="14"/>
  <c r="N15" i="14"/>
  <c r="L15" i="14"/>
  <c r="J15" i="14"/>
  <c r="H15" i="14"/>
  <c r="F15" i="14"/>
  <c r="D15" i="14"/>
  <c r="B15" i="14"/>
  <c r="S60" i="13"/>
  <c r="Q60" i="13"/>
  <c r="Q79" i="13" s="1"/>
  <c r="O60" i="13"/>
  <c r="O82" i="13" s="1"/>
  <c r="M60" i="13"/>
  <c r="M81" i="13" s="1"/>
  <c r="K60" i="13"/>
  <c r="K80" i="13" s="1"/>
  <c r="I60" i="13"/>
  <c r="I79" i="13" s="1"/>
  <c r="G60" i="13"/>
  <c r="G82" i="13" s="1"/>
  <c r="E60" i="13"/>
  <c r="E81" i="13" s="1"/>
  <c r="C60" i="13"/>
  <c r="C80" i="13" s="1"/>
  <c r="R40" i="13"/>
  <c r="P40" i="13"/>
  <c r="N40" i="13"/>
  <c r="L40" i="13"/>
  <c r="J40" i="13"/>
  <c r="H40" i="13"/>
  <c r="F40" i="13"/>
  <c r="D40" i="13"/>
  <c r="B40" i="13"/>
  <c r="S35" i="13"/>
  <c r="X35" i="13" s="1"/>
  <c r="Q35" i="13"/>
  <c r="O35" i="13"/>
  <c r="M35" i="13"/>
  <c r="K35" i="13"/>
  <c r="I35" i="13"/>
  <c r="G35" i="13"/>
  <c r="E35" i="13"/>
  <c r="C35" i="13"/>
  <c r="R15" i="13"/>
  <c r="W15" i="13" s="1"/>
  <c r="P15" i="13"/>
  <c r="N15" i="13"/>
  <c r="L15" i="13"/>
  <c r="J15" i="13"/>
  <c r="H15" i="13"/>
  <c r="F15" i="13"/>
  <c r="D15" i="13"/>
  <c r="B15" i="13"/>
  <c r="S50" i="12"/>
  <c r="Q50" i="12"/>
  <c r="Q69" i="12" s="1"/>
  <c r="O50" i="12"/>
  <c r="O72" i="12" s="1"/>
  <c r="M50" i="12"/>
  <c r="M71" i="12" s="1"/>
  <c r="K50" i="12"/>
  <c r="K70" i="12" s="1"/>
  <c r="I50" i="12"/>
  <c r="I69" i="12" s="1"/>
  <c r="G50" i="12"/>
  <c r="G72" i="12" s="1"/>
  <c r="E50" i="12"/>
  <c r="E71" i="12" s="1"/>
  <c r="C50" i="12"/>
  <c r="C70" i="12" s="1"/>
  <c r="R33" i="12"/>
  <c r="P33" i="12"/>
  <c r="N33" i="12"/>
  <c r="L33" i="12"/>
  <c r="J33" i="12"/>
  <c r="H33" i="12"/>
  <c r="F33" i="12"/>
  <c r="D33" i="12"/>
  <c r="B33" i="12"/>
  <c r="S28" i="12"/>
  <c r="X28" i="12" s="1"/>
  <c r="Q28" i="12"/>
  <c r="O28" i="12"/>
  <c r="M28" i="12"/>
  <c r="K28" i="12"/>
  <c r="I28" i="12"/>
  <c r="G28" i="12"/>
  <c r="E28" i="12"/>
  <c r="C28" i="12"/>
  <c r="S35" i="12"/>
  <c r="Q35" i="12"/>
  <c r="O35" i="12"/>
  <c r="M35" i="12"/>
  <c r="K35" i="12"/>
  <c r="I35" i="12"/>
  <c r="R14" i="12"/>
  <c r="W14" i="12" s="1"/>
  <c r="P14" i="12"/>
  <c r="N14" i="12"/>
  <c r="L14" i="12"/>
  <c r="H14" i="12"/>
  <c r="F14" i="12"/>
  <c r="D14" i="12"/>
  <c r="B14" i="12"/>
  <c r="S56" i="11"/>
  <c r="Q56" i="11"/>
  <c r="Q75" i="11" s="1"/>
  <c r="O56" i="11"/>
  <c r="O76" i="11" s="1"/>
  <c r="M56" i="11"/>
  <c r="M77" i="11" s="1"/>
  <c r="K56" i="11"/>
  <c r="K76" i="11" s="1"/>
  <c r="I56" i="11"/>
  <c r="I75" i="11" s="1"/>
  <c r="G56" i="11"/>
  <c r="G76" i="11" s="1"/>
  <c r="E56" i="11"/>
  <c r="E77" i="11" s="1"/>
  <c r="C56" i="11"/>
  <c r="C76" i="11" s="1"/>
  <c r="R38" i="11"/>
  <c r="P38" i="11"/>
  <c r="N38" i="11"/>
  <c r="L38" i="11"/>
  <c r="J38" i="11"/>
  <c r="H38" i="11"/>
  <c r="F38" i="11"/>
  <c r="D38" i="11"/>
  <c r="B38" i="11"/>
  <c r="S33" i="11"/>
  <c r="X33" i="11" s="1"/>
  <c r="Q33" i="11"/>
  <c r="O33" i="11"/>
  <c r="M33" i="11"/>
  <c r="K33" i="11"/>
  <c r="I33" i="11"/>
  <c r="G33" i="11"/>
  <c r="E33" i="11"/>
  <c r="C33" i="11"/>
  <c r="S41" i="11"/>
  <c r="Q41" i="11"/>
  <c r="M41" i="11"/>
  <c r="K41" i="11"/>
  <c r="I41" i="11"/>
  <c r="G41" i="11"/>
  <c r="E41" i="11"/>
  <c r="C41" i="11"/>
  <c r="S40" i="11"/>
  <c r="Q40" i="11"/>
  <c r="O40" i="11"/>
  <c r="M40" i="11"/>
  <c r="K40" i="11"/>
  <c r="I40" i="11"/>
  <c r="G40" i="11"/>
  <c r="E40" i="11"/>
  <c r="C40" i="11"/>
  <c r="R14" i="11"/>
  <c r="W14" i="11" s="1"/>
  <c r="P14" i="11"/>
  <c r="N14" i="11"/>
  <c r="L14" i="11"/>
  <c r="J14" i="11"/>
  <c r="H14" i="11"/>
  <c r="F14" i="11"/>
  <c r="D14" i="11"/>
  <c r="B14" i="11"/>
  <c r="S55" i="10"/>
  <c r="Q55" i="10"/>
  <c r="Q75" i="10" s="1"/>
  <c r="O55" i="10"/>
  <c r="O77" i="10" s="1"/>
  <c r="M55" i="10"/>
  <c r="M76" i="10" s="1"/>
  <c r="K55" i="10"/>
  <c r="K75" i="10" s="1"/>
  <c r="I55" i="10"/>
  <c r="I75" i="10" s="1"/>
  <c r="G55" i="10"/>
  <c r="G77" i="10" s="1"/>
  <c r="E55" i="10"/>
  <c r="E76" i="10" s="1"/>
  <c r="C55" i="10"/>
  <c r="C75" i="10" s="1"/>
  <c r="R37" i="10"/>
  <c r="P37" i="10"/>
  <c r="N37" i="10"/>
  <c r="L37" i="10"/>
  <c r="J37" i="10"/>
  <c r="H37" i="10"/>
  <c r="F37" i="10"/>
  <c r="D37" i="10"/>
  <c r="B37" i="10"/>
  <c r="S32" i="10"/>
  <c r="X32" i="10" s="1"/>
  <c r="Q32" i="10"/>
  <c r="O32" i="10"/>
  <c r="M32" i="10"/>
  <c r="K32" i="10"/>
  <c r="I32" i="10"/>
  <c r="G32" i="10"/>
  <c r="E32" i="10"/>
  <c r="C32" i="10"/>
  <c r="E40" i="10"/>
  <c r="C40" i="10"/>
  <c r="M39" i="10"/>
  <c r="K39" i="10"/>
  <c r="I39" i="10"/>
  <c r="G39" i="10"/>
  <c r="E39" i="10"/>
  <c r="C39" i="10"/>
  <c r="X39" i="10"/>
  <c r="R15" i="10"/>
  <c r="P15" i="10"/>
  <c r="N15" i="10"/>
  <c r="L15" i="10"/>
  <c r="H15" i="10"/>
  <c r="F15" i="10"/>
  <c r="D15" i="10"/>
  <c r="B15" i="10"/>
  <c r="S52" i="9"/>
  <c r="Q72" i="9"/>
  <c r="M57" i="9"/>
  <c r="R35" i="9"/>
  <c r="S30" i="9"/>
  <c r="Q30" i="9"/>
  <c r="O30" i="9"/>
  <c r="M30" i="9"/>
  <c r="K30" i="9"/>
  <c r="I30" i="9"/>
  <c r="G30" i="9"/>
  <c r="E30" i="9"/>
  <c r="C30" i="9"/>
  <c r="S37" i="9"/>
  <c r="Q37" i="9"/>
  <c r="O37" i="9"/>
  <c r="M37" i="9"/>
  <c r="K37" i="9"/>
  <c r="I37" i="9"/>
  <c r="G37" i="9"/>
  <c r="E37" i="9"/>
  <c r="C37" i="9"/>
  <c r="R15" i="9"/>
  <c r="P15" i="9"/>
  <c r="N15" i="9"/>
  <c r="L15" i="9"/>
  <c r="J15" i="9"/>
  <c r="H15" i="9"/>
  <c r="F15" i="9"/>
  <c r="D15" i="9"/>
  <c r="B15" i="9"/>
  <c r="B11" i="25" s="1"/>
  <c r="S53" i="8"/>
  <c r="Q53" i="8"/>
  <c r="Q72" i="8" s="1"/>
  <c r="O53" i="8"/>
  <c r="O75" i="8" s="1"/>
  <c r="M53" i="8"/>
  <c r="M74" i="8" s="1"/>
  <c r="K53" i="8"/>
  <c r="K73" i="8" s="1"/>
  <c r="I53" i="8"/>
  <c r="I72" i="8" s="1"/>
  <c r="G53" i="8"/>
  <c r="G75" i="8" s="1"/>
  <c r="E53" i="8"/>
  <c r="E74" i="8" s="1"/>
  <c r="C53" i="8"/>
  <c r="C73" i="8" s="1"/>
  <c r="R35" i="8"/>
  <c r="P35" i="8"/>
  <c r="N35" i="8"/>
  <c r="L35" i="8"/>
  <c r="J35" i="8"/>
  <c r="H35" i="8"/>
  <c r="F35" i="8"/>
  <c r="D35" i="8"/>
  <c r="B35" i="8"/>
  <c r="S30" i="8"/>
  <c r="X30" i="8" s="1"/>
  <c r="Q30" i="8"/>
  <c r="O30" i="8"/>
  <c r="M30" i="8"/>
  <c r="K30" i="8"/>
  <c r="I30" i="8"/>
  <c r="G30" i="8"/>
  <c r="E30" i="8"/>
  <c r="C30" i="8"/>
  <c r="S38" i="8"/>
  <c r="Q38" i="8"/>
  <c r="O38" i="8"/>
  <c r="M38" i="8"/>
  <c r="K38" i="8"/>
  <c r="I38" i="8"/>
  <c r="S37" i="8"/>
  <c r="Q37" i="8"/>
  <c r="O37" i="8"/>
  <c r="M37" i="8"/>
  <c r="K37" i="8"/>
  <c r="I37" i="8"/>
  <c r="X38" i="8"/>
  <c r="X37" i="8"/>
  <c r="R14" i="8"/>
  <c r="W14" i="8" s="1"/>
  <c r="P14" i="8"/>
  <c r="N14" i="8"/>
  <c r="N11" i="25" s="1"/>
  <c r="L14" i="8"/>
  <c r="J14" i="8"/>
  <c r="J11" i="25" s="1"/>
  <c r="H14" i="8"/>
  <c r="H11" i="25" s="1"/>
  <c r="F14" i="8"/>
  <c r="D14" i="8"/>
  <c r="B14" i="8"/>
  <c r="S70" i="7"/>
  <c r="Q70" i="7"/>
  <c r="Q89" i="7" s="1"/>
  <c r="O70" i="7"/>
  <c r="O92" i="7" s="1"/>
  <c r="M70" i="7"/>
  <c r="M76" i="7" s="1"/>
  <c r="K70" i="7"/>
  <c r="I70" i="7"/>
  <c r="I89" i="7" s="1"/>
  <c r="G70" i="7"/>
  <c r="G92" i="7" s="1"/>
  <c r="E70" i="7"/>
  <c r="C70" i="7"/>
  <c r="C74" i="7" s="1"/>
  <c r="R51" i="7"/>
  <c r="P51" i="7"/>
  <c r="N51" i="7"/>
  <c r="L51" i="7"/>
  <c r="J51" i="7"/>
  <c r="H51" i="7"/>
  <c r="F51" i="7"/>
  <c r="D51" i="7"/>
  <c r="B51" i="7"/>
  <c r="S45" i="7"/>
  <c r="Q45" i="7"/>
  <c r="O45" i="7"/>
  <c r="M45" i="7"/>
  <c r="K45" i="7"/>
  <c r="I45" i="7"/>
  <c r="G45" i="7"/>
  <c r="E45" i="7"/>
  <c r="C45" i="7"/>
  <c r="R14" i="7"/>
  <c r="P14" i="7"/>
  <c r="N14" i="7"/>
  <c r="L14" i="7"/>
  <c r="J14" i="7"/>
  <c r="H14" i="7"/>
  <c r="F14" i="7"/>
  <c r="D14" i="7"/>
  <c r="B14" i="7"/>
  <c r="S53" i="6"/>
  <c r="Q53" i="6"/>
  <c r="Q72" i="6" s="1"/>
  <c r="O53" i="6"/>
  <c r="O75" i="6" s="1"/>
  <c r="M53" i="6"/>
  <c r="M73" i="6" s="1"/>
  <c r="K53" i="6"/>
  <c r="K73" i="6" s="1"/>
  <c r="I53" i="6"/>
  <c r="I72" i="6" s="1"/>
  <c r="G53" i="6"/>
  <c r="G75" i="6" s="1"/>
  <c r="E53" i="6"/>
  <c r="E73" i="6" s="1"/>
  <c r="C53" i="6"/>
  <c r="C73" i="6" s="1"/>
  <c r="R35" i="6"/>
  <c r="P35" i="6"/>
  <c r="N35" i="6"/>
  <c r="L35" i="6"/>
  <c r="J35" i="6"/>
  <c r="H35" i="6"/>
  <c r="F35" i="6"/>
  <c r="D35" i="6"/>
  <c r="B35" i="6"/>
  <c r="S30" i="6"/>
  <c r="X30" i="6" s="1"/>
  <c r="Q30" i="6"/>
  <c r="O30" i="6"/>
  <c r="M30" i="6"/>
  <c r="K30" i="6"/>
  <c r="I30" i="6"/>
  <c r="G30" i="6"/>
  <c r="E30" i="6"/>
  <c r="C30" i="6"/>
  <c r="Q37" i="6"/>
  <c r="M37" i="6"/>
  <c r="K37" i="6"/>
  <c r="I37" i="6"/>
  <c r="G37" i="6"/>
  <c r="E37" i="6"/>
  <c r="C37" i="6"/>
  <c r="X37" i="6"/>
  <c r="R15" i="6"/>
  <c r="W15" i="6" s="1"/>
  <c r="P15" i="6"/>
  <c r="L15" i="6"/>
  <c r="J15" i="6"/>
  <c r="H15" i="6"/>
  <c r="F15" i="6"/>
  <c r="D15" i="6"/>
  <c r="B15" i="6"/>
  <c r="S51" i="5"/>
  <c r="Q51" i="5"/>
  <c r="Q71" i="5" s="1"/>
  <c r="O51" i="5"/>
  <c r="O70" i="5" s="1"/>
  <c r="M51" i="5"/>
  <c r="M73" i="5" s="1"/>
  <c r="K51" i="5"/>
  <c r="K72" i="5" s="1"/>
  <c r="I51" i="5"/>
  <c r="I71" i="5" s="1"/>
  <c r="G70" i="5"/>
  <c r="E51" i="5"/>
  <c r="E73" i="5" s="1"/>
  <c r="C51" i="5"/>
  <c r="C72" i="5" s="1"/>
  <c r="R34" i="5"/>
  <c r="P34" i="5"/>
  <c r="N34" i="5"/>
  <c r="L34" i="5"/>
  <c r="J34" i="5"/>
  <c r="H34" i="5"/>
  <c r="F34" i="5"/>
  <c r="D34" i="5"/>
  <c r="B34" i="5"/>
  <c r="S29" i="5"/>
  <c r="Q29" i="5"/>
  <c r="O29" i="5"/>
  <c r="M29" i="5"/>
  <c r="K29" i="5"/>
  <c r="I29" i="5"/>
  <c r="G29" i="5"/>
  <c r="E29" i="5"/>
  <c r="C29" i="5"/>
  <c r="S36" i="5"/>
  <c r="Q36" i="5"/>
  <c r="O36" i="5"/>
  <c r="M36" i="5"/>
  <c r="K36" i="5"/>
  <c r="I36" i="5"/>
  <c r="G36" i="5"/>
  <c r="E36" i="5"/>
  <c r="C36" i="5"/>
  <c r="R15" i="5"/>
  <c r="W15" i="5" s="1"/>
  <c r="P15" i="5"/>
  <c r="N15" i="5"/>
  <c r="L15" i="5"/>
  <c r="J15" i="5"/>
  <c r="H15" i="5"/>
  <c r="F15" i="5"/>
  <c r="D15" i="5"/>
  <c r="B15" i="5"/>
  <c r="S49" i="4"/>
  <c r="S69" i="4" s="1"/>
  <c r="Q49" i="4"/>
  <c r="Q68" i="4" s="1"/>
  <c r="O49" i="4"/>
  <c r="O71" i="4" s="1"/>
  <c r="M49" i="4"/>
  <c r="M70" i="4" s="1"/>
  <c r="K49" i="4"/>
  <c r="K69" i="4" s="1"/>
  <c r="I49" i="4"/>
  <c r="I68" i="4" s="1"/>
  <c r="G49" i="4"/>
  <c r="G71" i="4" s="1"/>
  <c r="E49" i="4"/>
  <c r="E70" i="4" s="1"/>
  <c r="C49" i="4"/>
  <c r="C69" i="4" s="1"/>
  <c r="R34" i="4"/>
  <c r="D34" i="4"/>
  <c r="B34" i="4"/>
  <c r="S29" i="4"/>
  <c r="Q29" i="4"/>
  <c r="O29" i="4"/>
  <c r="M29" i="4"/>
  <c r="K29" i="4"/>
  <c r="I29" i="4"/>
  <c r="G29" i="4"/>
  <c r="C29" i="4"/>
  <c r="R15" i="4"/>
  <c r="W15" i="4" s="1"/>
  <c r="P15" i="4"/>
  <c r="N15" i="4"/>
  <c r="L15" i="4"/>
  <c r="J15" i="4"/>
  <c r="H15" i="4"/>
  <c r="G15" i="4"/>
  <c r="E15" i="4"/>
  <c r="D15" i="4"/>
  <c r="C15" i="4"/>
  <c r="B15" i="4"/>
  <c r="X30" i="9" l="1"/>
  <c r="W15" i="9"/>
  <c r="S75" i="23"/>
  <c r="X75" i="23" s="1"/>
  <c r="X55" i="23"/>
  <c r="S74" i="21"/>
  <c r="X74" i="21" s="1"/>
  <c r="X54" i="21"/>
  <c r="S75" i="20"/>
  <c r="X75" i="20" s="1"/>
  <c r="X55" i="20"/>
  <c r="S73" i="19"/>
  <c r="X73" i="19" s="1"/>
  <c r="X53" i="19"/>
  <c r="S68" i="18"/>
  <c r="X68" i="18" s="1"/>
  <c r="X48" i="18"/>
  <c r="S90" i="17"/>
  <c r="X90" i="17" s="1"/>
  <c r="X70" i="17"/>
  <c r="X39" i="16"/>
  <c r="F11" i="25"/>
  <c r="D11" i="25"/>
  <c r="S81" i="16"/>
  <c r="X61" i="16"/>
  <c r="S76" i="15"/>
  <c r="X76" i="15" s="1"/>
  <c r="X56" i="15"/>
  <c r="S72" i="14"/>
  <c r="X72" i="14" s="1"/>
  <c r="X51" i="14"/>
  <c r="S80" i="13"/>
  <c r="X80" i="13" s="1"/>
  <c r="X60" i="13"/>
  <c r="S70" i="12"/>
  <c r="X70" i="12" s="1"/>
  <c r="X50" i="12"/>
  <c r="S76" i="11"/>
  <c r="X76" i="11" s="1"/>
  <c r="X56" i="11"/>
  <c r="S72" i="24"/>
  <c r="X72" i="24" s="1"/>
  <c r="X52" i="24"/>
  <c r="S75" i="10"/>
  <c r="X75" i="10" s="1"/>
  <c r="X55" i="10"/>
  <c r="S72" i="9"/>
  <c r="X52" i="9"/>
  <c r="S73" i="8"/>
  <c r="X73" i="8" s="1"/>
  <c r="X53" i="8"/>
  <c r="X45" i="7"/>
  <c r="L11" i="25"/>
  <c r="X70" i="7"/>
  <c r="P11" i="25"/>
  <c r="W14" i="7"/>
  <c r="S73" i="6"/>
  <c r="X73" i="6" s="1"/>
  <c r="X53" i="6"/>
  <c r="S72" i="5"/>
  <c r="X72" i="5" s="1"/>
  <c r="X51" i="5"/>
  <c r="S11" i="25"/>
  <c r="R11" i="25"/>
  <c r="X38" i="21"/>
  <c r="X46" i="16"/>
  <c r="X42" i="13"/>
  <c r="W15" i="10"/>
  <c r="X37" i="9"/>
  <c r="X36" i="5"/>
  <c r="X39" i="20"/>
  <c r="X39" i="23"/>
  <c r="X38" i="23"/>
  <c r="X35" i="12"/>
  <c r="S72" i="8"/>
  <c r="X72" i="8" s="1"/>
  <c r="G57" i="19"/>
  <c r="G60" i="19"/>
  <c r="O69" i="19"/>
  <c r="S59" i="24"/>
  <c r="X59" i="24" s="1"/>
  <c r="C69" i="24"/>
  <c r="M62" i="24"/>
  <c r="M71" i="24"/>
  <c r="C74" i="24"/>
  <c r="E60" i="24"/>
  <c r="Q55" i="24"/>
  <c r="Q56" i="24"/>
  <c r="I58" i="24"/>
  <c r="I65" i="24"/>
  <c r="Q73" i="24"/>
  <c r="C55" i="24"/>
  <c r="S55" i="24"/>
  <c r="X55" i="24" s="1"/>
  <c r="E56" i="24"/>
  <c r="M58" i="24"/>
  <c r="I60" i="24"/>
  <c r="Q62" i="24"/>
  <c r="C64" i="24"/>
  <c r="M65" i="24"/>
  <c r="E68" i="24"/>
  <c r="K69" i="24"/>
  <c r="Q71" i="24"/>
  <c r="K74" i="24"/>
  <c r="Q68" i="24"/>
  <c r="I55" i="24"/>
  <c r="I56" i="24"/>
  <c r="Q58" i="24"/>
  <c r="C59" i="24"/>
  <c r="M60" i="24"/>
  <c r="E62" i="24"/>
  <c r="K64" i="24"/>
  <c r="Q65" i="24"/>
  <c r="I68" i="24"/>
  <c r="S69" i="24"/>
  <c r="X69" i="24" s="1"/>
  <c r="E71" i="24"/>
  <c r="S74" i="24"/>
  <c r="X74" i="24" s="1"/>
  <c r="K55" i="24"/>
  <c r="M56" i="24"/>
  <c r="E58" i="24"/>
  <c r="K59" i="24"/>
  <c r="Q60" i="24"/>
  <c r="I62" i="24"/>
  <c r="S64" i="24"/>
  <c r="X64" i="24" s="1"/>
  <c r="E65" i="24"/>
  <c r="M68" i="24"/>
  <c r="I71" i="24"/>
  <c r="I73" i="24"/>
  <c r="O58" i="23"/>
  <c r="O62" i="23"/>
  <c r="G68" i="23"/>
  <c r="G72" i="23"/>
  <c r="C59" i="23"/>
  <c r="O61" i="23"/>
  <c r="C63" i="23"/>
  <c r="O65" i="23"/>
  <c r="G76" i="23"/>
  <c r="S59" i="23"/>
  <c r="X59" i="23" s="1"/>
  <c r="S63" i="23"/>
  <c r="X63" i="23" s="1"/>
  <c r="K74" i="23"/>
  <c r="I58" i="23"/>
  <c r="O59" i="23"/>
  <c r="G61" i="23"/>
  <c r="I62" i="23"/>
  <c r="O63" i="23"/>
  <c r="G65" i="23"/>
  <c r="O67" i="23"/>
  <c r="C68" i="23"/>
  <c r="S68" i="23"/>
  <c r="X68" i="23" s="1"/>
  <c r="O71" i="23"/>
  <c r="Q72" i="23"/>
  <c r="G74" i="23"/>
  <c r="Q58" i="23"/>
  <c r="G59" i="23"/>
  <c r="Q62" i="23"/>
  <c r="G63" i="23"/>
  <c r="G67" i="23"/>
  <c r="K68" i="23"/>
  <c r="I72" i="23"/>
  <c r="O74" i="23"/>
  <c r="O76" i="23"/>
  <c r="I77" i="23"/>
  <c r="Q67" i="23"/>
  <c r="G58" i="23"/>
  <c r="K59" i="23"/>
  <c r="G62" i="23"/>
  <c r="K63" i="23"/>
  <c r="I67" i="23"/>
  <c r="O68" i="23"/>
  <c r="G71" i="23"/>
  <c r="O72" i="23"/>
  <c r="C74" i="23"/>
  <c r="S74" i="23"/>
  <c r="X74" i="23" s="1"/>
  <c r="Q77" i="23"/>
  <c r="E76" i="22"/>
  <c r="E85" i="22"/>
  <c r="M74" i="22"/>
  <c r="M71" i="22"/>
  <c r="E78" i="22"/>
  <c r="M81" i="22"/>
  <c r="E90" i="22"/>
  <c r="M72" i="22"/>
  <c r="M80" i="22"/>
  <c r="E89" i="22"/>
  <c r="E75" i="22"/>
  <c r="M84" i="22"/>
  <c r="E87" i="22"/>
  <c r="E71" i="22"/>
  <c r="E72" i="22"/>
  <c r="E74" i="22"/>
  <c r="M85" i="22"/>
  <c r="M87" i="22"/>
  <c r="M89" i="22"/>
  <c r="M90" i="22"/>
  <c r="M75" i="22"/>
  <c r="M76" i="22"/>
  <c r="M78" i="22"/>
  <c r="E80" i="22"/>
  <c r="E81" i="22"/>
  <c r="E84" i="22"/>
  <c r="I58" i="21"/>
  <c r="O60" i="21"/>
  <c r="Q62" i="21"/>
  <c r="C67" i="21"/>
  <c r="I70" i="21"/>
  <c r="C66" i="21"/>
  <c r="S67" i="21"/>
  <c r="X67" i="21" s="1"/>
  <c r="Q61" i="21"/>
  <c r="S66" i="21"/>
  <c r="X66" i="21" s="1"/>
  <c r="O75" i="21"/>
  <c r="I57" i="21"/>
  <c r="G64" i="21"/>
  <c r="I73" i="21"/>
  <c r="C57" i="21"/>
  <c r="S57" i="21"/>
  <c r="X57" i="21" s="1"/>
  <c r="C58" i="21"/>
  <c r="S58" i="21"/>
  <c r="X58" i="21" s="1"/>
  <c r="I60" i="21"/>
  <c r="K61" i="21"/>
  <c r="K62" i="21"/>
  <c r="Q64" i="21"/>
  <c r="Q66" i="21"/>
  <c r="Q67" i="21"/>
  <c r="G70" i="21"/>
  <c r="Q71" i="21"/>
  <c r="C73" i="21"/>
  <c r="S73" i="21"/>
  <c r="X73" i="21" s="1"/>
  <c r="I75" i="21"/>
  <c r="K57" i="21"/>
  <c r="K58" i="21"/>
  <c r="Q60" i="21"/>
  <c r="C61" i="21"/>
  <c r="S61" i="21"/>
  <c r="X61" i="21" s="1"/>
  <c r="C62" i="21"/>
  <c r="S62" i="21"/>
  <c r="X62" i="21" s="1"/>
  <c r="I64" i="21"/>
  <c r="I66" i="21"/>
  <c r="I67" i="21"/>
  <c r="O70" i="21"/>
  <c r="K73" i="21"/>
  <c r="Q75" i="21"/>
  <c r="I76" i="21"/>
  <c r="Q57" i="21"/>
  <c r="Q58" i="21"/>
  <c r="G60" i="21"/>
  <c r="I61" i="21"/>
  <c r="I62" i="21"/>
  <c r="O64" i="21"/>
  <c r="K66" i="21"/>
  <c r="K67" i="21"/>
  <c r="Q70" i="21"/>
  <c r="I71" i="21"/>
  <c r="Q73" i="21"/>
  <c r="G75" i="21"/>
  <c r="Q76" i="21"/>
  <c r="C58" i="20"/>
  <c r="E62" i="20"/>
  <c r="M59" i="20"/>
  <c r="K67" i="20"/>
  <c r="M71" i="20"/>
  <c r="S58" i="20"/>
  <c r="X58" i="20" s="1"/>
  <c r="E61" i="20"/>
  <c r="E74" i="20"/>
  <c r="K77" i="20"/>
  <c r="M72" i="20"/>
  <c r="E76" i="20"/>
  <c r="M58" i="20"/>
  <c r="E59" i="20"/>
  <c r="Q61" i="20"/>
  <c r="C62" i="20"/>
  <c r="S62" i="20"/>
  <c r="X62" i="20" s="1"/>
  <c r="M63" i="20"/>
  <c r="E65" i="20"/>
  <c r="E67" i="20"/>
  <c r="I71" i="20"/>
  <c r="K72" i="20"/>
  <c r="Q76" i="20"/>
  <c r="C77" i="20"/>
  <c r="I65" i="20"/>
  <c r="E58" i="20"/>
  <c r="I61" i="20"/>
  <c r="K62" i="20"/>
  <c r="M65" i="20"/>
  <c r="M67" i="20"/>
  <c r="E68" i="20"/>
  <c r="Q71" i="20"/>
  <c r="C72" i="20"/>
  <c r="S72" i="20"/>
  <c r="X72" i="20" s="1"/>
  <c r="M74" i="20"/>
  <c r="I76" i="20"/>
  <c r="S77" i="20"/>
  <c r="X77" i="20" s="1"/>
  <c r="K58" i="20"/>
  <c r="M61" i="20"/>
  <c r="M62" i="20"/>
  <c r="E63" i="20"/>
  <c r="Q65" i="20"/>
  <c r="C67" i="20"/>
  <c r="S67" i="20"/>
  <c r="X67" i="20" s="1"/>
  <c r="M68" i="20"/>
  <c r="E71" i="20"/>
  <c r="E72" i="20"/>
  <c r="M76" i="20"/>
  <c r="O61" i="19"/>
  <c r="G65" i="19"/>
  <c r="I60" i="19"/>
  <c r="O66" i="19"/>
  <c r="O56" i="19"/>
  <c r="Q70" i="19"/>
  <c r="O74" i="19"/>
  <c r="G63" i="19"/>
  <c r="G69" i="19"/>
  <c r="O70" i="19"/>
  <c r="I75" i="19"/>
  <c r="Q56" i="19"/>
  <c r="Q60" i="19"/>
  <c r="I65" i="19"/>
  <c r="I70" i="19"/>
  <c r="G72" i="19"/>
  <c r="K61" i="19"/>
  <c r="C72" i="19"/>
  <c r="S72" i="19"/>
  <c r="X72" i="19" s="1"/>
  <c r="K57" i="19"/>
  <c r="C66" i="19"/>
  <c r="S66" i="19"/>
  <c r="X66" i="19" s="1"/>
  <c r="G56" i="19"/>
  <c r="O57" i="19"/>
  <c r="G59" i="19"/>
  <c r="C61" i="19"/>
  <c r="S61" i="19"/>
  <c r="X61" i="19" s="1"/>
  <c r="O63" i="19"/>
  <c r="O65" i="19"/>
  <c r="G66" i="19"/>
  <c r="I56" i="19"/>
  <c r="C57" i="19"/>
  <c r="S57" i="19"/>
  <c r="X57" i="19" s="1"/>
  <c r="O59" i="19"/>
  <c r="O60" i="19"/>
  <c r="G61" i="19"/>
  <c r="Q65" i="19"/>
  <c r="K66" i="19"/>
  <c r="G70" i="19"/>
  <c r="O72" i="19"/>
  <c r="G74" i="19"/>
  <c r="Q75" i="19"/>
  <c r="K72" i="19"/>
  <c r="G52" i="18"/>
  <c r="O56" i="18"/>
  <c r="Q51" i="18"/>
  <c r="G58" i="18"/>
  <c r="Q70" i="18"/>
  <c r="O60" i="18"/>
  <c r="I55" i="18"/>
  <c r="I65" i="18"/>
  <c r="C61" i="18"/>
  <c r="S61" i="18"/>
  <c r="X61" i="18" s="1"/>
  <c r="S67" i="18"/>
  <c r="X67" i="18" s="1"/>
  <c r="G51" i="18"/>
  <c r="K52" i="18"/>
  <c r="O54" i="18"/>
  <c r="O55" i="18"/>
  <c r="C56" i="18"/>
  <c r="S56" i="18"/>
  <c r="X56" i="18" s="1"/>
  <c r="O58" i="18"/>
  <c r="Q60" i="18"/>
  <c r="G61" i="18"/>
  <c r="Q65" i="18"/>
  <c r="G67" i="18"/>
  <c r="I51" i="18"/>
  <c r="O52" i="18"/>
  <c r="C54" i="18"/>
  <c r="S54" i="18"/>
  <c r="X54" i="18" s="1"/>
  <c r="Q55" i="18"/>
  <c r="G56" i="18"/>
  <c r="G60" i="18"/>
  <c r="K61" i="18"/>
  <c r="G64" i="18"/>
  <c r="K67" i="18"/>
  <c r="G69" i="18"/>
  <c r="K54" i="18"/>
  <c r="C67" i="18"/>
  <c r="O51" i="18"/>
  <c r="C52" i="18"/>
  <c r="S52" i="18"/>
  <c r="X52" i="18" s="1"/>
  <c r="G54" i="18"/>
  <c r="G55" i="18"/>
  <c r="K56" i="18"/>
  <c r="I60" i="18"/>
  <c r="O61" i="18"/>
  <c r="O64" i="18"/>
  <c r="O67" i="18"/>
  <c r="O69" i="18"/>
  <c r="I70" i="18"/>
  <c r="Q77" i="16"/>
  <c r="K64" i="15"/>
  <c r="S60" i="15"/>
  <c r="X60" i="15" s="1"/>
  <c r="S75" i="15"/>
  <c r="X75" i="15" s="1"/>
  <c r="I82" i="13"/>
  <c r="Q63" i="13"/>
  <c r="S60" i="12"/>
  <c r="X60" i="12" s="1"/>
  <c r="C66" i="12"/>
  <c r="I59" i="11"/>
  <c r="S75" i="11"/>
  <c r="X75" i="11" s="1"/>
  <c r="S89" i="17"/>
  <c r="X89" i="17" s="1"/>
  <c r="O80" i="17"/>
  <c r="O74" i="17"/>
  <c r="S78" i="17"/>
  <c r="X78" i="17" s="1"/>
  <c r="O87" i="17"/>
  <c r="O77" i="17"/>
  <c r="Q82" i="17"/>
  <c r="O91" i="17"/>
  <c r="O73" i="17"/>
  <c r="S74" i="17"/>
  <c r="X74" i="17" s="1"/>
  <c r="O76" i="17"/>
  <c r="Q77" i="17"/>
  <c r="O86" i="17"/>
  <c r="Q87" i="17"/>
  <c r="Q92" i="17"/>
  <c r="M85" i="17"/>
  <c r="Q73" i="17"/>
  <c r="O83" i="17"/>
  <c r="O78" i="17"/>
  <c r="O82" i="17"/>
  <c r="S83" i="17"/>
  <c r="X83" i="17" s="1"/>
  <c r="O89" i="17"/>
  <c r="M74" i="16"/>
  <c r="E82" i="16"/>
  <c r="I67" i="16"/>
  <c r="E71" i="16"/>
  <c r="M73" i="16"/>
  <c r="C78" i="16"/>
  <c r="E64" i="16"/>
  <c r="M65" i="16"/>
  <c r="Q67" i="16"/>
  <c r="E69" i="16"/>
  <c r="M71" i="16"/>
  <c r="I77" i="16"/>
  <c r="S78" i="16"/>
  <c r="K83" i="16"/>
  <c r="M64" i="16"/>
  <c r="K68" i="16"/>
  <c r="E73" i="16"/>
  <c r="E80" i="16"/>
  <c r="M82" i="16"/>
  <c r="K64" i="16"/>
  <c r="E65" i="16"/>
  <c r="E67" i="16"/>
  <c r="M68" i="16"/>
  <c r="M69" i="16"/>
  <c r="I71" i="16"/>
  <c r="C73" i="16"/>
  <c r="S73" i="16"/>
  <c r="M77" i="16"/>
  <c r="E78" i="16"/>
  <c r="Q82" i="16"/>
  <c r="S83" i="16"/>
  <c r="X83" i="16" s="1"/>
  <c r="C68" i="16"/>
  <c r="S68" i="16"/>
  <c r="X68" i="16" s="1"/>
  <c r="K78" i="16"/>
  <c r="C64" i="16"/>
  <c r="S64" i="16"/>
  <c r="M67" i="16"/>
  <c r="E68" i="16"/>
  <c r="Q71" i="16"/>
  <c r="K73" i="16"/>
  <c r="E74" i="16"/>
  <c r="E77" i="16"/>
  <c r="M78" i="16"/>
  <c r="M80" i="16"/>
  <c r="I82" i="16"/>
  <c r="C83" i="16"/>
  <c r="C60" i="15"/>
  <c r="K69" i="15"/>
  <c r="I73" i="15"/>
  <c r="Q63" i="15"/>
  <c r="C75" i="15"/>
  <c r="G77" i="15"/>
  <c r="Q59" i="15"/>
  <c r="G60" i="15"/>
  <c r="G63" i="15"/>
  <c r="I68" i="15"/>
  <c r="O69" i="15"/>
  <c r="G72" i="15"/>
  <c r="O73" i="15"/>
  <c r="O77" i="15"/>
  <c r="G59" i="15"/>
  <c r="K60" i="15"/>
  <c r="I63" i="15"/>
  <c r="O64" i="15"/>
  <c r="G66" i="15"/>
  <c r="O68" i="15"/>
  <c r="C69" i="15"/>
  <c r="S69" i="15"/>
  <c r="X69" i="15" s="1"/>
  <c r="O72" i="15"/>
  <c r="Q73" i="15"/>
  <c r="G75" i="15"/>
  <c r="I78" i="15"/>
  <c r="O59" i="15"/>
  <c r="O62" i="15"/>
  <c r="G64" i="15"/>
  <c r="G68" i="15"/>
  <c r="O75" i="15"/>
  <c r="I59" i="15"/>
  <c r="O60" i="15"/>
  <c r="G62" i="15"/>
  <c r="O63" i="15"/>
  <c r="C64" i="15"/>
  <c r="S64" i="15"/>
  <c r="X64" i="15" s="1"/>
  <c r="O66" i="15"/>
  <c r="Q68" i="15"/>
  <c r="G69" i="15"/>
  <c r="G73" i="15"/>
  <c r="K75" i="15"/>
  <c r="Q78" i="15"/>
  <c r="Q57" i="14"/>
  <c r="G68" i="14"/>
  <c r="O54" i="14"/>
  <c r="O58" i="14"/>
  <c r="Q59" i="14"/>
  <c r="I63" i="14"/>
  <c r="G67" i="14"/>
  <c r="O68" i="14"/>
  <c r="G72" i="14"/>
  <c r="G57" i="14"/>
  <c r="O73" i="14"/>
  <c r="G54" i="14"/>
  <c r="G58" i="14"/>
  <c r="O67" i="14"/>
  <c r="E61" i="14"/>
  <c r="Q54" i="14"/>
  <c r="I55" i="14"/>
  <c r="I57" i="14"/>
  <c r="I58" i="14"/>
  <c r="G61" i="14"/>
  <c r="O63" i="14"/>
  <c r="M67" i="14"/>
  <c r="Q68" i="14"/>
  <c r="M72" i="14"/>
  <c r="Q55" i="14"/>
  <c r="M57" i="14"/>
  <c r="M61" i="14"/>
  <c r="Q63" i="14"/>
  <c r="I64" i="14"/>
  <c r="I70" i="14"/>
  <c r="O72" i="14"/>
  <c r="G73" i="14"/>
  <c r="I54" i="14"/>
  <c r="E57" i="14"/>
  <c r="O57" i="14"/>
  <c r="Q58" i="14"/>
  <c r="I59" i="14"/>
  <c r="O61" i="14"/>
  <c r="G63" i="14"/>
  <c r="Q64" i="14"/>
  <c r="E67" i="14"/>
  <c r="I68" i="14"/>
  <c r="Q70" i="14"/>
  <c r="E72" i="14"/>
  <c r="I73" i="14"/>
  <c r="C70" i="13"/>
  <c r="K68" i="13"/>
  <c r="S70" i="13"/>
  <c r="X70" i="13" s="1"/>
  <c r="O66" i="13"/>
  <c r="K64" i="13"/>
  <c r="C66" i="13"/>
  <c r="S66" i="13"/>
  <c r="X66" i="13" s="1"/>
  <c r="O68" i="13"/>
  <c r="G70" i="13"/>
  <c r="I72" i="13"/>
  <c r="C73" i="13"/>
  <c r="S73" i="13"/>
  <c r="X73" i="13" s="1"/>
  <c r="K76" i="13"/>
  <c r="I77" i="13"/>
  <c r="C79" i="13"/>
  <c r="S79" i="13"/>
  <c r="X79" i="13" s="1"/>
  <c r="K81" i="13"/>
  <c r="Q82" i="13"/>
  <c r="G64" i="13"/>
  <c r="O73" i="13"/>
  <c r="G76" i="13"/>
  <c r="O79" i="13"/>
  <c r="G81" i="13"/>
  <c r="O64" i="13"/>
  <c r="G66" i="13"/>
  <c r="I67" i="13"/>
  <c r="C68" i="13"/>
  <c r="S68" i="13"/>
  <c r="X68" i="13" s="1"/>
  <c r="K70" i="13"/>
  <c r="Q72" i="13"/>
  <c r="G73" i="13"/>
  <c r="O76" i="13"/>
  <c r="Q77" i="13"/>
  <c r="G79" i="13"/>
  <c r="O81" i="13"/>
  <c r="I63" i="13"/>
  <c r="C64" i="13"/>
  <c r="S64" i="13"/>
  <c r="X64" i="13" s="1"/>
  <c r="K66" i="13"/>
  <c r="Q67" i="13"/>
  <c r="G68" i="13"/>
  <c r="O70" i="13"/>
  <c r="K73" i="13"/>
  <c r="C76" i="13"/>
  <c r="S76" i="13"/>
  <c r="X76" i="13" s="1"/>
  <c r="K79" i="13"/>
  <c r="C81" i="13"/>
  <c r="S81" i="13"/>
  <c r="X81" i="13" s="1"/>
  <c r="O58" i="12"/>
  <c r="G63" i="12"/>
  <c r="C56" i="12"/>
  <c r="M62" i="12"/>
  <c r="O63" i="12"/>
  <c r="K66" i="12"/>
  <c r="C71" i="12"/>
  <c r="E62" i="12"/>
  <c r="M72" i="12"/>
  <c r="E53" i="12"/>
  <c r="G54" i="12"/>
  <c r="K56" i="12"/>
  <c r="C60" i="12"/>
  <c r="S66" i="12"/>
  <c r="X66" i="12" s="1"/>
  <c r="E67" i="12"/>
  <c r="G69" i="12"/>
  <c r="K71" i="12"/>
  <c r="M57" i="12"/>
  <c r="M53" i="12"/>
  <c r="O54" i="12"/>
  <c r="S56" i="12"/>
  <c r="X56" i="12" s="1"/>
  <c r="E57" i="12"/>
  <c r="G58" i="12"/>
  <c r="K60" i="12"/>
  <c r="M67" i="12"/>
  <c r="O69" i="12"/>
  <c r="S71" i="12"/>
  <c r="X71" i="12" s="1"/>
  <c r="E72" i="12"/>
  <c r="C64" i="11"/>
  <c r="I68" i="11"/>
  <c r="I60" i="11"/>
  <c r="S60" i="11"/>
  <c r="X60" i="11" s="1"/>
  <c r="Q63" i="11"/>
  <c r="C75" i="11"/>
  <c r="O64" i="11"/>
  <c r="O59" i="11"/>
  <c r="K60" i="11"/>
  <c r="G63" i="11"/>
  <c r="G64" i="11"/>
  <c r="Q64" i="11"/>
  <c r="G66" i="11"/>
  <c r="O68" i="11"/>
  <c r="C69" i="11"/>
  <c r="S69" i="11"/>
  <c r="X69" i="11" s="1"/>
  <c r="O72" i="11"/>
  <c r="Q73" i="11"/>
  <c r="G75" i="11"/>
  <c r="I78" i="11"/>
  <c r="O62" i="11"/>
  <c r="G72" i="11"/>
  <c r="G78" i="11"/>
  <c r="Q59" i="11"/>
  <c r="C60" i="11"/>
  <c r="O60" i="11"/>
  <c r="I63" i="11"/>
  <c r="I64" i="11"/>
  <c r="S64" i="11"/>
  <c r="X64" i="11" s="1"/>
  <c r="O66" i="11"/>
  <c r="Q68" i="11"/>
  <c r="G69" i="11"/>
  <c r="G73" i="11"/>
  <c r="K75" i="11"/>
  <c r="O78" i="11"/>
  <c r="O69" i="11"/>
  <c r="O73" i="11"/>
  <c r="O77" i="11"/>
  <c r="G59" i="11"/>
  <c r="G60" i="11"/>
  <c r="Q60" i="11"/>
  <c r="G62" i="11"/>
  <c r="O63" i="11"/>
  <c r="K64" i="11"/>
  <c r="G68" i="11"/>
  <c r="K69" i="11"/>
  <c r="I73" i="11"/>
  <c r="O75" i="11"/>
  <c r="G77" i="11"/>
  <c r="Q78" i="11"/>
  <c r="O71" i="10"/>
  <c r="I68" i="10"/>
  <c r="S59" i="10"/>
  <c r="X59" i="10" s="1"/>
  <c r="S63" i="10"/>
  <c r="X63" i="10" s="1"/>
  <c r="C74" i="10"/>
  <c r="G67" i="10"/>
  <c r="S68" i="10"/>
  <c r="X68" i="10" s="1"/>
  <c r="S74" i="10"/>
  <c r="X74" i="10" s="1"/>
  <c r="C59" i="10"/>
  <c r="C63" i="10"/>
  <c r="G72" i="10"/>
  <c r="K59" i="10"/>
  <c r="O61" i="10"/>
  <c r="K63" i="10"/>
  <c r="O65" i="10"/>
  <c r="C68" i="10"/>
  <c r="Q58" i="10"/>
  <c r="Q62" i="10"/>
  <c r="I74" i="10"/>
  <c r="Q77" i="10"/>
  <c r="G58" i="10"/>
  <c r="I59" i="10"/>
  <c r="G62" i="10"/>
  <c r="I63" i="10"/>
  <c r="I67" i="10"/>
  <c r="K68" i="10"/>
  <c r="I72" i="10"/>
  <c r="K74" i="10"/>
  <c r="I58" i="10"/>
  <c r="I62" i="10"/>
  <c r="O67" i="10"/>
  <c r="Q68" i="10"/>
  <c r="O72" i="10"/>
  <c r="Q74" i="10"/>
  <c r="G76" i="10"/>
  <c r="O58" i="10"/>
  <c r="Q59" i="10"/>
  <c r="G61" i="10"/>
  <c r="O62" i="10"/>
  <c r="Q63" i="10"/>
  <c r="G65" i="10"/>
  <c r="Q67" i="10"/>
  <c r="M70" i="10"/>
  <c r="G71" i="10"/>
  <c r="Q72" i="10"/>
  <c r="O76" i="10"/>
  <c r="I77" i="10"/>
  <c r="Q64" i="9"/>
  <c r="Q60" i="9"/>
  <c r="Q69" i="9"/>
  <c r="S71" i="9"/>
  <c r="S55" i="9"/>
  <c r="Q59" i="9"/>
  <c r="M72" i="9"/>
  <c r="M56" i="9"/>
  <c r="O58" i="9"/>
  <c r="S59" i="9"/>
  <c r="S60" i="9"/>
  <c r="O62" i="9"/>
  <c r="Q65" i="9"/>
  <c r="Q56" i="9"/>
  <c r="Q58" i="9"/>
  <c r="Q62" i="9"/>
  <c r="S65" i="9"/>
  <c r="O68" i="9"/>
  <c r="Q73" i="9"/>
  <c r="O57" i="9"/>
  <c r="Q55" i="9"/>
  <c r="S56" i="9"/>
  <c r="Q68" i="9"/>
  <c r="Q71" i="9"/>
  <c r="Q74" i="9"/>
  <c r="Q75" i="8"/>
  <c r="I56" i="8"/>
  <c r="I60" i="8"/>
  <c r="S59" i="8"/>
  <c r="X59" i="8" s="1"/>
  <c r="C66" i="8"/>
  <c r="Q56" i="8"/>
  <c r="C59" i="8"/>
  <c r="Q60" i="8"/>
  <c r="S66" i="8"/>
  <c r="X66" i="8" s="1"/>
  <c r="I70" i="8"/>
  <c r="I65" i="8"/>
  <c r="C72" i="8"/>
  <c r="O57" i="8"/>
  <c r="G61" i="8"/>
  <c r="O56" i="8"/>
  <c r="C57" i="8"/>
  <c r="S57" i="8"/>
  <c r="X57" i="8" s="1"/>
  <c r="G59" i="8"/>
  <c r="G60" i="8"/>
  <c r="K61" i="8"/>
  <c r="Q65" i="8"/>
  <c r="G66" i="8"/>
  <c r="Q70" i="8"/>
  <c r="G72" i="8"/>
  <c r="G57" i="8"/>
  <c r="K59" i="8"/>
  <c r="O61" i="8"/>
  <c r="G63" i="8"/>
  <c r="K66" i="8"/>
  <c r="G69" i="8"/>
  <c r="K72" i="8"/>
  <c r="G74" i="8"/>
  <c r="G56" i="8"/>
  <c r="K57" i="8"/>
  <c r="O59" i="8"/>
  <c r="O60" i="8"/>
  <c r="C61" i="8"/>
  <c r="S61" i="8"/>
  <c r="X61" i="8" s="1"/>
  <c r="O63" i="8"/>
  <c r="O66" i="8"/>
  <c r="O69" i="8"/>
  <c r="O72" i="8"/>
  <c r="O74" i="8"/>
  <c r="I75" i="8"/>
  <c r="G83" i="7"/>
  <c r="G86" i="7"/>
  <c r="Q87" i="7"/>
  <c r="O73" i="7"/>
  <c r="Q74" i="7"/>
  <c r="Q77" i="7"/>
  <c r="Q73" i="7"/>
  <c r="G74" i="7"/>
  <c r="O76" i="7"/>
  <c r="I82" i="7"/>
  <c r="O83" i="7"/>
  <c r="O86" i="7"/>
  <c r="G73" i="7"/>
  <c r="I74" i="7"/>
  <c r="G78" i="7"/>
  <c r="G80" i="7"/>
  <c r="Q82" i="7"/>
  <c r="G89" i="7"/>
  <c r="G91" i="7"/>
  <c r="I73" i="7"/>
  <c r="O74" i="7"/>
  <c r="G76" i="7"/>
  <c r="I77" i="7"/>
  <c r="O78" i="7"/>
  <c r="O80" i="7"/>
  <c r="I87" i="7"/>
  <c r="O89" i="7"/>
  <c r="O91" i="7"/>
  <c r="E65" i="6"/>
  <c r="Q69" i="6"/>
  <c r="Q63" i="6"/>
  <c r="M63" i="6"/>
  <c r="M57" i="6"/>
  <c r="M75" i="6"/>
  <c r="M56" i="6"/>
  <c r="I59" i="6"/>
  <c r="I74" i="6"/>
  <c r="E74" i="6"/>
  <c r="E72" i="6"/>
  <c r="S60" i="6"/>
  <c r="X60" i="6" s="1"/>
  <c r="K70" i="6"/>
  <c r="C56" i="6"/>
  <c r="M59" i="6"/>
  <c r="E60" i="6"/>
  <c r="K65" i="6"/>
  <c r="E66" i="6"/>
  <c r="E69" i="6"/>
  <c r="M70" i="6"/>
  <c r="M72" i="6"/>
  <c r="C75" i="6"/>
  <c r="S75" i="6"/>
  <c r="X75" i="6" s="1"/>
  <c r="E56" i="6"/>
  <c r="Q59" i="6"/>
  <c r="K60" i="6"/>
  <c r="E61" i="6"/>
  <c r="E63" i="6"/>
  <c r="M65" i="6"/>
  <c r="M66" i="6"/>
  <c r="I69" i="6"/>
  <c r="C70" i="6"/>
  <c r="S70" i="6"/>
  <c r="X70" i="6" s="1"/>
  <c r="M74" i="6"/>
  <c r="E75" i="6"/>
  <c r="C60" i="6"/>
  <c r="S56" i="6"/>
  <c r="X56" i="6" s="1"/>
  <c r="K56" i="6"/>
  <c r="E57" i="6"/>
  <c r="E59" i="6"/>
  <c r="M60" i="6"/>
  <c r="M61" i="6"/>
  <c r="I63" i="6"/>
  <c r="C65" i="6"/>
  <c r="S65" i="6"/>
  <c r="X65" i="6" s="1"/>
  <c r="M69" i="6"/>
  <c r="E70" i="6"/>
  <c r="Q74" i="6"/>
  <c r="K75" i="6"/>
  <c r="Q57" i="5"/>
  <c r="E61" i="5"/>
  <c r="S52" i="4"/>
  <c r="Q59" i="4"/>
  <c r="I65" i="4"/>
  <c r="S71" i="4"/>
  <c r="C61" i="4"/>
  <c r="K56" i="4"/>
  <c r="E67" i="5"/>
  <c r="E72" i="5"/>
  <c r="Q59" i="5"/>
  <c r="Q70" i="5"/>
  <c r="Q54" i="5"/>
  <c r="Q64" i="5"/>
  <c r="O54" i="5"/>
  <c r="E57" i="5"/>
  <c r="O57" i="5"/>
  <c r="Q58" i="5"/>
  <c r="I59" i="5"/>
  <c r="O61" i="5"/>
  <c r="Q63" i="5"/>
  <c r="I64" i="5"/>
  <c r="O67" i="5"/>
  <c r="Q68" i="5"/>
  <c r="I70" i="5"/>
  <c r="O72" i="5"/>
  <c r="Q73" i="5"/>
  <c r="G63" i="5"/>
  <c r="G73" i="5"/>
  <c r="G54" i="5"/>
  <c r="I55" i="5"/>
  <c r="I57" i="5"/>
  <c r="I58" i="5"/>
  <c r="G61" i="5"/>
  <c r="I63" i="5"/>
  <c r="G67" i="5"/>
  <c r="I68" i="5"/>
  <c r="G72" i="5"/>
  <c r="I73" i="5"/>
  <c r="G57" i="5"/>
  <c r="G58" i="5"/>
  <c r="G68" i="5"/>
  <c r="I54" i="5"/>
  <c r="Q55" i="5"/>
  <c r="M57" i="5"/>
  <c r="O58" i="5"/>
  <c r="M61" i="5"/>
  <c r="O63" i="5"/>
  <c r="M67" i="5"/>
  <c r="O68" i="5"/>
  <c r="M72" i="5"/>
  <c r="O73" i="5"/>
  <c r="M53" i="4"/>
  <c r="E57" i="4"/>
  <c r="S56" i="4"/>
  <c r="M57" i="4"/>
  <c r="K61" i="4"/>
  <c r="E62" i="4"/>
  <c r="Q65" i="4"/>
  <c r="C66" i="4"/>
  <c r="I70" i="4"/>
  <c r="C52" i="4"/>
  <c r="I55" i="4"/>
  <c r="S61" i="4"/>
  <c r="M62" i="4"/>
  <c r="K66" i="4"/>
  <c r="E68" i="4"/>
  <c r="Q70" i="4"/>
  <c r="C71" i="4"/>
  <c r="K52" i="4"/>
  <c r="E53" i="4"/>
  <c r="Q55" i="4"/>
  <c r="C56" i="4"/>
  <c r="I59" i="4"/>
  <c r="S66" i="4"/>
  <c r="M68" i="4"/>
  <c r="K71" i="4"/>
  <c r="G57" i="24"/>
  <c r="O67" i="24"/>
  <c r="G72" i="24"/>
  <c r="C56" i="24"/>
  <c r="K56" i="24"/>
  <c r="S56" i="24"/>
  <c r="X56" i="24" s="1"/>
  <c r="E57" i="24"/>
  <c r="M57" i="24"/>
  <c r="G58" i="24"/>
  <c r="O58" i="24"/>
  <c r="I59" i="24"/>
  <c r="Q59" i="24"/>
  <c r="C60" i="24"/>
  <c r="K60" i="24"/>
  <c r="S60" i="24"/>
  <c r="X60" i="24" s="1"/>
  <c r="M61" i="24"/>
  <c r="G62" i="24"/>
  <c r="O62" i="24"/>
  <c r="I64" i="24"/>
  <c r="Q64" i="24"/>
  <c r="C65" i="24"/>
  <c r="K65" i="24"/>
  <c r="S65" i="24"/>
  <c r="X65" i="24" s="1"/>
  <c r="E67" i="24"/>
  <c r="M67" i="24"/>
  <c r="G68" i="24"/>
  <c r="O68" i="24"/>
  <c r="I69" i="24"/>
  <c r="Q69" i="24"/>
  <c r="C71" i="24"/>
  <c r="K71" i="24"/>
  <c r="S71" i="24"/>
  <c r="X71" i="24" s="1"/>
  <c r="E72" i="24"/>
  <c r="M72" i="24"/>
  <c r="G73" i="24"/>
  <c r="O73" i="24"/>
  <c r="I74" i="24"/>
  <c r="Q74" i="24"/>
  <c r="O57" i="24"/>
  <c r="G67" i="24"/>
  <c r="O72" i="24"/>
  <c r="E55" i="24"/>
  <c r="M55" i="24"/>
  <c r="G56" i="24"/>
  <c r="O56" i="24"/>
  <c r="I57" i="24"/>
  <c r="Q57" i="24"/>
  <c r="C58" i="24"/>
  <c r="K58" i="24"/>
  <c r="S58" i="24"/>
  <c r="X58" i="24" s="1"/>
  <c r="E59" i="24"/>
  <c r="M59" i="24"/>
  <c r="G60" i="24"/>
  <c r="O60" i="24"/>
  <c r="I61" i="24"/>
  <c r="Q61" i="24"/>
  <c r="C62" i="24"/>
  <c r="K62" i="24"/>
  <c r="S62" i="24"/>
  <c r="X62" i="24" s="1"/>
  <c r="E64" i="24"/>
  <c r="M64" i="24"/>
  <c r="G65" i="24"/>
  <c r="O65" i="24"/>
  <c r="I67" i="24"/>
  <c r="Q67" i="24"/>
  <c r="C68" i="24"/>
  <c r="K68" i="24"/>
  <c r="S68" i="24"/>
  <c r="X68" i="24" s="1"/>
  <c r="E69" i="24"/>
  <c r="M69" i="24"/>
  <c r="G71" i="24"/>
  <c r="O71" i="24"/>
  <c r="C73" i="24"/>
  <c r="K73" i="24"/>
  <c r="S73" i="24"/>
  <c r="X73" i="24" s="1"/>
  <c r="E74" i="24"/>
  <c r="M74" i="24"/>
  <c r="O61" i="24"/>
  <c r="G55" i="24"/>
  <c r="O55" i="24"/>
  <c r="C57" i="24"/>
  <c r="K57" i="24"/>
  <c r="S57" i="24"/>
  <c r="X57" i="24" s="1"/>
  <c r="G59" i="24"/>
  <c r="O59" i="24"/>
  <c r="C61" i="24"/>
  <c r="K61" i="24"/>
  <c r="S61" i="24"/>
  <c r="X61" i="24" s="1"/>
  <c r="G64" i="24"/>
  <c r="O64" i="24"/>
  <c r="C67" i="24"/>
  <c r="K67" i="24"/>
  <c r="S67" i="24"/>
  <c r="X67" i="24" s="1"/>
  <c r="G69" i="24"/>
  <c r="O69" i="24"/>
  <c r="M60" i="23"/>
  <c r="M64" i="23"/>
  <c r="E70" i="23"/>
  <c r="M70" i="23"/>
  <c r="E75" i="23"/>
  <c r="M75" i="23"/>
  <c r="C58" i="23"/>
  <c r="K58" i="23"/>
  <c r="S58" i="23"/>
  <c r="X58" i="23" s="1"/>
  <c r="E59" i="23"/>
  <c r="M59" i="23"/>
  <c r="G60" i="23"/>
  <c r="O60" i="23"/>
  <c r="I61" i="23"/>
  <c r="Q61" i="23"/>
  <c r="C62" i="23"/>
  <c r="K62" i="23"/>
  <c r="S62" i="23"/>
  <c r="X62" i="23" s="1"/>
  <c r="E63" i="23"/>
  <c r="M63" i="23"/>
  <c r="O64" i="23"/>
  <c r="I65" i="23"/>
  <c r="Q65" i="23"/>
  <c r="C67" i="23"/>
  <c r="K67" i="23"/>
  <c r="S67" i="23"/>
  <c r="X67" i="23" s="1"/>
  <c r="E68" i="23"/>
  <c r="M68" i="23"/>
  <c r="G70" i="23"/>
  <c r="O70" i="23"/>
  <c r="I71" i="23"/>
  <c r="Q71" i="23"/>
  <c r="C72" i="23"/>
  <c r="K72" i="23"/>
  <c r="S72" i="23"/>
  <c r="X72" i="23" s="1"/>
  <c r="E74" i="23"/>
  <c r="M74" i="23"/>
  <c r="G75" i="23"/>
  <c r="O75" i="23"/>
  <c r="I76" i="23"/>
  <c r="Q76" i="23"/>
  <c r="C77" i="23"/>
  <c r="K77" i="23"/>
  <c r="S77" i="23"/>
  <c r="X77" i="23" s="1"/>
  <c r="E60" i="23"/>
  <c r="E58" i="23"/>
  <c r="M58" i="23"/>
  <c r="I60" i="23"/>
  <c r="Q60" i="23"/>
  <c r="C61" i="23"/>
  <c r="K61" i="23"/>
  <c r="S61" i="23"/>
  <c r="X61" i="23" s="1"/>
  <c r="E62" i="23"/>
  <c r="M62" i="23"/>
  <c r="I64" i="23"/>
  <c r="Q64" i="23"/>
  <c r="C65" i="23"/>
  <c r="K65" i="23"/>
  <c r="S65" i="23"/>
  <c r="X65" i="23" s="1"/>
  <c r="E67" i="23"/>
  <c r="M67" i="23"/>
  <c r="I70" i="23"/>
  <c r="Q70" i="23"/>
  <c r="C71" i="23"/>
  <c r="K71" i="23"/>
  <c r="S71" i="23"/>
  <c r="X71" i="23" s="1"/>
  <c r="E72" i="23"/>
  <c r="M72" i="23"/>
  <c r="I75" i="23"/>
  <c r="Q75" i="23"/>
  <c r="C76" i="23"/>
  <c r="K76" i="23"/>
  <c r="S76" i="23"/>
  <c r="X76" i="23" s="1"/>
  <c r="E77" i="23"/>
  <c r="M77" i="23"/>
  <c r="I59" i="23"/>
  <c r="Q59" i="23"/>
  <c r="C60" i="23"/>
  <c r="K60" i="23"/>
  <c r="S60" i="23"/>
  <c r="X60" i="23" s="1"/>
  <c r="E61" i="23"/>
  <c r="M61" i="23"/>
  <c r="I63" i="23"/>
  <c r="Q63" i="23"/>
  <c r="K64" i="23"/>
  <c r="S64" i="23"/>
  <c r="X64" i="23" s="1"/>
  <c r="E65" i="23"/>
  <c r="M65" i="23"/>
  <c r="I68" i="23"/>
  <c r="Q68" i="23"/>
  <c r="C70" i="23"/>
  <c r="K70" i="23"/>
  <c r="S70" i="23"/>
  <c r="X70" i="23" s="1"/>
  <c r="E71" i="23"/>
  <c r="M71" i="23"/>
  <c r="I71" i="22"/>
  <c r="Q71" i="22"/>
  <c r="C72" i="22"/>
  <c r="K72" i="22"/>
  <c r="E73" i="22"/>
  <c r="M73" i="22"/>
  <c r="G74" i="22"/>
  <c r="O74" i="22"/>
  <c r="I75" i="22"/>
  <c r="Q75" i="22"/>
  <c r="C76" i="22"/>
  <c r="K76" i="22"/>
  <c r="M77" i="22"/>
  <c r="G78" i="22"/>
  <c r="O78" i="22"/>
  <c r="I80" i="22"/>
  <c r="Q80" i="22"/>
  <c r="C81" i="22"/>
  <c r="K81" i="22"/>
  <c r="E83" i="22"/>
  <c r="M83" i="22"/>
  <c r="G84" i="22"/>
  <c r="O84" i="22"/>
  <c r="I85" i="22"/>
  <c r="Q85" i="22"/>
  <c r="C87" i="22"/>
  <c r="K87" i="22"/>
  <c r="G89" i="22"/>
  <c r="O89" i="22"/>
  <c r="I90" i="22"/>
  <c r="Q90" i="22"/>
  <c r="C71" i="22"/>
  <c r="K71" i="22"/>
  <c r="G73" i="22"/>
  <c r="O73" i="22"/>
  <c r="I74" i="22"/>
  <c r="Q74" i="22"/>
  <c r="C75" i="22"/>
  <c r="K75" i="22"/>
  <c r="O77" i="22"/>
  <c r="I78" i="22"/>
  <c r="Q78" i="22"/>
  <c r="C80" i="22"/>
  <c r="K80" i="22"/>
  <c r="G83" i="22"/>
  <c r="O83" i="22"/>
  <c r="I84" i="22"/>
  <c r="Q84" i="22"/>
  <c r="C85" i="22"/>
  <c r="K85" i="22"/>
  <c r="G88" i="22"/>
  <c r="O88" i="22"/>
  <c r="I89" i="22"/>
  <c r="Q89" i="22"/>
  <c r="C90" i="22"/>
  <c r="K90" i="22"/>
  <c r="G72" i="22"/>
  <c r="O72" i="22"/>
  <c r="I73" i="22"/>
  <c r="Q73" i="22"/>
  <c r="C74" i="22"/>
  <c r="K74" i="22"/>
  <c r="G76" i="22"/>
  <c r="O76" i="22"/>
  <c r="I77" i="22"/>
  <c r="Q77" i="22"/>
  <c r="C78" i="22"/>
  <c r="K78" i="22"/>
  <c r="G81" i="22"/>
  <c r="O81" i="22"/>
  <c r="I83" i="22"/>
  <c r="Q83" i="22"/>
  <c r="C84" i="22"/>
  <c r="K84" i="22"/>
  <c r="G87" i="22"/>
  <c r="O87" i="22"/>
  <c r="I88" i="22"/>
  <c r="Q88" i="22"/>
  <c r="C89" i="22"/>
  <c r="K89" i="22"/>
  <c r="G71" i="22"/>
  <c r="O71" i="22"/>
  <c r="I72" i="22"/>
  <c r="Q72" i="22"/>
  <c r="C73" i="22"/>
  <c r="K73" i="22"/>
  <c r="G75" i="22"/>
  <c r="O75" i="22"/>
  <c r="I76" i="22"/>
  <c r="Q76" i="22"/>
  <c r="C77" i="22"/>
  <c r="K77" i="22"/>
  <c r="G80" i="22"/>
  <c r="O80" i="22"/>
  <c r="I81" i="22"/>
  <c r="Q81" i="22"/>
  <c r="C83" i="22"/>
  <c r="K83" i="22"/>
  <c r="G85" i="22"/>
  <c r="O85" i="22"/>
  <c r="E59" i="21"/>
  <c r="M69" i="21"/>
  <c r="E58" i="21"/>
  <c r="M58" i="21"/>
  <c r="G59" i="21"/>
  <c r="O59" i="21"/>
  <c r="E62" i="21"/>
  <c r="M62" i="21"/>
  <c r="G63" i="21"/>
  <c r="O63" i="21"/>
  <c r="E67" i="21"/>
  <c r="M67" i="21"/>
  <c r="G69" i="21"/>
  <c r="O69" i="21"/>
  <c r="C71" i="21"/>
  <c r="K71" i="21"/>
  <c r="S71" i="21"/>
  <c r="X71" i="21" s="1"/>
  <c r="E73" i="21"/>
  <c r="M73" i="21"/>
  <c r="G74" i="21"/>
  <c r="O74" i="21"/>
  <c r="C76" i="21"/>
  <c r="K76" i="21"/>
  <c r="S76" i="21"/>
  <c r="X76" i="21" s="1"/>
  <c r="M59" i="21"/>
  <c r="M63" i="21"/>
  <c r="E74" i="21"/>
  <c r="M74" i="21"/>
  <c r="E57" i="21"/>
  <c r="M57" i="21"/>
  <c r="G58" i="21"/>
  <c r="O58" i="21"/>
  <c r="I59" i="21"/>
  <c r="Q59" i="21"/>
  <c r="C60" i="21"/>
  <c r="K60" i="21"/>
  <c r="S60" i="21"/>
  <c r="X60" i="21" s="1"/>
  <c r="E61" i="21"/>
  <c r="M61" i="21"/>
  <c r="G62" i="21"/>
  <c r="O62" i="21"/>
  <c r="I63" i="21"/>
  <c r="Q63" i="21"/>
  <c r="C64" i="21"/>
  <c r="K64" i="21"/>
  <c r="S64" i="21"/>
  <c r="X64" i="21" s="1"/>
  <c r="E66" i="21"/>
  <c r="M66" i="21"/>
  <c r="G67" i="21"/>
  <c r="O67" i="21"/>
  <c r="I69" i="21"/>
  <c r="Q69" i="21"/>
  <c r="C70" i="21"/>
  <c r="K70" i="21"/>
  <c r="S70" i="21"/>
  <c r="X70" i="21" s="1"/>
  <c r="E71" i="21"/>
  <c r="M71" i="21"/>
  <c r="G73" i="21"/>
  <c r="O73" i="21"/>
  <c r="C75" i="21"/>
  <c r="K75" i="21"/>
  <c r="S75" i="21"/>
  <c r="X75" i="21" s="1"/>
  <c r="E76" i="21"/>
  <c r="M76" i="21"/>
  <c r="E63" i="21"/>
  <c r="E69" i="21"/>
  <c r="G57" i="21"/>
  <c r="O57" i="21"/>
  <c r="C59" i="21"/>
  <c r="K59" i="21"/>
  <c r="S59" i="21"/>
  <c r="X59" i="21" s="1"/>
  <c r="E60" i="21"/>
  <c r="M60" i="21"/>
  <c r="G61" i="21"/>
  <c r="O61" i="21"/>
  <c r="C63" i="21"/>
  <c r="K63" i="21"/>
  <c r="S63" i="21"/>
  <c r="X63" i="21" s="1"/>
  <c r="E64" i="21"/>
  <c r="M64" i="21"/>
  <c r="G66" i="21"/>
  <c r="O66" i="21"/>
  <c r="C69" i="21"/>
  <c r="K69" i="21"/>
  <c r="S69" i="21"/>
  <c r="X69" i="21" s="1"/>
  <c r="E70" i="21"/>
  <c r="M70" i="21"/>
  <c r="G71" i="21"/>
  <c r="O71" i="21"/>
  <c r="G75" i="20"/>
  <c r="I58" i="20"/>
  <c r="Q58" i="20"/>
  <c r="C59" i="20"/>
  <c r="K59" i="20"/>
  <c r="S59" i="20"/>
  <c r="X59" i="20" s="1"/>
  <c r="E60" i="20"/>
  <c r="M60" i="20"/>
  <c r="G61" i="20"/>
  <c r="O61" i="20"/>
  <c r="I62" i="20"/>
  <c r="Q62" i="20"/>
  <c r="C63" i="20"/>
  <c r="K63" i="20"/>
  <c r="S63" i="20"/>
  <c r="X63" i="20" s="1"/>
  <c r="M64" i="20"/>
  <c r="G65" i="20"/>
  <c r="O65" i="20"/>
  <c r="I67" i="20"/>
  <c r="Q67" i="20"/>
  <c r="C68" i="20"/>
  <c r="K68" i="20"/>
  <c r="S68" i="20"/>
  <c r="X68" i="20" s="1"/>
  <c r="E70" i="20"/>
  <c r="M70" i="20"/>
  <c r="G71" i="20"/>
  <c r="O71" i="20"/>
  <c r="I72" i="20"/>
  <c r="Q72" i="20"/>
  <c r="C74" i="20"/>
  <c r="K74" i="20"/>
  <c r="S74" i="20"/>
  <c r="X74" i="20" s="1"/>
  <c r="E75" i="20"/>
  <c r="M75" i="20"/>
  <c r="G76" i="20"/>
  <c r="O76" i="20"/>
  <c r="I77" i="20"/>
  <c r="Q77" i="20"/>
  <c r="O60" i="20"/>
  <c r="O64" i="20"/>
  <c r="G70" i="20"/>
  <c r="G59" i="20"/>
  <c r="O59" i="20"/>
  <c r="I60" i="20"/>
  <c r="Q60" i="20"/>
  <c r="C61" i="20"/>
  <c r="K61" i="20"/>
  <c r="S61" i="20"/>
  <c r="X61" i="20" s="1"/>
  <c r="G63" i="20"/>
  <c r="O63" i="20"/>
  <c r="I64" i="20"/>
  <c r="Q64" i="20"/>
  <c r="C65" i="20"/>
  <c r="K65" i="20"/>
  <c r="S65" i="20"/>
  <c r="X65" i="20" s="1"/>
  <c r="G68" i="20"/>
  <c r="O68" i="20"/>
  <c r="I70" i="20"/>
  <c r="Q70" i="20"/>
  <c r="C71" i="20"/>
  <c r="K71" i="20"/>
  <c r="S71" i="20"/>
  <c r="X71" i="20" s="1"/>
  <c r="G74" i="20"/>
  <c r="O74" i="20"/>
  <c r="I75" i="20"/>
  <c r="Q75" i="20"/>
  <c r="C76" i="20"/>
  <c r="K76" i="20"/>
  <c r="S76" i="20"/>
  <c r="X76" i="20" s="1"/>
  <c r="G60" i="20"/>
  <c r="O70" i="20"/>
  <c r="O75" i="20"/>
  <c r="G58" i="20"/>
  <c r="O58" i="20"/>
  <c r="I59" i="20"/>
  <c r="Q59" i="20"/>
  <c r="C60" i="20"/>
  <c r="K60" i="20"/>
  <c r="S60" i="20"/>
  <c r="X60" i="20" s="1"/>
  <c r="G62" i="20"/>
  <c r="O62" i="20"/>
  <c r="I63" i="20"/>
  <c r="Q63" i="20"/>
  <c r="C64" i="20"/>
  <c r="K64" i="20"/>
  <c r="S64" i="20"/>
  <c r="X64" i="20" s="1"/>
  <c r="G67" i="20"/>
  <c r="O67" i="20"/>
  <c r="I68" i="20"/>
  <c r="Q68" i="20"/>
  <c r="C70" i="20"/>
  <c r="K70" i="20"/>
  <c r="S70" i="20"/>
  <c r="X70" i="20" s="1"/>
  <c r="G72" i="20"/>
  <c r="O72" i="20"/>
  <c r="E58" i="19"/>
  <c r="M62" i="19"/>
  <c r="E68" i="19"/>
  <c r="M68" i="19"/>
  <c r="E73" i="19"/>
  <c r="M73" i="19"/>
  <c r="C56" i="19"/>
  <c r="K56" i="19"/>
  <c r="S56" i="19"/>
  <c r="X56" i="19" s="1"/>
  <c r="E57" i="19"/>
  <c r="M57" i="19"/>
  <c r="G58" i="19"/>
  <c r="O58" i="19"/>
  <c r="I59" i="19"/>
  <c r="Q59" i="19"/>
  <c r="C60" i="19"/>
  <c r="K60" i="19"/>
  <c r="S60" i="19"/>
  <c r="X60" i="19" s="1"/>
  <c r="E61" i="19"/>
  <c r="M61" i="19"/>
  <c r="O62" i="19"/>
  <c r="I63" i="19"/>
  <c r="Q63" i="19"/>
  <c r="C65" i="19"/>
  <c r="K65" i="19"/>
  <c r="S65" i="19"/>
  <c r="X65" i="19" s="1"/>
  <c r="E66" i="19"/>
  <c r="M66" i="19"/>
  <c r="G68" i="19"/>
  <c r="O68" i="19"/>
  <c r="I69" i="19"/>
  <c r="Q69" i="19"/>
  <c r="C70" i="19"/>
  <c r="K70" i="19"/>
  <c r="S70" i="19"/>
  <c r="X70" i="19" s="1"/>
  <c r="E72" i="19"/>
  <c r="M72" i="19"/>
  <c r="G73" i="19"/>
  <c r="O73" i="19"/>
  <c r="I74" i="19"/>
  <c r="Q74" i="19"/>
  <c r="C75" i="19"/>
  <c r="K75" i="19"/>
  <c r="S75" i="19"/>
  <c r="X75" i="19" s="1"/>
  <c r="E56" i="19"/>
  <c r="M56" i="19"/>
  <c r="I58" i="19"/>
  <c r="Q58" i="19"/>
  <c r="C59" i="19"/>
  <c r="K59" i="19"/>
  <c r="S59" i="19"/>
  <c r="X59" i="19" s="1"/>
  <c r="E60" i="19"/>
  <c r="M60" i="19"/>
  <c r="I62" i="19"/>
  <c r="Q62" i="19"/>
  <c r="C63" i="19"/>
  <c r="K63" i="19"/>
  <c r="S63" i="19"/>
  <c r="X63" i="19" s="1"/>
  <c r="E65" i="19"/>
  <c r="M65" i="19"/>
  <c r="I68" i="19"/>
  <c r="Q68" i="19"/>
  <c r="C69" i="19"/>
  <c r="K69" i="19"/>
  <c r="S69" i="19"/>
  <c r="X69" i="19" s="1"/>
  <c r="E70" i="19"/>
  <c r="M70" i="19"/>
  <c r="I73" i="19"/>
  <c r="Q73" i="19"/>
  <c r="C74" i="19"/>
  <c r="K74" i="19"/>
  <c r="S74" i="19"/>
  <c r="X74" i="19" s="1"/>
  <c r="E75" i="19"/>
  <c r="M75" i="19"/>
  <c r="M58" i="19"/>
  <c r="I57" i="19"/>
  <c r="Q57" i="19"/>
  <c r="C58" i="19"/>
  <c r="K58" i="19"/>
  <c r="S58" i="19"/>
  <c r="X58" i="19" s="1"/>
  <c r="E59" i="19"/>
  <c r="M59" i="19"/>
  <c r="I61" i="19"/>
  <c r="Q61" i="19"/>
  <c r="C62" i="19"/>
  <c r="K62" i="19"/>
  <c r="S62" i="19"/>
  <c r="X62" i="19" s="1"/>
  <c r="E63" i="19"/>
  <c r="M63" i="19"/>
  <c r="I66" i="19"/>
  <c r="Q66" i="19"/>
  <c r="C68" i="19"/>
  <c r="K68" i="19"/>
  <c r="S68" i="19"/>
  <c r="X68" i="19" s="1"/>
  <c r="E69" i="19"/>
  <c r="M69" i="19"/>
  <c r="E53" i="18"/>
  <c r="M57" i="18"/>
  <c r="E63" i="18"/>
  <c r="M63" i="18"/>
  <c r="E68" i="18"/>
  <c r="M68" i="18"/>
  <c r="C51" i="18"/>
  <c r="K51" i="18"/>
  <c r="S51" i="18"/>
  <c r="X51" i="18" s="1"/>
  <c r="E52" i="18"/>
  <c r="M52" i="18"/>
  <c r="G53" i="18"/>
  <c r="O53" i="18"/>
  <c r="I54" i="18"/>
  <c r="Q54" i="18"/>
  <c r="C55" i="18"/>
  <c r="K55" i="18"/>
  <c r="S55" i="18"/>
  <c r="X55" i="18" s="1"/>
  <c r="E56" i="18"/>
  <c r="M56" i="18"/>
  <c r="O57" i="18"/>
  <c r="I58" i="18"/>
  <c r="Q58" i="18"/>
  <c r="C60" i="18"/>
  <c r="K60" i="18"/>
  <c r="S60" i="18"/>
  <c r="X60" i="18" s="1"/>
  <c r="E61" i="18"/>
  <c r="M61" i="18"/>
  <c r="G63" i="18"/>
  <c r="O63" i="18"/>
  <c r="I64" i="18"/>
  <c r="Q64" i="18"/>
  <c r="C65" i="18"/>
  <c r="K65" i="18"/>
  <c r="S65" i="18"/>
  <c r="X65" i="18" s="1"/>
  <c r="E67" i="18"/>
  <c r="M67" i="18"/>
  <c r="G68" i="18"/>
  <c r="O68" i="18"/>
  <c r="I69" i="18"/>
  <c r="Q69" i="18"/>
  <c r="C70" i="18"/>
  <c r="K70" i="18"/>
  <c r="S70" i="18"/>
  <c r="X70" i="18" s="1"/>
  <c r="M53" i="18"/>
  <c r="E51" i="18"/>
  <c r="M51" i="18"/>
  <c r="I53" i="18"/>
  <c r="Q53" i="18"/>
  <c r="E55" i="18"/>
  <c r="M55" i="18"/>
  <c r="I57" i="18"/>
  <c r="Q57" i="18"/>
  <c r="C58" i="18"/>
  <c r="K58" i="18"/>
  <c r="S58" i="18"/>
  <c r="X58" i="18" s="1"/>
  <c r="E60" i="18"/>
  <c r="M60" i="18"/>
  <c r="I63" i="18"/>
  <c r="Q63" i="18"/>
  <c r="C64" i="18"/>
  <c r="K64" i="18"/>
  <c r="S64" i="18"/>
  <c r="X64" i="18" s="1"/>
  <c r="E65" i="18"/>
  <c r="M65" i="18"/>
  <c r="I68" i="18"/>
  <c r="Q68" i="18"/>
  <c r="C69" i="18"/>
  <c r="K69" i="18"/>
  <c r="S69" i="18"/>
  <c r="X69" i="18" s="1"/>
  <c r="E70" i="18"/>
  <c r="M70" i="18"/>
  <c r="I52" i="18"/>
  <c r="Q52" i="18"/>
  <c r="C53" i="18"/>
  <c r="K53" i="18"/>
  <c r="S53" i="18"/>
  <c r="X53" i="18" s="1"/>
  <c r="E54" i="18"/>
  <c r="M54" i="18"/>
  <c r="I56" i="18"/>
  <c r="Q56" i="18"/>
  <c r="C57" i="18"/>
  <c r="K57" i="18"/>
  <c r="S57" i="18"/>
  <c r="X57" i="18" s="1"/>
  <c r="E58" i="18"/>
  <c r="M58" i="18"/>
  <c r="I61" i="18"/>
  <c r="Q61" i="18"/>
  <c r="C63" i="18"/>
  <c r="K63" i="18"/>
  <c r="S63" i="18"/>
  <c r="X63" i="18" s="1"/>
  <c r="E64" i="18"/>
  <c r="M64" i="18"/>
  <c r="G65" i="18"/>
  <c r="O65" i="18"/>
  <c r="M75" i="17"/>
  <c r="M79" i="17"/>
  <c r="M90" i="17"/>
  <c r="S73" i="17"/>
  <c r="X73" i="17" s="1"/>
  <c r="M74" i="17"/>
  <c r="O75" i="17"/>
  <c r="Q76" i="17"/>
  <c r="S77" i="17"/>
  <c r="X77" i="17" s="1"/>
  <c r="M78" i="17"/>
  <c r="O79" i="17"/>
  <c r="Q80" i="17"/>
  <c r="S82" i="17"/>
  <c r="X82" i="17" s="1"/>
  <c r="M83" i="17"/>
  <c r="O85" i="17"/>
  <c r="Q86" i="17"/>
  <c r="S87" i="17"/>
  <c r="X87" i="17" s="1"/>
  <c r="M89" i="17"/>
  <c r="O90" i="17"/>
  <c r="Q91" i="17"/>
  <c r="C92" i="17"/>
  <c r="S92" i="17"/>
  <c r="X92" i="17" s="1"/>
  <c r="M73" i="17"/>
  <c r="Q75" i="17"/>
  <c r="S76" i="17"/>
  <c r="X76" i="17" s="1"/>
  <c r="M77" i="17"/>
  <c r="Q79" i="17"/>
  <c r="S80" i="17"/>
  <c r="X80" i="17" s="1"/>
  <c r="M82" i="17"/>
  <c r="Q85" i="17"/>
  <c r="S86" i="17"/>
  <c r="X86" i="17" s="1"/>
  <c r="M87" i="17"/>
  <c r="Q90" i="17"/>
  <c r="S91" i="17"/>
  <c r="X91" i="17" s="1"/>
  <c r="E92" i="17"/>
  <c r="M92" i="17"/>
  <c r="Q74" i="17"/>
  <c r="S75" i="17"/>
  <c r="X75" i="17" s="1"/>
  <c r="M76" i="17"/>
  <c r="Q78" i="17"/>
  <c r="S79" i="17"/>
  <c r="X79" i="17" s="1"/>
  <c r="M80" i="17"/>
  <c r="Q83" i="17"/>
  <c r="S85" i="17"/>
  <c r="X85" i="17" s="1"/>
  <c r="M86" i="17"/>
  <c r="G76" i="16"/>
  <c r="O81" i="16"/>
  <c r="I64" i="16"/>
  <c r="Q64" i="16"/>
  <c r="C65" i="16"/>
  <c r="K65" i="16"/>
  <c r="S65" i="16"/>
  <c r="E66" i="16"/>
  <c r="M66" i="16"/>
  <c r="G67" i="16"/>
  <c r="O67" i="16"/>
  <c r="I68" i="16"/>
  <c r="Q68" i="16"/>
  <c r="C69" i="16"/>
  <c r="K69" i="16"/>
  <c r="S69" i="16"/>
  <c r="M70" i="16"/>
  <c r="G71" i="16"/>
  <c r="O71" i="16"/>
  <c r="I73" i="16"/>
  <c r="Q73" i="16"/>
  <c r="C74" i="16"/>
  <c r="K74" i="16"/>
  <c r="S74" i="16"/>
  <c r="E76" i="16"/>
  <c r="M76" i="16"/>
  <c r="G77" i="16"/>
  <c r="O77" i="16"/>
  <c r="I78" i="16"/>
  <c r="Q78" i="16"/>
  <c r="C80" i="16"/>
  <c r="K80" i="16"/>
  <c r="S80" i="16"/>
  <c r="E81" i="16"/>
  <c r="M81" i="16"/>
  <c r="G82" i="16"/>
  <c r="O82" i="16"/>
  <c r="I83" i="16"/>
  <c r="Q83" i="16"/>
  <c r="G66" i="16"/>
  <c r="O70" i="16"/>
  <c r="G81" i="16"/>
  <c r="G65" i="16"/>
  <c r="O65" i="16"/>
  <c r="I66" i="16"/>
  <c r="Q66" i="16"/>
  <c r="C67" i="16"/>
  <c r="K67" i="16"/>
  <c r="S67" i="16"/>
  <c r="X67" i="16" s="1"/>
  <c r="G69" i="16"/>
  <c r="O69" i="16"/>
  <c r="I70" i="16"/>
  <c r="Q70" i="16"/>
  <c r="C71" i="16"/>
  <c r="K71" i="16"/>
  <c r="S71" i="16"/>
  <c r="X71" i="16" s="1"/>
  <c r="G74" i="16"/>
  <c r="O74" i="16"/>
  <c r="I76" i="16"/>
  <c r="Q76" i="16"/>
  <c r="C77" i="16"/>
  <c r="K77" i="16"/>
  <c r="S77" i="16"/>
  <c r="G80" i="16"/>
  <c r="O80" i="16"/>
  <c r="I81" i="16"/>
  <c r="Q81" i="16"/>
  <c r="C82" i="16"/>
  <c r="K82" i="16"/>
  <c r="S82" i="16"/>
  <c r="O66" i="16"/>
  <c r="O76" i="16"/>
  <c r="G64" i="16"/>
  <c r="O64" i="16"/>
  <c r="I65" i="16"/>
  <c r="Q65" i="16"/>
  <c r="C66" i="16"/>
  <c r="K66" i="16"/>
  <c r="S66" i="16"/>
  <c r="G68" i="16"/>
  <c r="O68" i="16"/>
  <c r="I69" i="16"/>
  <c r="Q69" i="16"/>
  <c r="C70" i="16"/>
  <c r="K70" i="16"/>
  <c r="S70" i="16"/>
  <c r="G73" i="16"/>
  <c r="O73" i="16"/>
  <c r="I74" i="16"/>
  <c r="Q74" i="16"/>
  <c r="C76" i="16"/>
  <c r="K76" i="16"/>
  <c r="S76" i="16"/>
  <c r="G78" i="16"/>
  <c r="O78" i="16"/>
  <c r="E61" i="15"/>
  <c r="M61" i="15"/>
  <c r="M65" i="15"/>
  <c r="E71" i="15"/>
  <c r="M71" i="15"/>
  <c r="E76" i="15"/>
  <c r="M76" i="15"/>
  <c r="C59" i="15"/>
  <c r="K59" i="15"/>
  <c r="S59" i="15"/>
  <c r="X59" i="15" s="1"/>
  <c r="E60" i="15"/>
  <c r="M60" i="15"/>
  <c r="G61" i="15"/>
  <c r="O61" i="15"/>
  <c r="I62" i="15"/>
  <c r="Q62" i="15"/>
  <c r="C63" i="15"/>
  <c r="K63" i="15"/>
  <c r="S63" i="15"/>
  <c r="X63" i="15" s="1"/>
  <c r="E64" i="15"/>
  <c r="M64" i="15"/>
  <c r="O65" i="15"/>
  <c r="I66" i="15"/>
  <c r="Q66" i="15"/>
  <c r="C68" i="15"/>
  <c r="K68" i="15"/>
  <c r="S68" i="15"/>
  <c r="X68" i="15" s="1"/>
  <c r="E69" i="15"/>
  <c r="M69" i="15"/>
  <c r="G71" i="15"/>
  <c r="O71" i="15"/>
  <c r="I72" i="15"/>
  <c r="Q72" i="15"/>
  <c r="C73" i="15"/>
  <c r="K73" i="15"/>
  <c r="S73" i="15"/>
  <c r="X73" i="15" s="1"/>
  <c r="E75" i="15"/>
  <c r="M75" i="15"/>
  <c r="G76" i="15"/>
  <c r="O76" i="15"/>
  <c r="I77" i="15"/>
  <c r="Q77" i="15"/>
  <c r="C78" i="15"/>
  <c r="K78" i="15"/>
  <c r="S78" i="15"/>
  <c r="X78" i="15" s="1"/>
  <c r="E59" i="15"/>
  <c r="M59" i="15"/>
  <c r="I61" i="15"/>
  <c r="Q61" i="15"/>
  <c r="C62" i="15"/>
  <c r="K62" i="15"/>
  <c r="S62" i="15"/>
  <c r="X62" i="15" s="1"/>
  <c r="E63" i="15"/>
  <c r="M63" i="15"/>
  <c r="I65" i="15"/>
  <c r="Q65" i="15"/>
  <c r="C66" i="15"/>
  <c r="K66" i="15"/>
  <c r="S66" i="15"/>
  <c r="X66" i="15" s="1"/>
  <c r="E68" i="15"/>
  <c r="M68" i="15"/>
  <c r="I71" i="15"/>
  <c r="Q71" i="15"/>
  <c r="C72" i="15"/>
  <c r="K72" i="15"/>
  <c r="S72" i="15"/>
  <c r="X72" i="15" s="1"/>
  <c r="E73" i="15"/>
  <c r="M73" i="15"/>
  <c r="I76" i="15"/>
  <c r="Q76" i="15"/>
  <c r="C77" i="15"/>
  <c r="K77" i="15"/>
  <c r="S77" i="15"/>
  <c r="X77" i="15" s="1"/>
  <c r="E78" i="15"/>
  <c r="M78" i="15"/>
  <c r="I60" i="15"/>
  <c r="Q60" i="15"/>
  <c r="C61" i="15"/>
  <c r="K61" i="15"/>
  <c r="S61" i="15"/>
  <c r="X61" i="15" s="1"/>
  <c r="E62" i="15"/>
  <c r="M62" i="15"/>
  <c r="I64" i="15"/>
  <c r="Q64" i="15"/>
  <c r="C65" i="15"/>
  <c r="K65" i="15"/>
  <c r="S65" i="15"/>
  <c r="X65" i="15" s="1"/>
  <c r="E66" i="15"/>
  <c r="M66" i="15"/>
  <c r="I69" i="15"/>
  <c r="Q69" i="15"/>
  <c r="C71" i="15"/>
  <c r="K71" i="15"/>
  <c r="S71" i="15"/>
  <c r="X71" i="15" s="1"/>
  <c r="E72" i="15"/>
  <c r="M72" i="15"/>
  <c r="K56" i="14"/>
  <c r="C60" i="14"/>
  <c r="S66" i="14"/>
  <c r="X66" i="14" s="1"/>
  <c r="C55" i="14"/>
  <c r="K55" i="14"/>
  <c r="S55" i="14"/>
  <c r="X55" i="14" s="1"/>
  <c r="E56" i="14"/>
  <c r="M56" i="14"/>
  <c r="C59" i="14"/>
  <c r="K59" i="14"/>
  <c r="S59" i="14"/>
  <c r="X59" i="14" s="1"/>
  <c r="M60" i="14"/>
  <c r="C64" i="14"/>
  <c r="K64" i="14"/>
  <c r="S64" i="14"/>
  <c r="X64" i="14" s="1"/>
  <c r="E66" i="14"/>
  <c r="M66" i="14"/>
  <c r="C70" i="14"/>
  <c r="K70" i="14"/>
  <c r="S70" i="14"/>
  <c r="X70" i="14" s="1"/>
  <c r="E71" i="14"/>
  <c r="M71" i="14"/>
  <c r="Q73" i="14"/>
  <c r="C56" i="14"/>
  <c r="K60" i="14"/>
  <c r="C66" i="14"/>
  <c r="K71" i="14"/>
  <c r="C54" i="14"/>
  <c r="K54" i="14"/>
  <c r="S54" i="14"/>
  <c r="X54" i="14" s="1"/>
  <c r="E55" i="14"/>
  <c r="M55" i="14"/>
  <c r="G56" i="14"/>
  <c r="O56" i="14"/>
  <c r="C58" i="14"/>
  <c r="K58" i="14"/>
  <c r="S58" i="14"/>
  <c r="X58" i="14" s="1"/>
  <c r="E59" i="14"/>
  <c r="M59" i="14"/>
  <c r="O60" i="14"/>
  <c r="I61" i="14"/>
  <c r="Q61" i="14"/>
  <c r="C63" i="14"/>
  <c r="K63" i="14"/>
  <c r="S63" i="14"/>
  <c r="X63" i="14" s="1"/>
  <c r="E64" i="14"/>
  <c r="M64" i="14"/>
  <c r="G66" i="14"/>
  <c r="O66" i="14"/>
  <c r="I67" i="14"/>
  <c r="Q67" i="14"/>
  <c r="C68" i="14"/>
  <c r="K68" i="14"/>
  <c r="S68" i="14"/>
  <c r="X68" i="14" s="1"/>
  <c r="E70" i="14"/>
  <c r="M70" i="14"/>
  <c r="G71" i="14"/>
  <c r="O71" i="14"/>
  <c r="I72" i="14"/>
  <c r="Q72" i="14"/>
  <c r="C73" i="14"/>
  <c r="K73" i="14"/>
  <c r="S73" i="14"/>
  <c r="X73" i="14" s="1"/>
  <c r="S56" i="14"/>
  <c r="X56" i="14" s="1"/>
  <c r="S60" i="14"/>
  <c r="X60" i="14" s="1"/>
  <c r="K66" i="14"/>
  <c r="C71" i="14"/>
  <c r="S71" i="14"/>
  <c r="X71" i="14" s="1"/>
  <c r="E54" i="14"/>
  <c r="M54" i="14"/>
  <c r="G55" i="14"/>
  <c r="O55" i="14"/>
  <c r="I56" i="14"/>
  <c r="Q56" i="14"/>
  <c r="C57" i="14"/>
  <c r="K57" i="14"/>
  <c r="S57" i="14"/>
  <c r="X57" i="14" s="1"/>
  <c r="E58" i="14"/>
  <c r="M58" i="14"/>
  <c r="G59" i="14"/>
  <c r="O59" i="14"/>
  <c r="I60" i="14"/>
  <c r="Q60" i="14"/>
  <c r="C61" i="14"/>
  <c r="K61" i="14"/>
  <c r="S61" i="14"/>
  <c r="X61" i="14" s="1"/>
  <c r="E63" i="14"/>
  <c r="M63" i="14"/>
  <c r="G64" i="14"/>
  <c r="O64" i="14"/>
  <c r="I66" i="14"/>
  <c r="Q66" i="14"/>
  <c r="C67" i="14"/>
  <c r="K67" i="14"/>
  <c r="S67" i="14"/>
  <c r="X67" i="14" s="1"/>
  <c r="E68" i="14"/>
  <c r="M68" i="14"/>
  <c r="E65" i="13"/>
  <c r="M65" i="13"/>
  <c r="M69" i="13"/>
  <c r="E75" i="13"/>
  <c r="M75" i="13"/>
  <c r="E80" i="13"/>
  <c r="M80" i="13"/>
  <c r="C63" i="13"/>
  <c r="K63" i="13"/>
  <c r="S63" i="13"/>
  <c r="X63" i="13" s="1"/>
  <c r="E64" i="13"/>
  <c r="M64" i="13"/>
  <c r="G65" i="13"/>
  <c r="O65" i="13"/>
  <c r="I66" i="13"/>
  <c r="Q66" i="13"/>
  <c r="C67" i="13"/>
  <c r="K67" i="13"/>
  <c r="S67" i="13"/>
  <c r="X67" i="13" s="1"/>
  <c r="E68" i="13"/>
  <c r="M68" i="13"/>
  <c r="O69" i="13"/>
  <c r="I70" i="13"/>
  <c r="Q70" i="13"/>
  <c r="C72" i="13"/>
  <c r="K72" i="13"/>
  <c r="S72" i="13"/>
  <c r="X72" i="13" s="1"/>
  <c r="E73" i="13"/>
  <c r="M73" i="13"/>
  <c r="G75" i="13"/>
  <c r="O75" i="13"/>
  <c r="I76" i="13"/>
  <c r="Q76" i="13"/>
  <c r="C77" i="13"/>
  <c r="K77" i="13"/>
  <c r="S77" i="13"/>
  <c r="X77" i="13" s="1"/>
  <c r="E79" i="13"/>
  <c r="M79" i="13"/>
  <c r="G80" i="13"/>
  <c r="O80" i="13"/>
  <c r="I81" i="13"/>
  <c r="Q81" i="13"/>
  <c r="C82" i="13"/>
  <c r="K82" i="13"/>
  <c r="S82" i="13"/>
  <c r="X82" i="13" s="1"/>
  <c r="E63" i="13"/>
  <c r="M63" i="13"/>
  <c r="I65" i="13"/>
  <c r="Q65" i="13"/>
  <c r="E67" i="13"/>
  <c r="M67" i="13"/>
  <c r="I69" i="13"/>
  <c r="Q69" i="13"/>
  <c r="E72" i="13"/>
  <c r="M72" i="13"/>
  <c r="I75" i="13"/>
  <c r="Q75" i="13"/>
  <c r="E77" i="13"/>
  <c r="M77" i="13"/>
  <c r="I80" i="13"/>
  <c r="Q80" i="13"/>
  <c r="E82" i="13"/>
  <c r="M82" i="13"/>
  <c r="G63" i="13"/>
  <c r="O63" i="13"/>
  <c r="I64" i="13"/>
  <c r="Q64" i="13"/>
  <c r="C65" i="13"/>
  <c r="K65" i="13"/>
  <c r="S65" i="13"/>
  <c r="X65" i="13" s="1"/>
  <c r="E66" i="13"/>
  <c r="M66" i="13"/>
  <c r="G67" i="13"/>
  <c r="O67" i="13"/>
  <c r="I68" i="13"/>
  <c r="Q68" i="13"/>
  <c r="C69" i="13"/>
  <c r="K69" i="13"/>
  <c r="S69" i="13"/>
  <c r="X69" i="13" s="1"/>
  <c r="E70" i="13"/>
  <c r="M70" i="13"/>
  <c r="G72" i="13"/>
  <c r="O72" i="13"/>
  <c r="I73" i="13"/>
  <c r="Q73" i="13"/>
  <c r="C75" i="13"/>
  <c r="K75" i="13"/>
  <c r="S75" i="13"/>
  <c r="X75" i="13" s="1"/>
  <c r="E76" i="13"/>
  <c r="M76" i="13"/>
  <c r="G77" i="13"/>
  <c r="O77" i="13"/>
  <c r="Q55" i="12"/>
  <c r="Q59" i="12"/>
  <c r="I65" i="12"/>
  <c r="Q70" i="12"/>
  <c r="I53" i="12"/>
  <c r="Q53" i="12"/>
  <c r="C54" i="12"/>
  <c r="K54" i="12"/>
  <c r="S54" i="12"/>
  <c r="X54" i="12" s="1"/>
  <c r="E55" i="12"/>
  <c r="M55" i="12"/>
  <c r="G56" i="12"/>
  <c r="O56" i="12"/>
  <c r="I57" i="12"/>
  <c r="Q57" i="12"/>
  <c r="C58" i="12"/>
  <c r="K58" i="12"/>
  <c r="S58" i="12"/>
  <c r="X58" i="12" s="1"/>
  <c r="M59" i="12"/>
  <c r="G60" i="12"/>
  <c r="O60" i="12"/>
  <c r="I62" i="12"/>
  <c r="Q62" i="12"/>
  <c r="C63" i="12"/>
  <c r="K63" i="12"/>
  <c r="S63" i="12"/>
  <c r="X63" i="12" s="1"/>
  <c r="E65" i="12"/>
  <c r="M65" i="12"/>
  <c r="G66" i="12"/>
  <c r="O66" i="12"/>
  <c r="I67" i="12"/>
  <c r="Q67" i="12"/>
  <c r="C69" i="12"/>
  <c r="K69" i="12"/>
  <c r="S69" i="12"/>
  <c r="X69" i="12" s="1"/>
  <c r="E70" i="12"/>
  <c r="M70" i="12"/>
  <c r="G71" i="12"/>
  <c r="O71" i="12"/>
  <c r="I72" i="12"/>
  <c r="Q72" i="12"/>
  <c r="I55" i="12"/>
  <c r="I59" i="12"/>
  <c r="C53" i="12"/>
  <c r="K53" i="12"/>
  <c r="S53" i="12"/>
  <c r="X53" i="12" s="1"/>
  <c r="E54" i="12"/>
  <c r="M54" i="12"/>
  <c r="G55" i="12"/>
  <c r="O55" i="12"/>
  <c r="I56" i="12"/>
  <c r="Q56" i="12"/>
  <c r="C57" i="12"/>
  <c r="K57" i="12"/>
  <c r="S57" i="12"/>
  <c r="X57" i="12" s="1"/>
  <c r="E58" i="12"/>
  <c r="M58" i="12"/>
  <c r="O59" i="12"/>
  <c r="I60" i="12"/>
  <c r="Q60" i="12"/>
  <c r="C62" i="12"/>
  <c r="K62" i="12"/>
  <c r="S62" i="12"/>
  <c r="X62" i="12" s="1"/>
  <c r="E63" i="12"/>
  <c r="M63" i="12"/>
  <c r="G65" i="12"/>
  <c r="O65" i="12"/>
  <c r="I66" i="12"/>
  <c r="Q66" i="12"/>
  <c r="C67" i="12"/>
  <c r="K67" i="12"/>
  <c r="S67" i="12"/>
  <c r="X67" i="12" s="1"/>
  <c r="E69" i="12"/>
  <c r="M69" i="12"/>
  <c r="G70" i="12"/>
  <c r="O70" i="12"/>
  <c r="I71" i="12"/>
  <c r="Q71" i="12"/>
  <c r="C72" i="12"/>
  <c r="K72" i="12"/>
  <c r="S72" i="12"/>
  <c r="X72" i="12" s="1"/>
  <c r="Q65" i="12"/>
  <c r="I70" i="12"/>
  <c r="G53" i="12"/>
  <c r="O53" i="12"/>
  <c r="I54" i="12"/>
  <c r="Q54" i="12"/>
  <c r="C55" i="12"/>
  <c r="K55" i="12"/>
  <c r="S55" i="12"/>
  <c r="X55" i="12" s="1"/>
  <c r="E56" i="12"/>
  <c r="M56" i="12"/>
  <c r="G57" i="12"/>
  <c r="O57" i="12"/>
  <c r="I58" i="12"/>
  <c r="Q58" i="12"/>
  <c r="C59" i="12"/>
  <c r="K59" i="12"/>
  <c r="S59" i="12"/>
  <c r="X59" i="12" s="1"/>
  <c r="E60" i="12"/>
  <c r="M60" i="12"/>
  <c r="G62" i="12"/>
  <c r="O62" i="12"/>
  <c r="I63" i="12"/>
  <c r="Q63" i="12"/>
  <c r="C65" i="12"/>
  <c r="K65" i="12"/>
  <c r="S65" i="12"/>
  <c r="X65" i="12" s="1"/>
  <c r="E66" i="12"/>
  <c r="M66" i="12"/>
  <c r="G67" i="12"/>
  <c r="O67" i="12"/>
  <c r="E61" i="11"/>
  <c r="M61" i="11"/>
  <c r="M65" i="11"/>
  <c r="E71" i="11"/>
  <c r="M71" i="11"/>
  <c r="E76" i="11"/>
  <c r="M76" i="11"/>
  <c r="C59" i="11"/>
  <c r="K59" i="11"/>
  <c r="S59" i="11"/>
  <c r="X59" i="11" s="1"/>
  <c r="E60" i="11"/>
  <c r="M60" i="11"/>
  <c r="G61" i="11"/>
  <c r="O61" i="11"/>
  <c r="I62" i="11"/>
  <c r="Q62" i="11"/>
  <c r="C63" i="11"/>
  <c r="K63" i="11"/>
  <c r="S63" i="11"/>
  <c r="X63" i="11" s="1"/>
  <c r="E64" i="11"/>
  <c r="M64" i="11"/>
  <c r="O65" i="11"/>
  <c r="I66" i="11"/>
  <c r="Q66" i="11"/>
  <c r="C68" i="11"/>
  <c r="K68" i="11"/>
  <c r="S68" i="11"/>
  <c r="X68" i="11" s="1"/>
  <c r="E69" i="11"/>
  <c r="M69" i="11"/>
  <c r="G71" i="11"/>
  <c r="O71" i="11"/>
  <c r="I72" i="11"/>
  <c r="Q72" i="11"/>
  <c r="C73" i="11"/>
  <c r="K73" i="11"/>
  <c r="S73" i="11"/>
  <c r="X73" i="11" s="1"/>
  <c r="E75" i="11"/>
  <c r="M75" i="11"/>
  <c r="I77" i="11"/>
  <c r="Q77" i="11"/>
  <c r="C78" i="11"/>
  <c r="K78" i="11"/>
  <c r="S78" i="11"/>
  <c r="X78" i="11" s="1"/>
  <c r="E59" i="11"/>
  <c r="M59" i="11"/>
  <c r="I61" i="11"/>
  <c r="Q61" i="11"/>
  <c r="C62" i="11"/>
  <c r="K62" i="11"/>
  <c r="S62" i="11"/>
  <c r="X62" i="11" s="1"/>
  <c r="E63" i="11"/>
  <c r="M63" i="11"/>
  <c r="I65" i="11"/>
  <c r="Q65" i="11"/>
  <c r="C66" i="11"/>
  <c r="K66" i="11"/>
  <c r="S66" i="11"/>
  <c r="X66" i="11" s="1"/>
  <c r="E68" i="11"/>
  <c r="M68" i="11"/>
  <c r="I71" i="11"/>
  <c r="Q71" i="11"/>
  <c r="C72" i="11"/>
  <c r="K72" i="11"/>
  <c r="S72" i="11"/>
  <c r="X72" i="11" s="1"/>
  <c r="E73" i="11"/>
  <c r="M73" i="11"/>
  <c r="I76" i="11"/>
  <c r="Q76" i="11"/>
  <c r="C77" i="11"/>
  <c r="K77" i="11"/>
  <c r="S77" i="11"/>
  <c r="X77" i="11" s="1"/>
  <c r="E78" i="11"/>
  <c r="M78" i="11"/>
  <c r="C61" i="11"/>
  <c r="K61" i="11"/>
  <c r="S61" i="11"/>
  <c r="X61" i="11" s="1"/>
  <c r="E62" i="11"/>
  <c r="M62" i="11"/>
  <c r="C65" i="11"/>
  <c r="K65" i="11"/>
  <c r="S65" i="11"/>
  <c r="X65" i="11" s="1"/>
  <c r="E66" i="11"/>
  <c r="M66" i="11"/>
  <c r="I69" i="11"/>
  <c r="Q69" i="11"/>
  <c r="C71" i="11"/>
  <c r="K71" i="11"/>
  <c r="S71" i="11"/>
  <c r="X71" i="11" s="1"/>
  <c r="E72" i="11"/>
  <c r="M72" i="11"/>
  <c r="M64" i="10"/>
  <c r="C58" i="10"/>
  <c r="K58" i="10"/>
  <c r="S58" i="10"/>
  <c r="X58" i="10" s="1"/>
  <c r="E59" i="10"/>
  <c r="M59" i="10"/>
  <c r="G60" i="10"/>
  <c r="O60" i="10"/>
  <c r="I61" i="10"/>
  <c r="Q61" i="10"/>
  <c r="C62" i="10"/>
  <c r="K62" i="10"/>
  <c r="S62" i="10"/>
  <c r="X62" i="10" s="1"/>
  <c r="E63" i="10"/>
  <c r="M63" i="10"/>
  <c r="O64" i="10"/>
  <c r="I65" i="10"/>
  <c r="Q65" i="10"/>
  <c r="C67" i="10"/>
  <c r="K67" i="10"/>
  <c r="S67" i="10"/>
  <c r="X67" i="10" s="1"/>
  <c r="E68" i="10"/>
  <c r="M68" i="10"/>
  <c r="G70" i="10"/>
  <c r="O70" i="10"/>
  <c r="I71" i="10"/>
  <c r="Q71" i="10"/>
  <c r="C72" i="10"/>
  <c r="K72" i="10"/>
  <c r="S72" i="10"/>
  <c r="X72" i="10" s="1"/>
  <c r="E74" i="10"/>
  <c r="M74" i="10"/>
  <c r="G75" i="10"/>
  <c r="O75" i="10"/>
  <c r="I76" i="10"/>
  <c r="Q76" i="10"/>
  <c r="C77" i="10"/>
  <c r="K77" i="10"/>
  <c r="S77" i="10"/>
  <c r="X77" i="10" s="1"/>
  <c r="E60" i="10"/>
  <c r="M60" i="10"/>
  <c r="E70" i="10"/>
  <c r="E75" i="10"/>
  <c r="M75" i="10"/>
  <c r="E58" i="10"/>
  <c r="M58" i="10"/>
  <c r="G59" i="10"/>
  <c r="O59" i="10"/>
  <c r="I60" i="10"/>
  <c r="Q60" i="10"/>
  <c r="C61" i="10"/>
  <c r="K61" i="10"/>
  <c r="S61" i="10"/>
  <c r="X61" i="10" s="1"/>
  <c r="E62" i="10"/>
  <c r="M62" i="10"/>
  <c r="G63" i="10"/>
  <c r="O63" i="10"/>
  <c r="I64" i="10"/>
  <c r="Q64" i="10"/>
  <c r="C65" i="10"/>
  <c r="K65" i="10"/>
  <c r="S65" i="10"/>
  <c r="X65" i="10" s="1"/>
  <c r="E67" i="10"/>
  <c r="M67" i="10"/>
  <c r="G68" i="10"/>
  <c r="O68" i="10"/>
  <c r="I70" i="10"/>
  <c r="Q70" i="10"/>
  <c r="C71" i="10"/>
  <c r="K71" i="10"/>
  <c r="S71" i="10"/>
  <c r="X71" i="10" s="1"/>
  <c r="E72" i="10"/>
  <c r="M72" i="10"/>
  <c r="G74" i="10"/>
  <c r="O74" i="10"/>
  <c r="C76" i="10"/>
  <c r="K76" i="10"/>
  <c r="S76" i="10"/>
  <c r="X76" i="10" s="1"/>
  <c r="E77" i="10"/>
  <c r="M77" i="10"/>
  <c r="C60" i="10"/>
  <c r="K60" i="10"/>
  <c r="S60" i="10"/>
  <c r="X60" i="10" s="1"/>
  <c r="E61" i="10"/>
  <c r="M61" i="10"/>
  <c r="K64" i="10"/>
  <c r="S64" i="10"/>
  <c r="X64" i="10" s="1"/>
  <c r="E65" i="10"/>
  <c r="M65" i="10"/>
  <c r="C70" i="10"/>
  <c r="K70" i="10"/>
  <c r="S70" i="10"/>
  <c r="X70" i="10" s="1"/>
  <c r="E71" i="10"/>
  <c r="M71" i="10"/>
  <c r="M73" i="9"/>
  <c r="M68" i="9"/>
  <c r="M62" i="9"/>
  <c r="M58" i="9"/>
  <c r="M74" i="9"/>
  <c r="M69" i="9"/>
  <c r="M64" i="9"/>
  <c r="M59" i="9"/>
  <c r="M55" i="9"/>
  <c r="M71" i="9"/>
  <c r="M65" i="9"/>
  <c r="M60" i="9"/>
  <c r="M67" i="9"/>
  <c r="O74" i="9"/>
  <c r="O69" i="9"/>
  <c r="O64" i="9"/>
  <c r="O59" i="9"/>
  <c r="O55" i="9"/>
  <c r="O71" i="9"/>
  <c r="O65" i="9"/>
  <c r="O60" i="9"/>
  <c r="O56" i="9"/>
  <c r="O72" i="9"/>
  <c r="O67" i="9"/>
  <c r="O61" i="9"/>
  <c r="M61" i="9"/>
  <c r="O73" i="9"/>
  <c r="S64" i="9"/>
  <c r="S69" i="9"/>
  <c r="S74" i="9"/>
  <c r="X74" i="9" s="1"/>
  <c r="Q57" i="9"/>
  <c r="S58" i="9"/>
  <c r="X58" i="9" s="1"/>
  <c r="Q61" i="9"/>
  <c r="S62" i="9"/>
  <c r="Q67" i="9"/>
  <c r="S68" i="9"/>
  <c r="S73" i="9"/>
  <c r="S57" i="9"/>
  <c r="X57" i="9" s="1"/>
  <c r="S61" i="9"/>
  <c r="X61" i="9" s="1"/>
  <c r="S67" i="9"/>
  <c r="X67" i="9" s="1"/>
  <c r="E58" i="8"/>
  <c r="M58" i="8"/>
  <c r="M62" i="8"/>
  <c r="E68" i="8"/>
  <c r="M68" i="8"/>
  <c r="E73" i="8"/>
  <c r="M73" i="8"/>
  <c r="C56" i="8"/>
  <c r="K56" i="8"/>
  <c r="S56" i="8"/>
  <c r="X56" i="8" s="1"/>
  <c r="E57" i="8"/>
  <c r="M57" i="8"/>
  <c r="G58" i="8"/>
  <c r="O58" i="8"/>
  <c r="I59" i="8"/>
  <c r="Q59" i="8"/>
  <c r="C60" i="8"/>
  <c r="K60" i="8"/>
  <c r="S60" i="8"/>
  <c r="X60" i="8" s="1"/>
  <c r="E61" i="8"/>
  <c r="M61" i="8"/>
  <c r="G62" i="8"/>
  <c r="O62" i="8"/>
  <c r="I63" i="8"/>
  <c r="Q63" i="8"/>
  <c r="C65" i="8"/>
  <c r="K65" i="8"/>
  <c r="S65" i="8"/>
  <c r="X65" i="8" s="1"/>
  <c r="E66" i="8"/>
  <c r="M66" i="8"/>
  <c r="G68" i="8"/>
  <c r="O68" i="8"/>
  <c r="I69" i="8"/>
  <c r="Q69" i="8"/>
  <c r="C70" i="8"/>
  <c r="K70" i="8"/>
  <c r="S70" i="8"/>
  <c r="X70" i="8" s="1"/>
  <c r="E72" i="8"/>
  <c r="M72" i="8"/>
  <c r="G73" i="8"/>
  <c r="O73" i="8"/>
  <c r="I74" i="8"/>
  <c r="Q74" i="8"/>
  <c r="C75" i="8"/>
  <c r="K75" i="8"/>
  <c r="S75" i="8"/>
  <c r="X75" i="8" s="1"/>
  <c r="E56" i="8"/>
  <c r="M56" i="8"/>
  <c r="I58" i="8"/>
  <c r="Q58" i="8"/>
  <c r="E60" i="8"/>
  <c r="M60" i="8"/>
  <c r="I62" i="8"/>
  <c r="Q62" i="8"/>
  <c r="C63" i="8"/>
  <c r="K63" i="8"/>
  <c r="S63" i="8"/>
  <c r="X63" i="8" s="1"/>
  <c r="E65" i="8"/>
  <c r="M65" i="8"/>
  <c r="I68" i="8"/>
  <c r="Q68" i="8"/>
  <c r="C69" i="8"/>
  <c r="K69" i="8"/>
  <c r="S69" i="8"/>
  <c r="X69" i="8" s="1"/>
  <c r="E70" i="8"/>
  <c r="M70" i="8"/>
  <c r="I73" i="8"/>
  <c r="Q73" i="8"/>
  <c r="C74" i="8"/>
  <c r="K74" i="8"/>
  <c r="S74" i="8"/>
  <c r="X74" i="8" s="1"/>
  <c r="E75" i="8"/>
  <c r="M75" i="8"/>
  <c r="E62" i="8"/>
  <c r="I57" i="8"/>
  <c r="Q57" i="8"/>
  <c r="C58" i="8"/>
  <c r="K58" i="8"/>
  <c r="S58" i="8"/>
  <c r="X58" i="8" s="1"/>
  <c r="E59" i="8"/>
  <c r="M59" i="8"/>
  <c r="I61" i="8"/>
  <c r="Q61" i="8"/>
  <c r="C62" i="8"/>
  <c r="K62" i="8"/>
  <c r="S62" i="8"/>
  <c r="X62" i="8" s="1"/>
  <c r="E63" i="8"/>
  <c r="M63" i="8"/>
  <c r="G65" i="8"/>
  <c r="O65" i="8"/>
  <c r="I66" i="8"/>
  <c r="Q66" i="8"/>
  <c r="C68" i="8"/>
  <c r="K68" i="8"/>
  <c r="S68" i="8"/>
  <c r="X68" i="8" s="1"/>
  <c r="E69" i="8"/>
  <c r="M69" i="8"/>
  <c r="G70" i="8"/>
  <c r="O70" i="8"/>
  <c r="C90" i="7"/>
  <c r="C85" i="7"/>
  <c r="C79" i="7"/>
  <c r="C91" i="7"/>
  <c r="C86" i="7"/>
  <c r="C80" i="7"/>
  <c r="C76" i="7"/>
  <c r="C92" i="7"/>
  <c r="C87" i="7"/>
  <c r="C82" i="7"/>
  <c r="C77" i="7"/>
  <c r="C73" i="7"/>
  <c r="C89" i="7"/>
  <c r="C83" i="7"/>
  <c r="C78" i="7"/>
  <c r="K90" i="7"/>
  <c r="K85" i="7"/>
  <c r="K79" i="7"/>
  <c r="K91" i="7"/>
  <c r="K86" i="7"/>
  <c r="K80" i="7"/>
  <c r="K76" i="7"/>
  <c r="K92" i="7"/>
  <c r="K87" i="7"/>
  <c r="K82" i="7"/>
  <c r="K77" i="7"/>
  <c r="K73" i="7"/>
  <c r="K89" i="7"/>
  <c r="K83" i="7"/>
  <c r="K78" i="7"/>
  <c r="K74" i="7"/>
  <c r="S90" i="7"/>
  <c r="S85" i="7"/>
  <c r="X85" i="7" s="1"/>
  <c r="S79" i="7"/>
  <c r="X79" i="7" s="1"/>
  <c r="S91" i="7"/>
  <c r="S86" i="7"/>
  <c r="S80" i="7"/>
  <c r="S76" i="7"/>
  <c r="X76" i="7" s="1"/>
  <c r="S92" i="7"/>
  <c r="S87" i="7"/>
  <c r="S82" i="7"/>
  <c r="S77" i="7"/>
  <c r="X77" i="7" s="1"/>
  <c r="S73" i="7"/>
  <c r="S89" i="7"/>
  <c r="X89" i="7" s="1"/>
  <c r="S83" i="7"/>
  <c r="S78" i="7"/>
  <c r="S74" i="7"/>
  <c r="K75" i="7"/>
  <c r="E91" i="7"/>
  <c r="E86" i="7"/>
  <c r="E80" i="7"/>
  <c r="E92" i="7"/>
  <c r="E87" i="7"/>
  <c r="E82" i="7"/>
  <c r="E77" i="7"/>
  <c r="E73" i="7"/>
  <c r="E89" i="7"/>
  <c r="E83" i="7"/>
  <c r="E78" i="7"/>
  <c r="E74" i="7"/>
  <c r="E90" i="7"/>
  <c r="E85" i="7"/>
  <c r="E75" i="7"/>
  <c r="M91" i="7"/>
  <c r="M86" i="7"/>
  <c r="M80" i="7"/>
  <c r="M92" i="7"/>
  <c r="M87" i="7"/>
  <c r="M82" i="7"/>
  <c r="M77" i="7"/>
  <c r="M73" i="7"/>
  <c r="M89" i="7"/>
  <c r="M83" i="7"/>
  <c r="M78" i="7"/>
  <c r="M74" i="7"/>
  <c r="M90" i="7"/>
  <c r="M85" i="7"/>
  <c r="M79" i="7"/>
  <c r="M75" i="7"/>
  <c r="S75" i="7"/>
  <c r="E76" i="7"/>
  <c r="C75" i="7"/>
  <c r="I92" i="7"/>
  <c r="Q92" i="7"/>
  <c r="G75" i="7"/>
  <c r="O75" i="7"/>
  <c r="I76" i="7"/>
  <c r="Q76" i="7"/>
  <c r="O79" i="7"/>
  <c r="I80" i="7"/>
  <c r="Q80" i="7"/>
  <c r="G85" i="7"/>
  <c r="O85" i="7"/>
  <c r="I86" i="7"/>
  <c r="Q86" i="7"/>
  <c r="G90" i="7"/>
  <c r="O90" i="7"/>
  <c r="I91" i="7"/>
  <c r="Q91" i="7"/>
  <c r="I75" i="7"/>
  <c r="Q75" i="7"/>
  <c r="I79" i="7"/>
  <c r="Q79" i="7"/>
  <c r="I85" i="7"/>
  <c r="Q85" i="7"/>
  <c r="I90" i="7"/>
  <c r="Q90" i="7"/>
  <c r="G77" i="7"/>
  <c r="O77" i="7"/>
  <c r="I78" i="7"/>
  <c r="Q78" i="7"/>
  <c r="G82" i="7"/>
  <c r="O82" i="7"/>
  <c r="I83" i="7"/>
  <c r="Q83" i="7"/>
  <c r="G87" i="7"/>
  <c r="O87" i="7"/>
  <c r="G58" i="6"/>
  <c r="O58" i="6"/>
  <c r="G68" i="6"/>
  <c r="O73" i="6"/>
  <c r="O56" i="6"/>
  <c r="C58" i="6"/>
  <c r="S58" i="6"/>
  <c r="X58" i="6" s="1"/>
  <c r="G60" i="6"/>
  <c r="O60" i="6"/>
  <c r="I56" i="6"/>
  <c r="Q56" i="6"/>
  <c r="C57" i="6"/>
  <c r="K57" i="6"/>
  <c r="S57" i="6"/>
  <c r="X57" i="6" s="1"/>
  <c r="E58" i="6"/>
  <c r="M58" i="6"/>
  <c r="G59" i="6"/>
  <c r="O59" i="6"/>
  <c r="I60" i="6"/>
  <c r="Q60" i="6"/>
  <c r="C61" i="6"/>
  <c r="K61" i="6"/>
  <c r="S61" i="6"/>
  <c r="X61" i="6" s="1"/>
  <c r="M62" i="6"/>
  <c r="G63" i="6"/>
  <c r="O63" i="6"/>
  <c r="I65" i="6"/>
  <c r="Q65" i="6"/>
  <c r="C66" i="6"/>
  <c r="K66" i="6"/>
  <c r="S66" i="6"/>
  <c r="X66" i="6" s="1"/>
  <c r="E68" i="6"/>
  <c r="M68" i="6"/>
  <c r="G69" i="6"/>
  <c r="O69" i="6"/>
  <c r="I70" i="6"/>
  <c r="Q70" i="6"/>
  <c r="C72" i="6"/>
  <c r="K72" i="6"/>
  <c r="S72" i="6"/>
  <c r="X72" i="6" s="1"/>
  <c r="G74" i="6"/>
  <c r="O74" i="6"/>
  <c r="I75" i="6"/>
  <c r="Q75" i="6"/>
  <c r="O62" i="6"/>
  <c r="G57" i="6"/>
  <c r="O57" i="6"/>
  <c r="I58" i="6"/>
  <c r="Q58" i="6"/>
  <c r="C59" i="6"/>
  <c r="K59" i="6"/>
  <c r="S59" i="6"/>
  <c r="X59" i="6" s="1"/>
  <c r="G61" i="6"/>
  <c r="O61" i="6"/>
  <c r="I62" i="6"/>
  <c r="Q62" i="6"/>
  <c r="C63" i="6"/>
  <c r="K63" i="6"/>
  <c r="S63" i="6"/>
  <c r="X63" i="6" s="1"/>
  <c r="G66" i="6"/>
  <c r="O66" i="6"/>
  <c r="I68" i="6"/>
  <c r="Q68" i="6"/>
  <c r="C69" i="6"/>
  <c r="K69" i="6"/>
  <c r="S69" i="6"/>
  <c r="X69" i="6" s="1"/>
  <c r="G72" i="6"/>
  <c r="O72" i="6"/>
  <c r="I73" i="6"/>
  <c r="Q73" i="6"/>
  <c r="C74" i="6"/>
  <c r="K74" i="6"/>
  <c r="S74" i="6"/>
  <c r="X74" i="6" s="1"/>
  <c r="O68" i="6"/>
  <c r="G73" i="6"/>
  <c r="G56" i="6"/>
  <c r="I57" i="6"/>
  <c r="Q57" i="6"/>
  <c r="K58" i="6"/>
  <c r="I61" i="6"/>
  <c r="Q61" i="6"/>
  <c r="K62" i="6"/>
  <c r="S62" i="6"/>
  <c r="X62" i="6" s="1"/>
  <c r="G65" i="6"/>
  <c r="O65" i="6"/>
  <c r="I66" i="6"/>
  <c r="Q66" i="6"/>
  <c r="C68" i="6"/>
  <c r="K68" i="6"/>
  <c r="S68" i="6"/>
  <c r="X68" i="6" s="1"/>
  <c r="G70" i="6"/>
  <c r="O70" i="6"/>
  <c r="K56" i="5"/>
  <c r="K60" i="5"/>
  <c r="C66" i="5"/>
  <c r="S66" i="5"/>
  <c r="X66" i="5" s="1"/>
  <c r="C71" i="5"/>
  <c r="S71" i="5"/>
  <c r="X71" i="5" s="1"/>
  <c r="C55" i="5"/>
  <c r="K55" i="5"/>
  <c r="E56" i="5"/>
  <c r="M56" i="5"/>
  <c r="K59" i="5"/>
  <c r="S59" i="5"/>
  <c r="X59" i="5" s="1"/>
  <c r="C64" i="5"/>
  <c r="C70" i="5"/>
  <c r="K70" i="5"/>
  <c r="E71" i="5"/>
  <c r="M71" i="5"/>
  <c r="C54" i="5"/>
  <c r="K54" i="5"/>
  <c r="S54" i="5"/>
  <c r="X54" i="5" s="1"/>
  <c r="E55" i="5"/>
  <c r="M55" i="5"/>
  <c r="G56" i="5"/>
  <c r="O56" i="5"/>
  <c r="C58" i="5"/>
  <c r="K58" i="5"/>
  <c r="S58" i="5"/>
  <c r="X58" i="5" s="1"/>
  <c r="E59" i="5"/>
  <c r="M59" i="5"/>
  <c r="O60" i="5"/>
  <c r="I61" i="5"/>
  <c r="Q61" i="5"/>
  <c r="C63" i="5"/>
  <c r="K63" i="5"/>
  <c r="S63" i="5"/>
  <c r="X63" i="5" s="1"/>
  <c r="E64" i="5"/>
  <c r="M64" i="5"/>
  <c r="G66" i="5"/>
  <c r="O66" i="5"/>
  <c r="I67" i="5"/>
  <c r="Q67" i="5"/>
  <c r="C68" i="5"/>
  <c r="K68" i="5"/>
  <c r="S68" i="5"/>
  <c r="X68" i="5" s="1"/>
  <c r="E70" i="5"/>
  <c r="M70" i="5"/>
  <c r="G71" i="5"/>
  <c r="O71" i="5"/>
  <c r="I72" i="5"/>
  <c r="Q72" i="5"/>
  <c r="C73" i="5"/>
  <c r="K73" i="5"/>
  <c r="S73" i="5"/>
  <c r="X73" i="5" s="1"/>
  <c r="C56" i="5"/>
  <c r="S56" i="5"/>
  <c r="X56" i="5" s="1"/>
  <c r="S60" i="5"/>
  <c r="X60" i="5" s="1"/>
  <c r="K66" i="5"/>
  <c r="K71" i="5"/>
  <c r="S55" i="5"/>
  <c r="X55" i="5" s="1"/>
  <c r="C59" i="5"/>
  <c r="M60" i="5"/>
  <c r="K64" i="5"/>
  <c r="S64" i="5"/>
  <c r="X64" i="5" s="1"/>
  <c r="E66" i="5"/>
  <c r="M66" i="5"/>
  <c r="S70" i="5"/>
  <c r="X70" i="5" s="1"/>
  <c r="E54" i="5"/>
  <c r="M54" i="5"/>
  <c r="G55" i="5"/>
  <c r="O55" i="5"/>
  <c r="I56" i="5"/>
  <c r="Q56" i="5"/>
  <c r="C57" i="5"/>
  <c r="K57" i="5"/>
  <c r="S57" i="5"/>
  <c r="X57" i="5" s="1"/>
  <c r="E58" i="5"/>
  <c r="M58" i="5"/>
  <c r="G59" i="5"/>
  <c r="O59" i="5"/>
  <c r="I60" i="5"/>
  <c r="Q60" i="5"/>
  <c r="C61" i="5"/>
  <c r="K61" i="5"/>
  <c r="S61" i="5"/>
  <c r="X61" i="5" s="1"/>
  <c r="E63" i="5"/>
  <c r="M63" i="5"/>
  <c r="G64" i="5"/>
  <c r="O64" i="5"/>
  <c r="I66" i="5"/>
  <c r="Q66" i="5"/>
  <c r="C67" i="5"/>
  <c r="K67" i="5"/>
  <c r="S67" i="5"/>
  <c r="X67" i="5" s="1"/>
  <c r="E68" i="5"/>
  <c r="M68" i="5"/>
  <c r="G64" i="4"/>
  <c r="G69" i="4"/>
  <c r="I52" i="4"/>
  <c r="Q52" i="4"/>
  <c r="C53" i="4"/>
  <c r="K53" i="4"/>
  <c r="S53" i="4"/>
  <c r="E54" i="4"/>
  <c r="M54" i="4"/>
  <c r="G55" i="4"/>
  <c r="O55" i="4"/>
  <c r="I56" i="4"/>
  <c r="Q56" i="4"/>
  <c r="C57" i="4"/>
  <c r="K57" i="4"/>
  <c r="S57" i="4"/>
  <c r="M58" i="4"/>
  <c r="G59" i="4"/>
  <c r="O59" i="4"/>
  <c r="I61" i="4"/>
  <c r="Q61" i="4"/>
  <c r="C62" i="4"/>
  <c r="K62" i="4"/>
  <c r="S62" i="4"/>
  <c r="E64" i="4"/>
  <c r="M64" i="4"/>
  <c r="G65" i="4"/>
  <c r="O65" i="4"/>
  <c r="I66" i="4"/>
  <c r="Q66" i="4"/>
  <c r="C68" i="4"/>
  <c r="K68" i="4"/>
  <c r="S68" i="4"/>
  <c r="E69" i="4"/>
  <c r="M69" i="4"/>
  <c r="G70" i="4"/>
  <c r="O70" i="4"/>
  <c r="I71" i="4"/>
  <c r="Q71" i="4"/>
  <c r="O54" i="4"/>
  <c r="O58" i="4"/>
  <c r="O69" i="4"/>
  <c r="E52" i="4"/>
  <c r="M52" i="4"/>
  <c r="G53" i="4"/>
  <c r="O53" i="4"/>
  <c r="I54" i="4"/>
  <c r="Q54" i="4"/>
  <c r="C55" i="4"/>
  <c r="K55" i="4"/>
  <c r="S55" i="4"/>
  <c r="E56" i="4"/>
  <c r="M56" i="4"/>
  <c r="G57" i="4"/>
  <c r="O57" i="4"/>
  <c r="I58" i="4"/>
  <c r="Q58" i="4"/>
  <c r="C59" i="4"/>
  <c r="K59" i="4"/>
  <c r="S59" i="4"/>
  <c r="E61" i="4"/>
  <c r="M61" i="4"/>
  <c r="G62" i="4"/>
  <c r="O62" i="4"/>
  <c r="I64" i="4"/>
  <c r="Q64" i="4"/>
  <c r="C65" i="4"/>
  <c r="K65" i="4"/>
  <c r="S65" i="4"/>
  <c r="E66" i="4"/>
  <c r="M66" i="4"/>
  <c r="G68" i="4"/>
  <c r="O68" i="4"/>
  <c r="I69" i="4"/>
  <c r="Q69" i="4"/>
  <c r="C70" i="4"/>
  <c r="K70" i="4"/>
  <c r="S70" i="4"/>
  <c r="E71" i="4"/>
  <c r="M71" i="4"/>
  <c r="G54" i="4"/>
  <c r="O64" i="4"/>
  <c r="G52" i="4"/>
  <c r="O52" i="4"/>
  <c r="I53" i="4"/>
  <c r="Q53" i="4"/>
  <c r="C54" i="4"/>
  <c r="K54" i="4"/>
  <c r="S54" i="4"/>
  <c r="E55" i="4"/>
  <c r="M55" i="4"/>
  <c r="G56" i="4"/>
  <c r="O56" i="4"/>
  <c r="I57" i="4"/>
  <c r="Q57" i="4"/>
  <c r="C58" i="4"/>
  <c r="K58" i="4"/>
  <c r="S58" i="4"/>
  <c r="E59" i="4"/>
  <c r="M59" i="4"/>
  <c r="G61" i="4"/>
  <c r="O61" i="4"/>
  <c r="I62" i="4"/>
  <c r="Q62" i="4"/>
  <c r="C64" i="4"/>
  <c r="K64" i="4"/>
  <c r="S64" i="4"/>
  <c r="E65" i="4"/>
  <c r="M65" i="4"/>
  <c r="G66" i="4"/>
  <c r="O66" i="4"/>
  <c r="X73" i="9" l="1"/>
  <c r="X68" i="9"/>
  <c r="X71" i="9"/>
  <c r="X56" i="9"/>
  <c r="X69" i="9"/>
  <c r="X55" i="9"/>
  <c r="X60" i="9"/>
  <c r="X62" i="9"/>
  <c r="X59" i="9"/>
  <c r="X72" i="9"/>
  <c r="X64" i="9"/>
  <c r="X65" i="9"/>
  <c r="X66" i="16"/>
  <c r="X77" i="16"/>
  <c r="X65" i="16"/>
  <c r="X80" i="16"/>
  <c r="X74" i="16"/>
  <c r="X69" i="16"/>
  <c r="X70" i="16"/>
  <c r="X82" i="16"/>
  <c r="X78" i="16"/>
  <c r="X81" i="16"/>
  <c r="X73" i="16"/>
  <c r="X76" i="16"/>
  <c r="X64" i="16"/>
  <c r="X82" i="7"/>
  <c r="X75" i="7"/>
  <c r="X87" i="7"/>
  <c r="X90" i="7"/>
  <c r="X74" i="7"/>
  <c r="X92" i="7"/>
  <c r="X78" i="7"/>
  <c r="X83" i="7"/>
  <c r="X80" i="7"/>
  <c r="X86" i="7"/>
  <c r="X73" i="7"/>
  <c r="X91" i="7"/>
</calcChain>
</file>

<file path=xl/sharedStrings.xml><?xml version="1.0" encoding="utf-8"?>
<sst xmlns="http://schemas.openxmlformats.org/spreadsheetml/2006/main" count="5300" uniqueCount="312">
  <si>
    <t>FY 2008</t>
  </si>
  <si>
    <t>FY 2009</t>
  </si>
  <si>
    <t>FY 2010</t>
  </si>
  <si>
    <t>FY 2011</t>
  </si>
  <si>
    <t>FY 2012</t>
  </si>
  <si>
    <t>FY 2013</t>
  </si>
  <si>
    <t>FY 2014</t>
  </si>
  <si>
    <t>FY 2015</t>
  </si>
  <si>
    <t>FY 2016</t>
  </si>
  <si>
    <t>Five Year Average</t>
  </si>
  <si>
    <t>Degrees</t>
  </si>
  <si>
    <t xml:space="preserve">Degrees </t>
  </si>
  <si>
    <t>Majors</t>
  </si>
  <si>
    <t>Conferred</t>
  </si>
  <si>
    <t>English - 23.0101</t>
  </si>
  <si>
    <t>Bachelor's Program - Fr/Soph</t>
  </si>
  <si>
    <t>Bachelor's Program - Jr/Sr</t>
  </si>
  <si>
    <t>Total Bach</t>
  </si>
  <si>
    <t>Minor's Program</t>
  </si>
  <si>
    <t xml:space="preserve"> </t>
  </si>
  <si>
    <t>Master's Program</t>
  </si>
  <si>
    <t>Graduate Certificate Program</t>
  </si>
  <si>
    <t>Student Credit Hours Generated:</t>
  </si>
  <si>
    <t>(Base courses only)</t>
  </si>
  <si>
    <t>Lower Division (0-299 level)</t>
  </si>
  <si>
    <t>Upper Division (300-699 level)</t>
  </si>
  <si>
    <t>Graduate I (700-899 level)</t>
  </si>
  <si>
    <t>Graduate II (900-999 level)</t>
  </si>
  <si>
    <t>Total</t>
  </si>
  <si>
    <t>% Departmental SCH taken by:</t>
  </si>
  <si>
    <t>Fall 2007</t>
  </si>
  <si>
    <t>Fall 2008</t>
  </si>
  <si>
    <t>Fall 2009</t>
  </si>
  <si>
    <t>Fall 2010</t>
  </si>
  <si>
    <t>Fall 2011</t>
  </si>
  <si>
    <t>Fall 2012</t>
  </si>
  <si>
    <t>Fall 2013</t>
  </si>
  <si>
    <t>Fall 2014</t>
  </si>
  <si>
    <t>Fall 2015</t>
  </si>
  <si>
    <t>N</t>
  </si>
  <si>
    <t>FTE</t>
  </si>
  <si>
    <t>Headcount</t>
  </si>
  <si>
    <t xml:space="preserve">Instructional </t>
  </si>
  <si>
    <t>Full-time</t>
  </si>
  <si>
    <t>Part-time</t>
  </si>
  <si>
    <t>Research/Public Service</t>
  </si>
  <si>
    <t>%</t>
  </si>
  <si>
    <t>White</t>
  </si>
  <si>
    <t>Black</t>
  </si>
  <si>
    <t>Hispanic</t>
  </si>
  <si>
    <t>Native American</t>
  </si>
  <si>
    <t xml:space="preserve">Asian </t>
  </si>
  <si>
    <t>Non-Resident</t>
  </si>
  <si>
    <t>Two or More Races</t>
  </si>
  <si>
    <t>Unknown</t>
  </si>
  <si>
    <t>Gender</t>
  </si>
  <si>
    <t>Male</t>
  </si>
  <si>
    <t>Female</t>
  </si>
  <si>
    <t>Tenure Status</t>
  </si>
  <si>
    <t>Tenure</t>
  </si>
  <si>
    <t>Tenure-Track</t>
  </si>
  <si>
    <t>Non-Tenured</t>
  </si>
  <si>
    <t>Highest Degree</t>
  </si>
  <si>
    <t>Ph. D.</t>
  </si>
  <si>
    <t>M.S.</t>
  </si>
  <si>
    <t>B.S.</t>
  </si>
  <si>
    <t>Other</t>
  </si>
  <si>
    <t xml:space="preserve">Graduate Assistants </t>
  </si>
  <si>
    <t>Master's students</t>
  </si>
  <si>
    <t>PhD students</t>
  </si>
  <si>
    <t>Average ACT of Majors: English</t>
  </si>
  <si>
    <t>Outcome</t>
  </si>
  <si>
    <t>% Bachelor's Employed</t>
  </si>
  <si>
    <t xml:space="preserve">% Bachelor's Further Education </t>
  </si>
  <si>
    <t>% GTA/GRA</t>
  </si>
  <si>
    <t xml:space="preserve">PhD Time to Completion </t>
  </si>
  <si>
    <t>Undergraduate Certificate Program</t>
  </si>
  <si>
    <t># of Majors &amp; Degrees Conferred</t>
  </si>
  <si>
    <t>ACT</t>
  </si>
  <si>
    <t xml:space="preserve">% Undergrad Major in Research </t>
  </si>
  <si>
    <t>American Ethnic Studies - 05.0200</t>
  </si>
  <si>
    <t>Fine/Studio Arts, General - 50.0702</t>
  </si>
  <si>
    <t>Secondary  Major Program</t>
  </si>
  <si>
    <t>XX</t>
  </si>
  <si>
    <t>Biochemistry - 26.0202</t>
  </si>
  <si>
    <t>Department:  Biochemistry and Molecular Biophysics</t>
  </si>
  <si>
    <t>Doctorate Program</t>
  </si>
  <si>
    <t>Biology/Biological Sciences, General - 26.0101</t>
  </si>
  <si>
    <t>Wildlife Biology  - 26.0709</t>
  </si>
  <si>
    <t>Microbiology, General - 26.0502</t>
  </si>
  <si>
    <t xml:space="preserve">Doctorate Program </t>
  </si>
  <si>
    <t>Average ACT of Majors: Biology, General</t>
  </si>
  <si>
    <t>Average ACT of Majors: Fisheries &amp; Wildlife Biology</t>
  </si>
  <si>
    <t>Average ACT of Majors: Microbiology</t>
  </si>
  <si>
    <t>% Bachelor's Employed- Biology</t>
  </si>
  <si>
    <t>% Bachelor's Employed- Fisheries and Wildlife Biology</t>
  </si>
  <si>
    <t>% Bachelor's Employed- Microbiolody</t>
  </si>
  <si>
    <t>% Bachelor's Further Education- Biology</t>
  </si>
  <si>
    <t>% Bachelor's Further Education - Fisheries and Wildlife Biology</t>
  </si>
  <si>
    <t>Chemistry, General - 40.0501</t>
  </si>
  <si>
    <t>Communications Studies/Speech Communications and Rhetoric- 09.0101</t>
  </si>
  <si>
    <t>Economics - 45.0601</t>
  </si>
  <si>
    <t>Doctorate Program with AG econ emphasis</t>
  </si>
  <si>
    <t>Geography - 45.0701</t>
  </si>
  <si>
    <t>Geographic Info. Science and Cartography - 45.0702</t>
  </si>
  <si>
    <t>Geology/Earth Science, General - 40.0601</t>
  </si>
  <si>
    <t>History, General - 54.0101</t>
  </si>
  <si>
    <t>Security Studies - 45.0901</t>
  </si>
  <si>
    <t>Journalism/Mass Communication - 09.0401</t>
  </si>
  <si>
    <t>Mathematics - 27.0101</t>
  </si>
  <si>
    <t>Applied Mathematics - 27.0301</t>
  </si>
  <si>
    <t>Minor Program</t>
  </si>
  <si>
    <t>Minor's Program in Chinese</t>
  </si>
  <si>
    <t>Minor's Program in French</t>
  </si>
  <si>
    <t>Minor's Program in German</t>
  </si>
  <si>
    <t>Minor's Program in Japanese</t>
  </si>
  <si>
    <t>Minor's Program in East Asian</t>
  </si>
  <si>
    <t>Minor's Program in Russian</t>
  </si>
  <si>
    <t>Minor's Program in South Asian</t>
  </si>
  <si>
    <t>Minor's Program in Spanish</t>
  </si>
  <si>
    <t>Foreign Languages/Modern Language - 16.0101</t>
  </si>
  <si>
    <t>Music,/Music and Performing Arts Studies, General- 50.0901</t>
  </si>
  <si>
    <t xml:space="preserve"> Music Minor's Program</t>
  </si>
  <si>
    <t xml:space="preserve"> Jazz Studies Minor's Program</t>
  </si>
  <si>
    <t xml:space="preserve"> Master's Program</t>
  </si>
  <si>
    <t>Music Teacher Education - 13.1312</t>
  </si>
  <si>
    <t>Theatre and Dance, General - 50.0501</t>
  </si>
  <si>
    <t xml:space="preserve"> Theatre Minor's Program</t>
  </si>
  <si>
    <t xml:space="preserve"> Dance  Minor's Program</t>
  </si>
  <si>
    <t>Philosophy - 38.0101</t>
  </si>
  <si>
    <t>Physics 40.0801</t>
  </si>
  <si>
    <t>Doctorate  Program</t>
  </si>
  <si>
    <t>Public Administration - 44.0401</t>
  </si>
  <si>
    <t>Psychology, General - 42.0101</t>
  </si>
  <si>
    <t>Department:  Psychological Sciences</t>
  </si>
  <si>
    <t>Department:  Sociology, Anthropology &amp; Social Work</t>
  </si>
  <si>
    <t>Sociology - 45.1101</t>
  </si>
  <si>
    <t>Social Work - 44.0701</t>
  </si>
  <si>
    <t>Anthropology - 45.0201</t>
  </si>
  <si>
    <t>Statistics , General- 27.0501</t>
  </si>
  <si>
    <t>Queer Studies - 05.0208</t>
  </si>
  <si>
    <t>Average ACT of Majors: Geology</t>
  </si>
  <si>
    <t>Average ACT of Majors: History</t>
  </si>
  <si>
    <t xml:space="preserve">Average ACT of Majors:  Journalism </t>
  </si>
  <si>
    <t>Average ACT of Majors: Mathematics</t>
  </si>
  <si>
    <t>Average ACT of Majors: Foreign Languages</t>
  </si>
  <si>
    <t>Average ACT of Majors: Philosophy</t>
  </si>
  <si>
    <t>Average ACT of Majors: Physics</t>
  </si>
  <si>
    <t>Average ACT of Majors: Political Science</t>
  </si>
  <si>
    <t>Average ACT of Majors: Music and Performing arts</t>
  </si>
  <si>
    <t>Average ACT of Majors: Music Education</t>
  </si>
  <si>
    <t>Average ACT of Majors:  Theatre</t>
  </si>
  <si>
    <t xml:space="preserve">% Bachelor's Employed: Music </t>
  </si>
  <si>
    <t>% Bachelor's Employed: Music Education</t>
  </si>
  <si>
    <t>% Bachelor's Employed: Theatre</t>
  </si>
  <si>
    <t>% Bachelor's Further Education : Music</t>
  </si>
  <si>
    <t>% Bachelor's Further Education : Music Education</t>
  </si>
  <si>
    <t>% Bachelor's Further Education : Theatre</t>
  </si>
  <si>
    <t>Average ACT of Majors: Sociology</t>
  </si>
  <si>
    <t>Average ACT of Majors: Social Work</t>
  </si>
  <si>
    <t>Average ACT of Majors: Anthropology</t>
  </si>
  <si>
    <t>% Bachelor's Employed- Sociology</t>
  </si>
  <si>
    <t>% Bachelor's Employed- Social Work</t>
  </si>
  <si>
    <t>% Bachelor's Employed- Anthropology</t>
  </si>
  <si>
    <t>% Bachelor's Further Education-Sociology</t>
  </si>
  <si>
    <t>% Bachelor's Further Education-Social Work</t>
  </si>
  <si>
    <t>% Bachelor's Further Education- Anthropology</t>
  </si>
  <si>
    <t>Average ACT of Majors: Women's Studies</t>
  </si>
  <si>
    <t>Average ACT of Majors: Statistics</t>
  </si>
  <si>
    <t>Department:  General Arts &amp; Sciences   (Dean's Office)</t>
  </si>
  <si>
    <t># of Majors &amp; Degrees Conferred:</t>
  </si>
  <si>
    <t>Humanities/Humanistic Studies - 24.0103</t>
  </si>
  <si>
    <t>Bachelor's Program</t>
  </si>
  <si>
    <t>Life Sciences - 30.1801</t>
  </si>
  <si>
    <t>Clinical Lab. Sci./Med.Technician - 51.1005</t>
  </si>
  <si>
    <t>Pre-Veterinary - 51.1104</t>
  </si>
  <si>
    <t>English Language Program -  32.0109</t>
  </si>
  <si>
    <t>Undergraduate Program</t>
  </si>
  <si>
    <t>American Language and Culture-32.0109</t>
  </si>
  <si>
    <t>Latin American Studies - 05.0107</t>
  </si>
  <si>
    <t>Secondary Major Program</t>
  </si>
  <si>
    <t>International Studies - 30.2001</t>
  </si>
  <si>
    <t>Physical Sciences - 40.0101</t>
  </si>
  <si>
    <t>Social Sciences, General - 45.0101</t>
  </si>
  <si>
    <t>Pre-Dentistry - 51.1101*</t>
  </si>
  <si>
    <t>Pre-Medicine - 51.1102*</t>
  </si>
  <si>
    <t>Pre-Optometry - 51.1199*</t>
  </si>
  <si>
    <t>Pre-Pharmacy - 51.1103*</t>
  </si>
  <si>
    <t>Pre-Nursing Studies - 51.1105*</t>
  </si>
  <si>
    <t>Pre-Respiratory Therapy - 51.1199*</t>
  </si>
  <si>
    <t>Pre-Occupational Therapy - 51.1199*</t>
  </si>
  <si>
    <t>Health Information/Medical Records Admin./Administrator - 51.0706*</t>
  </si>
  <si>
    <t>Pre-Health Professions - 51.1199*</t>
  </si>
  <si>
    <t>Pre-Chiropractic Medicine-51.1199*</t>
  </si>
  <si>
    <t>Pre-Physician Assistant-51.1199*</t>
  </si>
  <si>
    <t>Pre-Physical Therapy - 51.1199*</t>
  </si>
  <si>
    <t>Pre-Law Studies - 22.0001</t>
  </si>
  <si>
    <t>Aerospace Studies- 28.0101</t>
  </si>
  <si>
    <t>A &amp; S Primary Texts (CCAPST)- 24.0101</t>
  </si>
  <si>
    <t>Undergrad Certificate</t>
  </si>
  <si>
    <t>Arts &amp; Sciences Undecided - 24.0102</t>
  </si>
  <si>
    <t>Graduate DCE</t>
  </si>
  <si>
    <t>Nonviolence Studies-05.0207</t>
  </si>
  <si>
    <t>xxxxx</t>
  </si>
  <si>
    <t>Average ACT of Majors: Art</t>
  </si>
  <si>
    <t>Average ACT of Majors: American Ethnic Studies</t>
  </si>
  <si>
    <t>Average ACT of Majors: Biochemistry</t>
  </si>
  <si>
    <t>Average ACT of Majors: Chemistry</t>
  </si>
  <si>
    <t>Average ACT of Majors: Communication Studies</t>
  </si>
  <si>
    <t>Average ACT of Majors: Economics</t>
  </si>
  <si>
    <t>Average ACT of Majors: Geography</t>
  </si>
  <si>
    <t>Average ACT of Majors: Humanities/Humanistic Studies</t>
  </si>
  <si>
    <t>Average ACT of Majors: Life Sciences</t>
  </si>
  <si>
    <t>Average ACT of Majors: Med.Technician</t>
  </si>
  <si>
    <t>Average ACT of Majors: Physical Sciences</t>
  </si>
  <si>
    <t>Average ACT of Majors: Social Sciences</t>
  </si>
  <si>
    <t>% Bachelor's Employed- Humanities</t>
  </si>
  <si>
    <t>% Bachelor's Employed-Life Sciences</t>
  </si>
  <si>
    <t>% Bachelor's Employed- Med. Technician</t>
  </si>
  <si>
    <t>% Bachelor's Employed-Social Sciences</t>
  </si>
  <si>
    <t>% Bachelor's Employed-Physical Sciences</t>
  </si>
  <si>
    <t>% Bachelor's Further Education-Humanities</t>
  </si>
  <si>
    <t>% Bachelor's Further Education- Life Sciences</t>
  </si>
  <si>
    <t>% Bachelor's Further Education- Med. Technician</t>
  </si>
  <si>
    <t>% Bachelor's Further Education- Physical Sciences</t>
  </si>
  <si>
    <t>% Bachelor's Further Education- Social Sciences</t>
  </si>
  <si>
    <t>Master's students-Music</t>
  </si>
  <si>
    <t>Master's students-Theatre</t>
  </si>
  <si>
    <t>Master's students-History</t>
  </si>
  <si>
    <t>Master's students-Security Studies</t>
  </si>
  <si>
    <t>PhD students-History</t>
  </si>
  <si>
    <t>PhD students-Security Studies</t>
  </si>
  <si>
    <t>PhD students-Biology</t>
  </si>
  <si>
    <t>PhD students-MicroBiology</t>
  </si>
  <si>
    <t>Master's students-Politcal Science</t>
  </si>
  <si>
    <t>Master's students-Public Adminstration</t>
  </si>
  <si>
    <t>Average ACT of Majors: Psychology</t>
  </si>
  <si>
    <t>Total Tenure/Tenure Track Faculty (Headcount)</t>
  </si>
  <si>
    <t>Total Instructional FTE</t>
  </si>
  <si>
    <t>Tenured/Tenure Track Faculty with Terminal Degrees</t>
  </si>
  <si>
    <t>STATISTICAL OVERVIEW</t>
  </si>
  <si>
    <t>Kansas State University</t>
  </si>
  <si>
    <t>Department:  Mathematics</t>
  </si>
  <si>
    <t xml:space="preserve">     Non-Majors</t>
  </si>
  <si>
    <t xml:space="preserve">     Their Undergraduate Majors</t>
  </si>
  <si>
    <t xml:space="preserve">     Their Graduate Majors</t>
  </si>
  <si>
    <t>Number of Majors &amp; Degrees Conferred</t>
  </si>
  <si>
    <t>Faculty Information:**</t>
  </si>
  <si>
    <t>**Based on November 1st and from HRIS</t>
  </si>
  <si>
    <t>Full-Time Instructional Faculty - (50% or more instruction)</t>
  </si>
  <si>
    <t>Department: Physics</t>
  </si>
  <si>
    <t>Faculty Information**</t>
  </si>
  <si>
    <t>Tenured/Tenure Track Faculty with Terminal Degrees (headcount)</t>
  </si>
  <si>
    <t>Demographics</t>
  </si>
  <si>
    <t>Full-Time Instructional Faculty -              (50% or more instruction):</t>
  </si>
  <si>
    <t>Full-Time Instructional Faculty -                     (50% or more instruction):</t>
  </si>
  <si>
    <t xml:space="preserve">Department:  Geology </t>
  </si>
  <si>
    <t xml:space="preserve">Department:  Chemistry </t>
  </si>
  <si>
    <t>Full-Time Instructional Faculty- (50% or more instruction)</t>
  </si>
  <si>
    <t>Full-Time Instructional Faculty- 
(50% or more instruction):</t>
  </si>
  <si>
    <t>n/a</t>
  </si>
  <si>
    <t>Academic  Information</t>
  </si>
  <si>
    <t>Fall Majors</t>
  </si>
  <si>
    <t>Degrees Conferred</t>
  </si>
  <si>
    <t>Departmental Faculty</t>
  </si>
  <si>
    <t>Race/Ethnicity</t>
  </si>
  <si>
    <t xml:space="preserve"># of Undergrad Majors in Research </t>
  </si>
  <si>
    <t>Their Undergraduate Majors</t>
  </si>
  <si>
    <t>Their Graduate Majors</t>
  </si>
  <si>
    <t xml:space="preserve"> Non-Majors</t>
  </si>
  <si>
    <t>Department: Gender, Women and Sexuality Studies</t>
  </si>
  <si>
    <t>Non-Majors</t>
  </si>
  <si>
    <t>Note: number of undergraduate majors  includes second majors</t>
  </si>
  <si>
    <t>Department:  American Ethnic Studies</t>
  </si>
  <si>
    <t xml:space="preserve">Department:  Art </t>
  </si>
  <si>
    <t xml:space="preserve">Department: Division of Biology </t>
  </si>
  <si>
    <r>
      <t xml:space="preserve">Department:  Communication Studies </t>
    </r>
    <r>
      <rPr>
        <sz val="10"/>
        <rFont val="Arial"/>
        <family val="2"/>
      </rPr>
      <t>(separate dept. created in July 2012 - earlier data derived)</t>
    </r>
  </si>
  <si>
    <t xml:space="preserve">Department:  Economics </t>
  </si>
  <si>
    <t xml:space="preserve">Department:  English </t>
  </si>
  <si>
    <t xml:space="preserve">Department:  Geography </t>
  </si>
  <si>
    <t xml:space="preserve">Department:  History </t>
  </si>
  <si>
    <t>Department:   School of Journalism and Mass Communications</t>
  </si>
  <si>
    <t xml:space="preserve">Department:  Modern Languages </t>
  </si>
  <si>
    <t>Department:   Philosophy</t>
  </si>
  <si>
    <t xml:space="preserve">Department:  Political Science </t>
  </si>
  <si>
    <t xml:space="preserve">FTE </t>
  </si>
  <si>
    <t xml:space="preserve">Headcount </t>
  </si>
  <si>
    <t>Fall</t>
  </si>
  <si>
    <t>Number of Undergraduate Majors includes second majors</t>
  </si>
  <si>
    <t>Full-Time Instructional Faculty-
(50% or more instruction)</t>
  </si>
  <si>
    <t xml:space="preserve">    Their Undergraduate Majors</t>
  </si>
  <si>
    <t>Academic Information</t>
  </si>
  <si>
    <t>Number of Majors &amp; Degrees Conferred:</t>
  </si>
  <si>
    <t>Master's Programs</t>
  </si>
  <si>
    <t>Graduate Certificate Programs</t>
  </si>
  <si>
    <t>% Bachelor's Further Education-</t>
  </si>
  <si>
    <t>Demographics:</t>
  </si>
  <si>
    <t>College of Arts and Sciences</t>
  </si>
  <si>
    <t>% Bachelor's Further Education - Microbiology</t>
  </si>
  <si>
    <t>Secondary Major</t>
  </si>
  <si>
    <t>XXX</t>
  </si>
  <si>
    <t>FY 2017</t>
  </si>
  <si>
    <t>Fall 2016</t>
  </si>
  <si>
    <t>Department:  Statistics and Data Science</t>
  </si>
  <si>
    <t xml:space="preserve">  </t>
  </si>
  <si>
    <t>Minor's Program in Classical Studies</t>
  </si>
  <si>
    <r>
      <t>Department:  Music, Theatre and Dance</t>
    </r>
    <r>
      <rPr>
        <sz val="10"/>
        <rFont val="Arial"/>
        <family val="2"/>
      </rPr>
      <t xml:space="preserve"> (Dept. formed in Fall 2012 - earlier data derived)</t>
    </r>
  </si>
  <si>
    <t>Political Science - 45.1001</t>
  </si>
  <si>
    <t>Graduate Certificate Program (CDDPE)</t>
  </si>
  <si>
    <t>Gender, Women and Sexuality Studies - 05.0207</t>
  </si>
  <si>
    <t>Minor's Program in Spanish translation</t>
  </si>
  <si>
    <t>Undergraduate Program - "Open"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</si>
</sst>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"/>
    <numFmt numFmtId="166" formatCode="#,##0.0"/>
  </numFmts>
  <fonts count="10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84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DashDot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DashDot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 style="slantDashDot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slantDashDot">
        <color indexed="64"/>
      </bottom>
      <diagonal/>
    </border>
    <border>
      <left/>
      <right/>
      <top style="slant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slantDashDot">
        <color indexed="64"/>
      </top>
      <bottom style="medium">
        <color indexed="64"/>
      </bottom>
      <diagonal/>
    </border>
    <border>
      <left/>
      <right style="thin">
        <color indexed="64"/>
      </right>
      <top style="slantDashDot">
        <color indexed="64"/>
      </top>
      <bottom style="medium">
        <color indexed="64"/>
      </bottom>
      <diagonal/>
    </border>
    <border>
      <left/>
      <right style="medium">
        <color indexed="64"/>
      </right>
      <top style="slantDashDot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slantDashDot">
        <color indexed="64"/>
      </top>
      <bottom style="medium">
        <color indexed="64"/>
      </bottom>
      <diagonal/>
    </border>
    <border>
      <left/>
      <right style="double">
        <color indexed="64"/>
      </right>
      <top style="slantDashDot">
        <color indexed="64"/>
      </top>
      <bottom style="medium">
        <color indexed="64"/>
      </bottom>
      <diagonal/>
    </border>
    <border>
      <left style="double">
        <color indexed="64"/>
      </left>
      <right/>
      <top style="slantDashDot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slantDashDot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slantDashDot">
        <color indexed="64"/>
      </bottom>
      <diagonal/>
    </border>
    <border>
      <left style="thin">
        <color indexed="64"/>
      </left>
      <right/>
      <top style="medium">
        <color indexed="64"/>
      </top>
      <bottom style="slantDashDot">
        <color indexed="64"/>
      </bottom>
      <diagonal/>
    </border>
    <border>
      <left/>
      <right style="medium">
        <color indexed="64"/>
      </right>
      <top style="medium">
        <color indexed="64"/>
      </top>
      <bottom style="slantDashDot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slantDashDot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slantDashDot">
        <color indexed="64"/>
      </bottom>
      <diagonal/>
    </border>
    <border>
      <left/>
      <right style="double">
        <color indexed="64"/>
      </right>
      <top style="medium">
        <color indexed="64"/>
      </top>
      <bottom style="slantDashDot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slantDashDot">
        <color indexed="64"/>
      </bottom>
      <diagonal/>
    </border>
    <border>
      <left style="double">
        <color indexed="64"/>
      </left>
      <right style="thin">
        <color indexed="64"/>
      </right>
      <top style="slantDashDot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slantDashDot">
        <color indexed="64"/>
      </bottom>
      <diagonal/>
    </border>
    <border>
      <left/>
      <right/>
      <top style="medium">
        <color indexed="64"/>
      </top>
      <bottom style="slantDashDot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slantDashDot">
        <color indexed="64"/>
      </bottom>
      <diagonal/>
    </border>
    <border>
      <left/>
      <right/>
      <top style="thin">
        <color indexed="64"/>
      </top>
      <bottom style="slantDashDot">
        <color indexed="64"/>
      </bottom>
      <diagonal/>
    </border>
    <border>
      <left/>
      <right style="medium">
        <color indexed="64"/>
      </right>
      <top style="thin">
        <color indexed="64"/>
      </top>
      <bottom style="slantDashDot">
        <color indexed="64"/>
      </bottom>
      <diagonal/>
    </border>
    <border>
      <left style="medium">
        <color indexed="64"/>
      </left>
      <right/>
      <top style="thin">
        <color indexed="64"/>
      </top>
      <bottom style="slantDashDot">
        <color indexed="64"/>
      </bottom>
      <diagonal/>
    </border>
    <border>
      <left/>
      <right style="double">
        <color indexed="64"/>
      </right>
      <top style="thin">
        <color indexed="64"/>
      </top>
      <bottom style="slantDashDot">
        <color indexed="64"/>
      </bottom>
      <diagonal/>
    </border>
    <border>
      <left style="medium">
        <color indexed="64"/>
      </left>
      <right/>
      <top style="slantDashDot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slantDashDot">
        <color indexed="64"/>
      </bottom>
      <diagonal/>
    </border>
    <border>
      <left style="thin">
        <color indexed="64"/>
      </left>
      <right/>
      <top style="slantDashDot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slantDashDot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4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7" fillId="0" borderId="0"/>
    <xf numFmtId="10" fontId="7" fillId="0" borderId="0" applyFill="0" applyBorder="0" applyAlignment="0" applyProtection="0"/>
    <xf numFmtId="0" fontId="7" fillId="0" borderId="0"/>
    <xf numFmtId="4" fontId="6" fillId="0" borderId="0" applyFont="0" applyFill="0" applyBorder="0" applyAlignment="0" applyProtection="0"/>
    <xf numFmtId="0" fontId="7" fillId="0" borderId="0"/>
  </cellStyleXfs>
  <cellXfs count="1420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/>
    <xf numFmtId="0" fontId="1" fillId="0" borderId="1" xfId="0" applyFont="1" applyBorder="1"/>
    <xf numFmtId="0" fontId="1" fillId="0" borderId="7" xfId="0" applyFont="1" applyBorder="1"/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" fillId="0" borderId="11" xfId="0" applyFont="1" applyFill="1" applyBorder="1"/>
    <xf numFmtId="0" fontId="1" fillId="0" borderId="9" xfId="0" applyFont="1" applyFill="1" applyBorder="1"/>
    <xf numFmtId="0" fontId="1" fillId="0" borderId="8" xfId="0" applyFont="1" applyFill="1" applyBorder="1"/>
    <xf numFmtId="0" fontId="1" fillId="0" borderId="10" xfId="0" applyFont="1" applyFill="1" applyBorder="1"/>
    <xf numFmtId="0" fontId="1" fillId="0" borderId="12" xfId="0" applyFont="1" applyFill="1" applyBorder="1"/>
    <xf numFmtId="1" fontId="1" fillId="0" borderId="29" xfId="0" applyNumberFormat="1" applyFont="1" applyBorder="1"/>
    <xf numFmtId="1" fontId="1" fillId="0" borderId="30" xfId="0" applyNumberFormat="1" applyFont="1" applyBorder="1"/>
    <xf numFmtId="1" fontId="1" fillId="0" borderId="28" xfId="0" applyNumberFormat="1" applyFont="1" applyFill="1" applyBorder="1" applyAlignment="1">
      <alignment horizontal="right"/>
    </xf>
    <xf numFmtId="1" fontId="1" fillId="0" borderId="9" xfId="0" applyNumberFormat="1" applyFont="1" applyFill="1" applyBorder="1" applyAlignment="1">
      <alignment horizontal="right"/>
    </xf>
    <xf numFmtId="1" fontId="1" fillId="0" borderId="8" xfId="0" applyNumberFormat="1" applyFont="1" applyFill="1" applyBorder="1" applyAlignment="1">
      <alignment horizontal="right"/>
    </xf>
    <xf numFmtId="1" fontId="1" fillId="0" borderId="10" xfId="0" applyNumberFormat="1" applyFont="1" applyFill="1" applyBorder="1" applyAlignment="1">
      <alignment horizontal="right"/>
    </xf>
    <xf numFmtId="1" fontId="1" fillId="0" borderId="11" xfId="0" applyNumberFormat="1" applyFont="1" applyFill="1" applyBorder="1" applyAlignment="1">
      <alignment horizontal="right"/>
    </xf>
    <xf numFmtId="1" fontId="0" fillId="0" borderId="0" xfId="0" applyNumberFormat="1"/>
    <xf numFmtId="1" fontId="1" fillId="0" borderId="30" xfId="0" applyNumberFormat="1" applyFont="1" applyFill="1" applyBorder="1"/>
    <xf numFmtId="1" fontId="1" fillId="0" borderId="17" xfId="0" applyNumberFormat="1" applyFont="1" applyFill="1" applyBorder="1" applyAlignment="1">
      <alignment horizontal="right"/>
    </xf>
    <xf numFmtId="1" fontId="1" fillId="0" borderId="18" xfId="0" applyNumberFormat="1" applyFont="1" applyFill="1" applyBorder="1" applyAlignment="1">
      <alignment horizontal="right"/>
    </xf>
    <xf numFmtId="1" fontId="1" fillId="0" borderId="31" xfId="0" applyNumberFormat="1" applyFont="1" applyFill="1" applyBorder="1" applyAlignment="1">
      <alignment horizontal="right"/>
    </xf>
    <xf numFmtId="1" fontId="1" fillId="0" borderId="31" xfId="0" applyNumberFormat="1" applyFont="1" applyBorder="1" applyAlignment="1">
      <alignment horizontal="right"/>
    </xf>
    <xf numFmtId="1" fontId="1" fillId="0" borderId="16" xfId="0" applyNumberFormat="1" applyFont="1" applyFill="1" applyBorder="1" applyAlignment="1">
      <alignment horizontal="right"/>
    </xf>
    <xf numFmtId="1" fontId="1" fillId="0" borderId="32" xfId="0" applyNumberFormat="1" applyFont="1" applyBorder="1" applyAlignment="1">
      <alignment horizontal="right"/>
    </xf>
    <xf numFmtId="1" fontId="1" fillId="0" borderId="36" xfId="0" applyNumberFormat="1" applyFont="1" applyFill="1" applyBorder="1" applyAlignment="1">
      <alignment horizontal="right"/>
    </xf>
    <xf numFmtId="1" fontId="1" fillId="0" borderId="34" xfId="0" applyNumberFormat="1" applyFont="1" applyFill="1" applyBorder="1" applyAlignment="1">
      <alignment horizontal="right"/>
    </xf>
    <xf numFmtId="1" fontId="1" fillId="0" borderId="33" xfId="0" applyNumberFormat="1" applyFont="1" applyFill="1" applyBorder="1" applyAlignment="1">
      <alignment horizontal="right"/>
    </xf>
    <xf numFmtId="1" fontId="1" fillId="0" borderId="35" xfId="0" applyNumberFormat="1" applyFont="1" applyFill="1" applyBorder="1" applyAlignment="1">
      <alignment horizontal="right"/>
    </xf>
    <xf numFmtId="1" fontId="1" fillId="0" borderId="38" xfId="0" applyNumberFormat="1" applyFont="1" applyBorder="1"/>
    <xf numFmtId="1" fontId="1" fillId="0" borderId="39" xfId="0" applyNumberFormat="1" applyFont="1" applyFill="1" applyBorder="1"/>
    <xf numFmtId="0" fontId="5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Border="1"/>
    <xf numFmtId="1" fontId="1" fillId="0" borderId="0" xfId="0" applyNumberFormat="1" applyFont="1" applyFill="1" applyBorder="1"/>
    <xf numFmtId="0" fontId="1" fillId="0" borderId="13" xfId="0" applyFont="1" applyBorder="1"/>
    <xf numFmtId="0" fontId="1" fillId="0" borderId="14" xfId="0" applyFont="1" applyBorder="1"/>
    <xf numFmtId="0" fontId="1" fillId="0" borderId="28" xfId="0" applyFont="1" applyBorder="1"/>
    <xf numFmtId="0" fontId="1" fillId="0" borderId="47" xfId="0" applyFont="1" applyFill="1" applyBorder="1"/>
    <xf numFmtId="0" fontId="1" fillId="0" borderId="49" xfId="0" applyFont="1" applyFill="1" applyBorder="1"/>
    <xf numFmtId="3" fontId="1" fillId="0" borderId="48" xfId="1" applyNumberFormat="1" applyFont="1" applyFill="1" applyBorder="1" applyAlignment="1">
      <alignment horizontal="right"/>
    </xf>
    <xf numFmtId="3" fontId="1" fillId="0" borderId="49" xfId="1" applyNumberFormat="1" applyFont="1" applyFill="1" applyBorder="1" applyAlignment="1">
      <alignment horizontal="right"/>
    </xf>
    <xf numFmtId="3" fontId="1" fillId="0" borderId="30" xfId="1" applyNumberFormat="1" applyFont="1" applyFill="1" applyBorder="1" applyAlignment="1">
      <alignment horizontal="right"/>
    </xf>
    <xf numFmtId="0" fontId="1" fillId="0" borderId="50" xfId="0" applyFont="1" applyBorder="1"/>
    <xf numFmtId="3" fontId="1" fillId="0" borderId="46" xfId="0" applyNumberFormat="1" applyFont="1" applyBorder="1"/>
    <xf numFmtId="0" fontId="1" fillId="0" borderId="29" xfId="0" applyFont="1" applyBorder="1"/>
    <xf numFmtId="3" fontId="1" fillId="0" borderId="48" xfId="0" applyNumberFormat="1" applyFont="1" applyFill="1" applyBorder="1"/>
    <xf numFmtId="3" fontId="1" fillId="0" borderId="49" xfId="0" applyNumberFormat="1" applyFont="1" applyFill="1" applyBorder="1"/>
    <xf numFmtId="0" fontId="3" fillId="0" borderId="32" xfId="0" applyFont="1" applyBorder="1" applyAlignment="1">
      <alignment horizontal="center"/>
    </xf>
    <xf numFmtId="3" fontId="3" fillId="0" borderId="0" xfId="0" applyNumberFormat="1" applyFont="1" applyFill="1" applyBorder="1"/>
    <xf numFmtId="0" fontId="3" fillId="0" borderId="0" xfId="0" applyFont="1" applyBorder="1" applyAlignment="1">
      <alignment horizontal="center"/>
    </xf>
    <xf numFmtId="3" fontId="3" fillId="0" borderId="13" xfId="0" applyNumberFormat="1" applyFont="1" applyFill="1" applyBorder="1"/>
    <xf numFmtId="0" fontId="3" fillId="0" borderId="59" xfId="0" applyFont="1" applyBorder="1" applyAlignment="1">
      <alignment horizontal="center"/>
    </xf>
    <xf numFmtId="0" fontId="3" fillId="0" borderId="59" xfId="0" applyFont="1" applyFill="1" applyBorder="1"/>
    <xf numFmtId="3" fontId="3" fillId="0" borderId="59" xfId="0" applyNumberFormat="1" applyFont="1" applyFill="1" applyBorder="1"/>
    <xf numFmtId="0" fontId="1" fillId="0" borderId="59" xfId="0" applyFont="1" applyBorder="1"/>
    <xf numFmtId="0" fontId="1" fillId="0" borderId="57" xfId="0" applyFont="1" applyBorder="1"/>
    <xf numFmtId="0" fontId="3" fillId="0" borderId="28" xfId="0" applyFont="1" applyBorder="1"/>
    <xf numFmtId="0" fontId="6" fillId="0" borderId="0" xfId="0" applyFont="1"/>
    <xf numFmtId="1" fontId="1" fillId="0" borderId="71" xfId="0" applyNumberFormat="1" applyFont="1" applyBorder="1" applyAlignment="1">
      <alignment horizontal="center"/>
    </xf>
    <xf numFmtId="3" fontId="3" fillId="0" borderId="13" xfId="1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3" fillId="0" borderId="15" xfId="0" applyFont="1" applyBorder="1"/>
    <xf numFmtId="0" fontId="1" fillId="0" borderId="23" xfId="0" applyFont="1" applyBorder="1"/>
    <xf numFmtId="1" fontId="3" fillId="0" borderId="40" xfId="0" applyNumberFormat="1" applyFont="1" applyFill="1" applyBorder="1" applyAlignment="1">
      <alignment horizontal="left"/>
    </xf>
    <xf numFmtId="1" fontId="2" fillId="0" borderId="0" xfId="0" applyNumberFormat="1" applyFont="1"/>
    <xf numFmtId="0" fontId="1" fillId="0" borderId="32" xfId="0" applyFont="1" applyBorder="1" applyAlignment="1">
      <alignment horizontal="left"/>
    </xf>
    <xf numFmtId="1" fontId="1" fillId="0" borderId="47" xfId="0" applyNumberFormat="1" applyFont="1" applyBorder="1" applyAlignment="1">
      <alignment horizontal="right"/>
    </xf>
    <xf numFmtId="0" fontId="1" fillId="0" borderId="51" xfId="0" applyFont="1" applyBorder="1" applyAlignment="1">
      <alignment horizontal="right"/>
    </xf>
    <xf numFmtId="0" fontId="1" fillId="0" borderId="52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3" fillId="0" borderId="0" xfId="0" applyFont="1" applyFill="1" applyBorder="1"/>
    <xf numFmtId="3" fontId="3" fillId="0" borderId="86" xfId="0" applyNumberFormat="1" applyFont="1" applyBorder="1"/>
    <xf numFmtId="3" fontId="3" fillId="0" borderId="86" xfId="0" applyNumberFormat="1" applyFont="1" applyFill="1" applyBorder="1"/>
    <xf numFmtId="0" fontId="3" fillId="0" borderId="40" xfId="0" applyFont="1" applyBorder="1"/>
    <xf numFmtId="0" fontId="1" fillId="4" borderId="64" xfId="0" applyFont="1" applyFill="1" applyBorder="1"/>
    <xf numFmtId="0" fontId="1" fillId="0" borderId="86" xfId="0" applyFont="1" applyBorder="1"/>
    <xf numFmtId="0" fontId="0" fillId="0" borderId="0" xfId="0" applyBorder="1"/>
    <xf numFmtId="1" fontId="1" fillId="0" borderId="19" xfId="0" applyNumberFormat="1" applyFont="1" applyFill="1" applyBorder="1" applyAlignment="1">
      <alignment horizontal="right"/>
    </xf>
    <xf numFmtId="1" fontId="1" fillId="0" borderId="66" xfId="0" applyNumberFormat="1" applyFont="1" applyFill="1" applyBorder="1" applyAlignment="1">
      <alignment horizontal="right"/>
    </xf>
    <xf numFmtId="1" fontId="1" fillId="0" borderId="68" xfId="0" applyNumberFormat="1" applyFont="1" applyFill="1" applyBorder="1" applyAlignment="1">
      <alignment horizontal="right"/>
    </xf>
    <xf numFmtId="1" fontId="3" fillId="0" borderId="88" xfId="0" applyNumberFormat="1" applyFont="1" applyBorder="1" applyAlignment="1">
      <alignment horizontal="right"/>
    </xf>
    <xf numFmtId="0" fontId="1" fillId="0" borderId="62" xfId="0" applyFont="1" applyFill="1" applyBorder="1"/>
    <xf numFmtId="3" fontId="1" fillId="0" borderId="63" xfId="0" applyNumberFormat="1" applyFont="1" applyFill="1" applyBorder="1"/>
    <xf numFmtId="0" fontId="1" fillId="0" borderId="64" xfId="0" applyFont="1" applyFill="1" applyBorder="1"/>
    <xf numFmtId="3" fontId="3" fillId="0" borderId="84" xfId="0" applyNumberFormat="1" applyFont="1" applyFill="1" applyBorder="1"/>
    <xf numFmtId="0" fontId="3" fillId="0" borderId="83" xfId="0" applyFont="1" applyFill="1" applyBorder="1"/>
    <xf numFmtId="0" fontId="3" fillId="0" borderId="82" xfId="0" applyFont="1" applyFill="1" applyBorder="1"/>
    <xf numFmtId="3" fontId="3" fillId="0" borderId="82" xfId="0" applyNumberFormat="1" applyFont="1" applyFill="1" applyBorder="1"/>
    <xf numFmtId="0" fontId="3" fillId="0" borderId="20" xfId="0" applyFont="1" applyBorder="1" applyAlignment="1">
      <alignment horizontal="center"/>
    </xf>
    <xf numFmtId="1" fontId="3" fillId="0" borderId="91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1" fontId="3" fillId="0" borderId="92" xfId="0" applyNumberFormat="1" applyFont="1" applyBorder="1" applyAlignment="1">
      <alignment horizontal="right"/>
    </xf>
    <xf numFmtId="1" fontId="1" fillId="0" borderId="7" xfId="0" applyNumberFormat="1" applyFont="1" applyFill="1" applyBorder="1" applyAlignment="1">
      <alignment horizontal="left"/>
    </xf>
    <xf numFmtId="1" fontId="1" fillId="0" borderId="43" xfId="0" applyNumberFormat="1" applyFont="1" applyBorder="1" applyAlignment="1">
      <alignment horizontal="right"/>
    </xf>
    <xf numFmtId="0" fontId="3" fillId="0" borderId="55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1" fontId="1" fillId="5" borderId="8" xfId="0" applyNumberFormat="1" applyFont="1" applyFill="1" applyBorder="1" applyAlignment="1">
      <alignment horizontal="right"/>
    </xf>
    <xf numFmtId="1" fontId="1" fillId="5" borderId="10" xfId="0" applyNumberFormat="1" applyFont="1" applyFill="1" applyBorder="1" applyAlignment="1">
      <alignment horizontal="right"/>
    </xf>
    <xf numFmtId="1" fontId="1" fillId="5" borderId="11" xfId="0" applyNumberFormat="1" applyFont="1" applyFill="1" applyBorder="1" applyAlignment="1">
      <alignment horizontal="right"/>
    </xf>
    <xf numFmtId="1" fontId="1" fillId="5" borderId="16" xfId="0" applyNumberFormat="1" applyFont="1" applyFill="1" applyBorder="1" applyAlignment="1">
      <alignment horizontal="right"/>
    </xf>
    <xf numFmtId="1" fontId="1" fillId="5" borderId="18" xfId="0" applyNumberFormat="1" applyFont="1" applyFill="1" applyBorder="1" applyAlignment="1">
      <alignment horizontal="right"/>
    </xf>
    <xf numFmtId="1" fontId="1" fillId="5" borderId="19" xfId="0" applyNumberFormat="1" applyFont="1" applyFill="1" applyBorder="1" applyAlignment="1">
      <alignment horizontal="right"/>
    </xf>
    <xf numFmtId="1" fontId="1" fillId="5" borderId="33" xfId="0" applyNumberFormat="1" applyFont="1" applyFill="1" applyBorder="1" applyAlignment="1">
      <alignment horizontal="right"/>
    </xf>
    <xf numFmtId="1" fontId="1" fillId="5" borderId="34" xfId="0" applyNumberFormat="1" applyFont="1" applyFill="1" applyBorder="1" applyAlignment="1">
      <alignment horizontal="right"/>
    </xf>
    <xf numFmtId="1" fontId="1" fillId="5" borderId="37" xfId="0" applyNumberFormat="1" applyFont="1" applyFill="1" applyBorder="1" applyAlignment="1">
      <alignment horizontal="right"/>
    </xf>
    <xf numFmtId="3" fontId="1" fillId="0" borderId="48" xfId="0" applyNumberFormat="1" applyFont="1" applyFill="1" applyBorder="1" applyAlignment="1">
      <alignment horizontal="right"/>
    </xf>
    <xf numFmtId="0" fontId="1" fillId="5" borderId="47" xfId="0" applyFont="1" applyFill="1" applyBorder="1"/>
    <xf numFmtId="0" fontId="1" fillId="5" borderId="49" xfId="0" applyFont="1" applyFill="1" applyBorder="1"/>
    <xf numFmtId="3" fontId="1" fillId="5" borderId="49" xfId="1" applyNumberFormat="1" applyFont="1" applyFill="1" applyBorder="1" applyAlignment="1">
      <alignment horizontal="right"/>
    </xf>
    <xf numFmtId="3" fontId="1" fillId="5" borderId="48" xfId="1" applyNumberFormat="1" applyFont="1" applyFill="1" applyBorder="1" applyAlignment="1">
      <alignment horizontal="right"/>
    </xf>
    <xf numFmtId="0" fontId="1" fillId="5" borderId="62" xfId="0" applyFont="1" applyFill="1" applyBorder="1"/>
    <xf numFmtId="3" fontId="1" fillId="5" borderId="63" xfId="0" applyNumberFormat="1" applyFont="1" applyFill="1" applyBorder="1"/>
    <xf numFmtId="0" fontId="1" fillId="5" borderId="64" xfId="0" applyFont="1" applyFill="1" applyBorder="1"/>
    <xf numFmtId="3" fontId="1" fillId="5" borderId="64" xfId="0" applyNumberFormat="1" applyFont="1" applyFill="1" applyBorder="1"/>
    <xf numFmtId="0" fontId="3" fillId="5" borderId="83" xfId="0" applyFont="1" applyFill="1" applyBorder="1"/>
    <xf numFmtId="3" fontId="3" fillId="5" borderId="84" xfId="0" applyNumberFormat="1" applyFont="1" applyFill="1" applyBorder="1"/>
    <xf numFmtId="0" fontId="3" fillId="5" borderId="82" xfId="0" applyFont="1" applyFill="1" applyBorder="1"/>
    <xf numFmtId="3" fontId="3" fillId="5" borderId="82" xfId="0" applyNumberFormat="1" applyFont="1" applyFill="1" applyBorder="1"/>
    <xf numFmtId="164" fontId="1" fillId="0" borderId="45" xfId="4" applyNumberFormat="1" applyFont="1" applyFill="1" applyBorder="1"/>
    <xf numFmtId="164" fontId="1" fillId="0" borderId="44" xfId="4" applyNumberFormat="1" applyFont="1" applyFill="1" applyBorder="1"/>
    <xf numFmtId="164" fontId="1" fillId="0" borderId="49" xfId="4" applyNumberFormat="1" applyFont="1" applyFill="1" applyBorder="1"/>
    <xf numFmtId="164" fontId="1" fillId="0" borderId="48" xfId="4" applyNumberFormat="1" applyFont="1" applyFill="1" applyBorder="1"/>
    <xf numFmtId="3" fontId="1" fillId="0" borderId="47" xfId="1" applyNumberFormat="1" applyFont="1" applyFill="1" applyBorder="1" applyAlignment="1">
      <alignment horizontal="right"/>
    </xf>
    <xf numFmtId="3" fontId="1" fillId="0" borderId="11" xfId="1" applyNumberFormat="1" applyFont="1" applyFill="1" applyBorder="1" applyAlignment="1">
      <alignment horizontal="right"/>
    </xf>
    <xf numFmtId="3" fontId="1" fillId="0" borderId="8" xfId="1" applyNumberFormat="1" applyFont="1" applyFill="1" applyBorder="1" applyAlignment="1">
      <alignment horizontal="right"/>
    </xf>
    <xf numFmtId="10" fontId="1" fillId="0" borderId="44" xfId="2" applyFont="1" applyBorder="1" applyAlignment="1">
      <alignment horizontal="right"/>
    </xf>
    <xf numFmtId="10" fontId="1" fillId="0" borderId="48" xfId="2" applyFont="1" applyBorder="1" applyAlignment="1">
      <alignment horizontal="right"/>
    </xf>
    <xf numFmtId="10" fontId="3" fillId="0" borderId="56" xfId="2" applyFont="1" applyFill="1" applyBorder="1" applyAlignment="1">
      <alignment horizontal="center"/>
    </xf>
    <xf numFmtId="10" fontId="3" fillId="0" borderId="27" xfId="2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right"/>
    </xf>
    <xf numFmtId="1" fontId="1" fillId="6" borderId="10" xfId="0" applyNumberFormat="1" applyFont="1" applyFill="1" applyBorder="1" applyAlignment="1">
      <alignment horizontal="right"/>
    </xf>
    <xf numFmtId="1" fontId="1" fillId="6" borderId="18" xfId="0" applyNumberFormat="1" applyFont="1" applyFill="1" applyBorder="1" applyAlignment="1">
      <alignment horizontal="right"/>
    </xf>
    <xf numFmtId="1" fontId="1" fillId="0" borderId="81" xfId="0" applyNumberFormat="1" applyFont="1" applyBorder="1" applyAlignment="1">
      <alignment horizontal="right"/>
    </xf>
    <xf numFmtId="1" fontId="1" fillId="0" borderId="94" xfId="0" applyNumberFormat="1" applyFont="1" applyFill="1" applyBorder="1" applyAlignment="1">
      <alignment horizontal="right"/>
    </xf>
    <xf numFmtId="1" fontId="1" fillId="0" borderId="95" xfId="0" applyNumberFormat="1" applyFont="1" applyFill="1" applyBorder="1" applyAlignment="1">
      <alignment horizontal="right"/>
    </xf>
    <xf numFmtId="1" fontId="1" fillId="0" borderId="96" xfId="0" applyNumberFormat="1" applyFont="1" applyFill="1" applyBorder="1" applyAlignment="1">
      <alignment horizontal="right"/>
    </xf>
    <xf numFmtId="1" fontId="1" fillId="0" borderId="97" xfId="0" applyNumberFormat="1" applyFont="1" applyFill="1" applyBorder="1" applyAlignment="1">
      <alignment horizontal="right"/>
    </xf>
    <xf numFmtId="1" fontId="1" fillId="6" borderId="9" xfId="0" applyNumberFormat="1" applyFont="1" applyFill="1" applyBorder="1" applyAlignment="1">
      <alignment horizontal="right"/>
    </xf>
    <xf numFmtId="1" fontId="1" fillId="6" borderId="17" xfId="0" applyNumberFormat="1" applyFont="1" applyFill="1" applyBorder="1" applyAlignment="1">
      <alignment horizontal="right"/>
    </xf>
    <xf numFmtId="3" fontId="7" fillId="6" borderId="44" xfId="6" applyNumberFormat="1" applyFont="1" applyFill="1" applyBorder="1" applyAlignment="1">
      <alignment horizontal="right"/>
    </xf>
    <xf numFmtId="3" fontId="7" fillId="6" borderId="48" xfId="6" applyNumberFormat="1" applyFont="1" applyFill="1" applyBorder="1" applyAlignment="1">
      <alignment horizontal="right"/>
    </xf>
    <xf numFmtId="1" fontId="1" fillId="6" borderId="12" xfId="0" applyNumberFormat="1" applyFont="1" applyFill="1" applyBorder="1" applyAlignment="1">
      <alignment horizontal="right"/>
    </xf>
    <xf numFmtId="1" fontId="1" fillId="6" borderId="20" xfId="0" applyNumberFormat="1" applyFont="1" applyFill="1" applyBorder="1" applyAlignment="1">
      <alignment horizontal="right"/>
    </xf>
    <xf numFmtId="1" fontId="1" fillId="4" borderId="8" xfId="0" applyNumberFormat="1" applyFont="1" applyFill="1" applyBorder="1" applyAlignment="1">
      <alignment horizontal="right"/>
    </xf>
    <xf numFmtId="164" fontId="1" fillId="0" borderId="56" xfId="4" applyNumberFormat="1" applyFont="1" applyBorder="1"/>
    <xf numFmtId="164" fontId="1" fillId="0" borderId="48" xfId="4" applyNumberFormat="1" applyFont="1" applyBorder="1"/>
    <xf numFmtId="0" fontId="1" fillId="0" borderId="47" xfId="0" applyFont="1" applyFill="1" applyBorder="1" applyAlignment="1">
      <alignment horizontal="right"/>
    </xf>
    <xf numFmtId="0" fontId="1" fillId="7" borderId="62" xfId="0" applyFont="1" applyFill="1" applyBorder="1" applyAlignment="1">
      <alignment horizontal="right"/>
    </xf>
    <xf numFmtId="0" fontId="1" fillId="0" borderId="62" xfId="0" applyFont="1" applyFill="1" applyBorder="1" applyAlignment="1">
      <alignment horizontal="right"/>
    </xf>
    <xf numFmtId="3" fontId="1" fillId="0" borderId="36" xfId="1" applyNumberFormat="1" applyFont="1" applyFill="1" applyBorder="1" applyAlignment="1">
      <alignment horizontal="right"/>
    </xf>
    <xf numFmtId="0" fontId="1" fillId="0" borderId="49" xfId="0" applyFont="1" applyFill="1" applyBorder="1" applyAlignment="1">
      <alignment horizontal="right"/>
    </xf>
    <xf numFmtId="0" fontId="1" fillId="7" borderId="64" xfId="0" applyFont="1" applyFill="1" applyBorder="1" applyAlignment="1">
      <alignment horizontal="right"/>
    </xf>
    <xf numFmtId="0" fontId="1" fillId="0" borderId="64" xfId="0" applyFont="1" applyFill="1" applyBorder="1" applyAlignment="1">
      <alignment horizontal="right"/>
    </xf>
    <xf numFmtId="3" fontId="1" fillId="0" borderId="33" xfId="1" applyNumberFormat="1" applyFont="1" applyFill="1" applyBorder="1" applyAlignment="1">
      <alignment horizontal="right"/>
    </xf>
    <xf numFmtId="0" fontId="1" fillId="2" borderId="62" xfId="0" applyFont="1" applyFill="1" applyBorder="1" applyAlignment="1">
      <alignment horizontal="right"/>
    </xf>
    <xf numFmtId="164" fontId="1" fillId="2" borderId="10" xfId="2" applyNumberFormat="1" applyFont="1" applyFill="1" applyBorder="1" applyAlignment="1">
      <alignment horizontal="right"/>
    </xf>
    <xf numFmtId="164" fontId="1" fillId="2" borderId="9" xfId="2" applyNumberFormat="1" applyFont="1" applyFill="1" applyBorder="1" applyAlignment="1">
      <alignment horizontal="right"/>
    </xf>
    <xf numFmtId="0" fontId="1" fillId="2" borderId="64" xfId="0" applyFont="1" applyFill="1" applyBorder="1" applyAlignment="1">
      <alignment horizontal="right"/>
    </xf>
    <xf numFmtId="0" fontId="1" fillId="3" borderId="62" xfId="0" applyFont="1" applyFill="1" applyBorder="1" applyAlignment="1">
      <alignment horizontal="right"/>
    </xf>
    <xf numFmtId="164" fontId="1" fillId="3" borderId="10" xfId="2" applyNumberFormat="1" applyFont="1" applyFill="1" applyBorder="1" applyAlignment="1">
      <alignment horizontal="right"/>
    </xf>
    <xf numFmtId="164" fontId="1" fillId="3" borderId="9" xfId="2" applyNumberFormat="1" applyFont="1" applyFill="1" applyBorder="1" applyAlignment="1">
      <alignment horizontal="right"/>
    </xf>
    <xf numFmtId="0" fontId="1" fillId="3" borderId="64" xfId="0" applyFont="1" applyFill="1" applyBorder="1" applyAlignment="1">
      <alignment horizontal="right"/>
    </xf>
    <xf numFmtId="9" fontId="6" fillId="0" borderId="93" xfId="2" applyNumberFormat="1" applyFill="1" applyBorder="1" applyAlignment="1">
      <alignment horizontal="right"/>
    </xf>
    <xf numFmtId="1" fontId="1" fillId="0" borderId="57" xfId="0" applyNumberFormat="1" applyFont="1" applyBorder="1"/>
    <xf numFmtId="1" fontId="1" fillId="0" borderId="58" xfId="0" applyNumberFormat="1" applyFont="1" applyFill="1" applyBorder="1"/>
    <xf numFmtId="0" fontId="3" fillId="4" borderId="40" xfId="3" applyFont="1" applyFill="1" applyBorder="1"/>
    <xf numFmtId="0" fontId="0" fillId="4" borderId="13" xfId="0" applyFill="1" applyBorder="1" applyAlignment="1">
      <alignment horizontal="center"/>
    </xf>
    <xf numFmtId="164" fontId="1" fillId="4" borderId="55" xfId="4" applyNumberFormat="1" applyFont="1" applyFill="1" applyBorder="1"/>
    <xf numFmtId="164" fontId="1" fillId="4" borderId="56" xfId="4" applyNumberFormat="1" applyFont="1" applyFill="1" applyBorder="1"/>
    <xf numFmtId="164" fontId="1" fillId="4" borderId="43" xfId="4" applyNumberFormat="1" applyFont="1" applyFill="1" applyBorder="1"/>
    <xf numFmtId="164" fontId="1" fillId="4" borderId="44" xfId="4" applyNumberFormat="1" applyFont="1" applyFill="1" applyBorder="1"/>
    <xf numFmtId="164" fontId="1" fillId="4" borderId="45" xfId="4" applyNumberFormat="1" applyFont="1" applyFill="1" applyBorder="1"/>
    <xf numFmtId="164" fontId="1" fillId="4" borderId="46" xfId="4" applyNumberFormat="1" applyFont="1" applyFill="1" applyBorder="1"/>
    <xf numFmtId="164" fontId="1" fillId="4" borderId="13" xfId="3" applyNumberFormat="1" applyFont="1" applyFill="1" applyBorder="1"/>
    <xf numFmtId="164" fontId="1" fillId="4" borderId="47" xfId="4" applyNumberFormat="1" applyFont="1" applyFill="1" applyBorder="1"/>
    <xf numFmtId="164" fontId="1" fillId="4" borderId="48" xfId="4" applyNumberFormat="1" applyFont="1" applyFill="1" applyBorder="1"/>
    <xf numFmtId="164" fontId="1" fillId="4" borderId="49" xfId="4" applyNumberFormat="1" applyFont="1" applyFill="1" applyBorder="1"/>
    <xf numFmtId="164" fontId="1" fillId="4" borderId="30" xfId="4" applyNumberFormat="1" applyFont="1" applyFill="1" applyBorder="1"/>
    <xf numFmtId="1" fontId="1" fillId="4" borderId="57" xfId="0" applyNumberFormat="1" applyFont="1" applyFill="1" applyBorder="1"/>
    <xf numFmtId="0" fontId="1" fillId="4" borderId="32" xfId="3" applyFont="1" applyFill="1" applyBorder="1"/>
    <xf numFmtId="0" fontId="1" fillId="4" borderId="62" xfId="0" applyFont="1" applyFill="1" applyBorder="1" applyAlignment="1">
      <alignment horizontal="right"/>
    </xf>
    <xf numFmtId="164" fontId="1" fillId="4" borderId="10" xfId="2" applyNumberFormat="1" applyFont="1" applyFill="1" applyBorder="1" applyAlignment="1">
      <alignment horizontal="right"/>
    </xf>
    <xf numFmtId="164" fontId="1" fillId="4" borderId="9" xfId="2" applyNumberFormat="1" applyFont="1" applyFill="1" applyBorder="1" applyAlignment="1">
      <alignment horizontal="right"/>
    </xf>
    <xf numFmtId="0" fontId="1" fillId="4" borderId="64" xfId="0" applyFont="1" applyFill="1" applyBorder="1" applyAlignment="1">
      <alignment horizontal="right"/>
    </xf>
    <xf numFmtId="0" fontId="3" fillId="4" borderId="15" xfId="0" applyFont="1" applyFill="1" applyBorder="1" applyAlignment="1">
      <alignment horizontal="left"/>
    </xf>
    <xf numFmtId="0" fontId="1" fillId="4" borderId="0" xfId="0" applyFont="1" applyFill="1"/>
    <xf numFmtId="0" fontId="3" fillId="4" borderId="67" xfId="0" applyFont="1" applyFill="1" applyBorder="1" applyAlignment="1">
      <alignment horizontal="center"/>
    </xf>
    <xf numFmtId="0" fontId="3" fillId="4" borderId="69" xfId="0" applyFont="1" applyFill="1" applyBorder="1" applyAlignment="1">
      <alignment horizontal="center"/>
    </xf>
    <xf numFmtId="0" fontId="3" fillId="4" borderId="66" xfId="0" applyFont="1" applyFill="1" applyBorder="1" applyAlignment="1">
      <alignment horizontal="center"/>
    </xf>
    <xf numFmtId="0" fontId="3" fillId="4" borderId="70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right"/>
    </xf>
    <xf numFmtId="0" fontId="1" fillId="4" borderId="47" xfId="0" applyFont="1" applyFill="1" applyBorder="1" applyAlignment="1">
      <alignment horizontal="right"/>
    </xf>
    <xf numFmtId="0" fontId="1" fillId="4" borderId="49" xfId="0" applyFont="1" applyFill="1" applyBorder="1" applyAlignment="1">
      <alignment horizontal="right"/>
    </xf>
    <xf numFmtId="164" fontId="1" fillId="4" borderId="12" xfId="2" applyNumberFormat="1" applyFont="1" applyFill="1" applyBorder="1" applyAlignment="1">
      <alignment horizontal="right"/>
    </xf>
    <xf numFmtId="0" fontId="1" fillId="4" borderId="60" xfId="0" applyFont="1" applyFill="1" applyBorder="1"/>
    <xf numFmtId="1" fontId="1" fillId="4" borderId="71" xfId="0" applyNumberFormat="1" applyFont="1" applyFill="1" applyBorder="1"/>
    <xf numFmtId="164" fontId="1" fillId="4" borderId="12" xfId="0" applyNumberFormat="1" applyFont="1" applyFill="1" applyBorder="1"/>
    <xf numFmtId="0" fontId="1" fillId="4" borderId="31" xfId="0" applyFont="1" applyFill="1" applyBorder="1" applyAlignment="1">
      <alignment horizontal="right"/>
    </xf>
    <xf numFmtId="3" fontId="1" fillId="4" borderId="47" xfId="1" applyNumberFormat="1" applyFont="1" applyFill="1" applyBorder="1" applyAlignment="1">
      <alignment horizontal="right"/>
    </xf>
    <xf numFmtId="3" fontId="1" fillId="4" borderId="49" xfId="1" applyNumberFormat="1" applyFont="1" applyFill="1" applyBorder="1" applyAlignment="1">
      <alignment horizontal="right"/>
    </xf>
    <xf numFmtId="3" fontId="1" fillId="4" borderId="11" xfId="1" applyNumberFormat="1" applyFont="1" applyFill="1" applyBorder="1" applyAlignment="1">
      <alignment horizontal="right"/>
    </xf>
    <xf numFmtId="3" fontId="1" fillId="4" borderId="8" xfId="1" applyNumberFormat="1" applyFont="1" applyFill="1" applyBorder="1" applyAlignment="1">
      <alignment horizontal="right"/>
    </xf>
    <xf numFmtId="0" fontId="1" fillId="4" borderId="72" xfId="0" applyFont="1" applyFill="1" applyBorder="1" applyAlignment="1">
      <alignment horizontal="right"/>
    </xf>
    <xf numFmtId="3" fontId="1" fillId="4" borderId="98" xfId="1" applyNumberFormat="1" applyFont="1" applyFill="1" applyBorder="1" applyAlignment="1">
      <alignment horizontal="right"/>
    </xf>
    <xf numFmtId="164" fontId="1" fillId="4" borderId="35" xfId="2" applyNumberFormat="1" applyFont="1" applyFill="1" applyBorder="1" applyAlignment="1">
      <alignment horizontal="right"/>
    </xf>
    <xf numFmtId="164" fontId="1" fillId="4" borderId="34" xfId="2" applyNumberFormat="1" applyFont="1" applyFill="1" applyBorder="1" applyAlignment="1">
      <alignment horizontal="right"/>
    </xf>
    <xf numFmtId="3" fontId="1" fillId="4" borderId="76" xfId="1" applyNumberFormat="1" applyFont="1" applyFill="1" applyBorder="1" applyAlignment="1">
      <alignment horizontal="right"/>
    </xf>
    <xf numFmtId="3" fontId="1" fillId="4" borderId="33" xfId="1" applyNumberFormat="1" applyFont="1" applyFill="1" applyBorder="1" applyAlignment="1">
      <alignment horizontal="right"/>
    </xf>
    <xf numFmtId="164" fontId="1" fillId="4" borderId="37" xfId="2" applyNumberFormat="1" applyFont="1" applyFill="1" applyBorder="1" applyAlignment="1">
      <alignment horizontal="right"/>
    </xf>
    <xf numFmtId="1" fontId="1" fillId="4" borderId="87" xfId="0" applyNumberFormat="1" applyFont="1" applyFill="1" applyBorder="1"/>
    <xf numFmtId="164" fontId="1" fillId="4" borderId="37" xfId="0" applyNumberFormat="1" applyFont="1" applyFill="1" applyBorder="1"/>
    <xf numFmtId="0" fontId="3" fillId="4" borderId="40" xfId="0" applyFont="1" applyFill="1" applyBorder="1" applyAlignment="1">
      <alignment horizontal="left"/>
    </xf>
    <xf numFmtId="0" fontId="5" fillId="4" borderId="81" xfId="0" applyFont="1" applyFill="1" applyBorder="1" applyAlignment="1">
      <alignment horizontal="left"/>
    </xf>
    <xf numFmtId="0" fontId="1" fillId="4" borderId="83" xfId="0" applyFont="1" applyFill="1" applyBorder="1" applyAlignment="1">
      <alignment horizontal="right"/>
    </xf>
    <xf numFmtId="0" fontId="1" fillId="4" borderId="84" xfId="0" applyFont="1" applyFill="1" applyBorder="1" applyAlignment="1">
      <alignment horizontal="center"/>
    </xf>
    <xf numFmtId="0" fontId="1" fillId="4" borderId="85" xfId="0" applyFont="1" applyFill="1" applyBorder="1" applyAlignment="1">
      <alignment horizontal="center"/>
    </xf>
    <xf numFmtId="0" fontId="0" fillId="4" borderId="0" xfId="0" applyFill="1"/>
    <xf numFmtId="3" fontId="3" fillId="4" borderId="78" xfId="1" applyNumberFormat="1" applyFont="1" applyFill="1" applyBorder="1" applyAlignment="1">
      <alignment horizontal="center"/>
    </xf>
    <xf numFmtId="164" fontId="3" fillId="4" borderId="79" xfId="2" applyNumberFormat="1" applyFont="1" applyFill="1" applyBorder="1" applyAlignment="1">
      <alignment horizontal="center"/>
    </xf>
    <xf numFmtId="164" fontId="3" fillId="4" borderId="89" xfId="2" applyNumberFormat="1" applyFont="1" applyFill="1" applyBorder="1" applyAlignment="1">
      <alignment horizontal="center"/>
    </xf>
    <xf numFmtId="0" fontId="2" fillId="4" borderId="0" xfId="0" applyFont="1" applyFill="1"/>
    <xf numFmtId="3" fontId="3" fillId="4" borderId="13" xfId="1" applyNumberFormat="1" applyFont="1" applyFill="1" applyBorder="1" applyAlignment="1">
      <alignment horizontal="center"/>
    </xf>
    <xf numFmtId="164" fontId="3" fillId="4" borderId="14" xfId="2" applyNumberFormat="1" applyFont="1" applyFill="1" applyBorder="1" applyAlignment="1">
      <alignment horizontal="center"/>
    </xf>
    <xf numFmtId="0" fontId="1" fillId="4" borderId="61" xfId="0" applyFont="1" applyFill="1" applyBorder="1" applyAlignment="1">
      <alignment horizontal="right"/>
    </xf>
    <xf numFmtId="1" fontId="1" fillId="4" borderId="25" xfId="2" applyNumberFormat="1" applyFont="1" applyFill="1" applyBorder="1" applyAlignment="1">
      <alignment horizontal="center"/>
    </xf>
    <xf numFmtId="10" fontId="1" fillId="4" borderId="24" xfId="2" applyFont="1" applyFill="1" applyBorder="1" applyAlignment="1">
      <alignment horizontal="center"/>
    </xf>
    <xf numFmtId="10" fontId="1" fillId="4" borderId="26" xfId="2" applyFont="1" applyFill="1" applyBorder="1" applyAlignment="1">
      <alignment horizontal="center"/>
    </xf>
    <xf numFmtId="1" fontId="1" fillId="4" borderId="71" xfId="0" applyNumberFormat="1" applyFont="1" applyFill="1" applyBorder="1" applyAlignment="1">
      <alignment horizontal="center"/>
    </xf>
    <xf numFmtId="0" fontId="1" fillId="4" borderId="32" xfId="0" applyFont="1" applyFill="1" applyBorder="1" applyAlignment="1">
      <alignment horizontal="right"/>
    </xf>
    <xf numFmtId="1" fontId="1" fillId="4" borderId="36" xfId="2" applyNumberFormat="1" applyFont="1" applyFill="1" applyBorder="1" applyAlignment="1">
      <alignment horizontal="center"/>
    </xf>
    <xf numFmtId="10" fontId="1" fillId="4" borderId="34" xfId="2" applyFont="1" applyFill="1" applyBorder="1" applyAlignment="1">
      <alignment horizontal="center"/>
    </xf>
    <xf numFmtId="10" fontId="1" fillId="4" borderId="37" xfId="2" applyFont="1" applyFill="1" applyBorder="1" applyAlignment="1">
      <alignment horizontal="center"/>
    </xf>
    <xf numFmtId="1" fontId="1" fillId="4" borderId="87" xfId="0" applyNumberFormat="1" applyFont="1" applyFill="1" applyBorder="1" applyAlignment="1">
      <alignment horizontal="center"/>
    </xf>
    <xf numFmtId="9" fontId="6" fillId="0" borderId="99" xfId="2" applyNumberFormat="1" applyFill="1" applyBorder="1" applyAlignment="1">
      <alignment horizontal="right"/>
    </xf>
    <xf numFmtId="10" fontId="1" fillId="0" borderId="43" xfId="2" applyFont="1" applyBorder="1" applyAlignment="1">
      <alignment horizontal="right"/>
    </xf>
    <xf numFmtId="10" fontId="1" fillId="0" borderId="47" xfId="2" applyFont="1" applyBorder="1" applyAlignment="1">
      <alignment horizontal="right"/>
    </xf>
    <xf numFmtId="3" fontId="1" fillId="4" borderId="36" xfId="1" applyNumberFormat="1" applyFont="1" applyFill="1" applyBorder="1" applyAlignment="1">
      <alignment horizontal="right"/>
    </xf>
    <xf numFmtId="3" fontId="3" fillId="4" borderId="80" xfId="1" applyNumberFormat="1" applyFont="1" applyFill="1" applyBorder="1" applyAlignment="1">
      <alignment horizontal="center"/>
    </xf>
    <xf numFmtId="165" fontId="1" fillId="4" borderId="90" xfId="0" applyNumberFormat="1" applyFont="1" applyFill="1" applyBorder="1" applyAlignment="1">
      <alignment horizontal="center"/>
    </xf>
    <xf numFmtId="1" fontId="1" fillId="0" borderId="11" xfId="0" applyNumberFormat="1" applyFont="1" applyFill="1" applyBorder="1"/>
    <xf numFmtId="1" fontId="1" fillId="0" borderId="10" xfId="0" applyNumberFormat="1" applyFont="1" applyFill="1" applyBorder="1"/>
    <xf numFmtId="1" fontId="1" fillId="0" borderId="9" xfId="0" applyNumberFormat="1" applyFont="1" applyFill="1" applyBorder="1"/>
    <xf numFmtId="1" fontId="1" fillId="0" borderId="8" xfId="0" applyNumberFormat="1" applyFont="1" applyFill="1" applyBorder="1"/>
    <xf numFmtId="1" fontId="1" fillId="0" borderId="36" xfId="0" applyNumberFormat="1" applyFont="1" applyFill="1" applyBorder="1"/>
    <xf numFmtId="1" fontId="1" fillId="0" borderId="100" xfId="0" applyNumberFormat="1" applyFont="1" applyFill="1" applyBorder="1" applyAlignment="1">
      <alignment horizontal="right"/>
    </xf>
    <xf numFmtId="1" fontId="1" fillId="0" borderId="101" xfId="0" applyNumberFormat="1" applyFont="1" applyFill="1" applyBorder="1" applyAlignment="1">
      <alignment horizontal="right"/>
    </xf>
    <xf numFmtId="1" fontId="1" fillId="0" borderId="33" xfId="0" applyNumberFormat="1" applyFont="1" applyFill="1" applyBorder="1"/>
    <xf numFmtId="1" fontId="1" fillId="0" borderId="28" xfId="0" applyNumberFormat="1" applyFont="1" applyBorder="1" applyAlignment="1">
      <alignment horizontal="right"/>
    </xf>
    <xf numFmtId="0" fontId="1" fillId="2" borderId="8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2" borderId="9" xfId="0" applyFont="1" applyFill="1" applyBorder="1"/>
    <xf numFmtId="1" fontId="1" fillId="2" borderId="10" xfId="0" applyNumberFormat="1" applyFont="1" applyFill="1" applyBorder="1" applyAlignment="1">
      <alignment horizontal="right"/>
    </xf>
    <xf numFmtId="1" fontId="1" fillId="2" borderId="18" xfId="0" applyNumberFormat="1" applyFont="1" applyFill="1" applyBorder="1" applyAlignment="1">
      <alignment horizontal="right"/>
    </xf>
    <xf numFmtId="1" fontId="1" fillId="2" borderId="9" xfId="0" applyNumberFormat="1" applyFont="1" applyFill="1" applyBorder="1" applyAlignment="1">
      <alignment horizontal="right"/>
    </xf>
    <xf numFmtId="1" fontId="1" fillId="2" borderId="17" xfId="0" applyNumberFormat="1" applyFont="1" applyFill="1" applyBorder="1" applyAlignment="1">
      <alignment horizontal="right"/>
    </xf>
    <xf numFmtId="1" fontId="1" fillId="2" borderId="12" xfId="0" applyNumberFormat="1" applyFont="1" applyFill="1" applyBorder="1" applyAlignment="1">
      <alignment horizontal="right"/>
    </xf>
    <xf numFmtId="1" fontId="1" fillId="2" borderId="20" xfId="0" applyNumberFormat="1" applyFont="1" applyFill="1" applyBorder="1" applyAlignment="1">
      <alignment horizontal="right"/>
    </xf>
    <xf numFmtId="0" fontId="8" fillId="0" borderId="23" xfId="0" applyFont="1" applyBorder="1"/>
    <xf numFmtId="1" fontId="8" fillId="0" borderId="28" xfId="0" applyNumberFormat="1" applyFont="1" applyBorder="1"/>
    <xf numFmtId="0" fontId="8" fillId="0" borderId="28" xfId="0" applyFont="1" applyBorder="1"/>
    <xf numFmtId="0" fontId="3" fillId="4" borderId="14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1" fontId="1" fillId="0" borderId="8" xfId="0" applyNumberFormat="1" applyFont="1" applyFill="1" applyBorder="1" applyAlignment="1"/>
    <xf numFmtId="1" fontId="1" fillId="0" borderId="18" xfId="0" applyNumberFormat="1" applyFont="1" applyFill="1" applyBorder="1" applyAlignment="1"/>
    <xf numFmtId="1" fontId="1" fillId="0" borderId="11" xfId="0" applyNumberFormat="1" applyFont="1" applyFill="1" applyBorder="1" applyAlignment="1"/>
    <xf numFmtId="1" fontId="1" fillId="0" borderId="33" xfId="0" applyNumberFormat="1" applyFont="1" applyFill="1" applyBorder="1" applyAlignment="1"/>
    <xf numFmtId="1" fontId="1" fillId="0" borderId="35" xfId="0" applyNumberFormat="1" applyFont="1" applyFill="1" applyBorder="1" applyAlignment="1"/>
    <xf numFmtId="1" fontId="1" fillId="0" borderId="36" xfId="0" applyNumberFormat="1" applyFont="1" applyFill="1" applyBorder="1" applyAlignment="1"/>
    <xf numFmtId="3" fontId="3" fillId="4" borderId="0" xfId="0" applyNumberFormat="1" applyFont="1" applyFill="1" applyBorder="1"/>
    <xf numFmtId="0" fontId="3" fillId="4" borderId="0" xfId="0" applyFont="1" applyFill="1" applyBorder="1" applyAlignment="1">
      <alignment horizontal="center"/>
    </xf>
    <xf numFmtId="164" fontId="1" fillId="0" borderId="43" xfId="4" applyNumberFormat="1" applyFont="1" applyBorder="1"/>
    <xf numFmtId="164" fontId="1" fillId="0" borderId="45" xfId="4" applyNumberFormat="1" applyFont="1" applyBorder="1"/>
    <xf numFmtId="164" fontId="1" fillId="0" borderId="47" xfId="4" applyNumberFormat="1" applyFont="1" applyBorder="1"/>
    <xf numFmtId="164" fontId="1" fillId="0" borderId="49" xfId="4" applyNumberFormat="1" applyFont="1" applyBorder="1"/>
    <xf numFmtId="3" fontId="1" fillId="0" borderId="54" xfId="0" applyNumberFormat="1" applyFont="1" applyBorder="1"/>
    <xf numFmtId="3" fontId="1" fillId="0" borderId="54" xfId="0" applyNumberFormat="1" applyFont="1" applyFill="1" applyBorder="1"/>
    <xf numFmtId="1" fontId="1" fillId="0" borderId="69" xfId="0" applyNumberFormat="1" applyFont="1" applyFill="1" applyBorder="1" applyAlignment="1">
      <alignment horizontal="right"/>
    </xf>
    <xf numFmtId="1" fontId="1" fillId="0" borderId="67" xfId="0" applyNumberFormat="1" applyFont="1" applyFill="1" applyBorder="1" applyAlignment="1">
      <alignment horizontal="right"/>
    </xf>
    <xf numFmtId="164" fontId="1" fillId="2" borderId="55" xfId="4" applyNumberFormat="1" applyFont="1" applyFill="1" applyBorder="1"/>
    <xf numFmtId="164" fontId="1" fillId="2" borderId="56" xfId="4" applyNumberFormat="1" applyFont="1" applyFill="1" applyBorder="1"/>
    <xf numFmtId="164" fontId="1" fillId="2" borderId="43" xfId="4" applyNumberFormat="1" applyFont="1" applyFill="1" applyBorder="1"/>
    <xf numFmtId="164" fontId="1" fillId="2" borderId="44" xfId="4" applyNumberFormat="1" applyFont="1" applyFill="1" applyBorder="1"/>
    <xf numFmtId="164" fontId="1" fillId="2" borderId="45" xfId="4" applyNumberFormat="1" applyFont="1" applyFill="1" applyBorder="1"/>
    <xf numFmtId="164" fontId="1" fillId="2" borderId="47" xfId="4" applyNumberFormat="1" applyFont="1" applyFill="1" applyBorder="1"/>
    <xf numFmtId="164" fontId="1" fillId="2" borderId="48" xfId="4" applyNumberFormat="1" applyFont="1" applyFill="1" applyBorder="1"/>
    <xf numFmtId="164" fontId="1" fillId="2" borderId="49" xfId="4" applyNumberFormat="1" applyFont="1" applyFill="1" applyBorder="1"/>
    <xf numFmtId="0" fontId="1" fillId="4" borderId="0" xfId="0" applyFont="1" applyFill="1" applyBorder="1" applyAlignment="1">
      <alignment horizontal="right"/>
    </xf>
    <xf numFmtId="1" fontId="3" fillId="4" borderId="40" xfId="0" applyNumberFormat="1" applyFont="1" applyFill="1" applyBorder="1" applyAlignment="1">
      <alignment horizontal="left"/>
    </xf>
    <xf numFmtId="1" fontId="1" fillId="4" borderId="7" xfId="0" applyNumberFormat="1" applyFont="1" applyFill="1" applyBorder="1" applyAlignment="1">
      <alignment horizontal="left"/>
    </xf>
    <xf numFmtId="0" fontId="3" fillId="4" borderId="55" xfId="0" applyFont="1" applyFill="1" applyBorder="1" applyAlignment="1">
      <alignment horizontal="center"/>
    </xf>
    <xf numFmtId="0" fontId="3" fillId="4" borderId="56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1" fillId="4" borderId="23" xfId="0" applyFont="1" applyFill="1" applyBorder="1"/>
    <xf numFmtId="1" fontId="1" fillId="4" borderId="43" xfId="0" applyNumberFormat="1" applyFont="1" applyFill="1" applyBorder="1" applyAlignment="1">
      <alignment horizontal="right"/>
    </xf>
    <xf numFmtId="0" fontId="1" fillId="4" borderId="28" xfId="0" applyFont="1" applyFill="1" applyBorder="1"/>
    <xf numFmtId="1" fontId="1" fillId="4" borderId="47" xfId="0" applyNumberFormat="1" applyFont="1" applyFill="1" applyBorder="1" applyAlignment="1">
      <alignment horizontal="right"/>
    </xf>
    <xf numFmtId="0" fontId="1" fillId="4" borderId="32" xfId="0" applyFont="1" applyFill="1" applyBorder="1" applyAlignment="1">
      <alignment horizontal="left"/>
    </xf>
    <xf numFmtId="0" fontId="1" fillId="4" borderId="51" xfId="0" applyFont="1" applyFill="1" applyBorder="1" applyAlignment="1">
      <alignment horizontal="right"/>
    </xf>
    <xf numFmtId="0" fontId="1" fillId="4" borderId="52" xfId="0" applyFont="1" applyFill="1" applyBorder="1" applyAlignment="1">
      <alignment horizontal="center"/>
    </xf>
    <xf numFmtId="0" fontId="1" fillId="4" borderId="39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center"/>
    </xf>
    <xf numFmtId="1" fontId="1" fillId="4" borderId="0" xfId="0" applyNumberFormat="1" applyFont="1" applyFill="1" applyBorder="1"/>
    <xf numFmtId="0" fontId="3" fillId="4" borderId="40" xfId="0" applyFont="1" applyFill="1" applyBorder="1"/>
    <xf numFmtId="0" fontId="1" fillId="4" borderId="49" xfId="0" applyFont="1" applyFill="1" applyBorder="1"/>
    <xf numFmtId="0" fontId="1" fillId="4" borderId="47" xfId="0" applyFont="1" applyFill="1" applyBorder="1"/>
    <xf numFmtId="0" fontId="1" fillId="4" borderId="48" xfId="0" applyFont="1" applyFill="1" applyBorder="1"/>
    <xf numFmtId="0" fontId="1" fillId="4" borderId="30" xfId="0" applyFont="1" applyFill="1" applyBorder="1"/>
    <xf numFmtId="0" fontId="1" fillId="4" borderId="13" xfId="0" applyFont="1" applyFill="1" applyBorder="1"/>
    <xf numFmtId="0" fontId="1" fillId="4" borderId="14" xfId="0" applyFont="1" applyFill="1" applyBorder="1"/>
    <xf numFmtId="3" fontId="1" fillId="4" borderId="48" xfId="1" applyNumberFormat="1" applyFont="1" applyFill="1" applyBorder="1" applyAlignment="1">
      <alignment horizontal="right"/>
    </xf>
    <xf numFmtId="3" fontId="1" fillId="4" borderId="30" xfId="1" applyNumberFormat="1" applyFont="1" applyFill="1" applyBorder="1" applyAlignment="1">
      <alignment horizontal="right"/>
    </xf>
    <xf numFmtId="3" fontId="1" fillId="4" borderId="46" xfId="0" applyNumberFormat="1" applyFont="1" applyFill="1" applyBorder="1"/>
    <xf numFmtId="3" fontId="1" fillId="4" borderId="49" xfId="0" applyNumberFormat="1" applyFont="1" applyFill="1" applyBorder="1"/>
    <xf numFmtId="3" fontId="1" fillId="4" borderId="48" xfId="0" applyNumberFormat="1" applyFont="1" applyFill="1" applyBorder="1"/>
    <xf numFmtId="3" fontId="1" fillId="4" borderId="58" xfId="0" applyNumberFormat="1" applyFont="1" applyFill="1" applyBorder="1"/>
    <xf numFmtId="0" fontId="3" fillId="4" borderId="32" xfId="0" applyFont="1" applyFill="1" applyBorder="1" applyAlignment="1">
      <alignment horizontal="center"/>
    </xf>
    <xf numFmtId="0" fontId="3" fillId="4" borderId="82" xfId="0" applyFont="1" applyFill="1" applyBorder="1"/>
    <xf numFmtId="3" fontId="3" fillId="4" borderId="82" xfId="0" applyNumberFormat="1" applyFont="1" applyFill="1" applyBorder="1"/>
    <xf numFmtId="0" fontId="3" fillId="4" borderId="83" xfId="0" applyFont="1" applyFill="1" applyBorder="1"/>
    <xf numFmtId="3" fontId="3" fillId="4" borderId="84" xfId="0" applyNumberFormat="1" applyFont="1" applyFill="1" applyBorder="1"/>
    <xf numFmtId="0" fontId="3" fillId="4" borderId="0" xfId="0" applyFont="1" applyFill="1" applyBorder="1"/>
    <xf numFmtId="3" fontId="3" fillId="4" borderId="86" xfId="0" applyNumberFormat="1" applyFont="1" applyFill="1" applyBorder="1"/>
    <xf numFmtId="0" fontId="0" fillId="4" borderId="0" xfId="0" applyFill="1" applyBorder="1"/>
    <xf numFmtId="0" fontId="1" fillId="4" borderId="86" xfId="0" applyFont="1" applyFill="1" applyBorder="1"/>
    <xf numFmtId="0" fontId="3" fillId="4" borderId="59" xfId="0" applyFont="1" applyFill="1" applyBorder="1"/>
    <xf numFmtId="3" fontId="3" fillId="4" borderId="59" xfId="0" applyNumberFormat="1" applyFont="1" applyFill="1" applyBorder="1"/>
    <xf numFmtId="0" fontId="1" fillId="4" borderId="59" xfId="0" applyFont="1" applyFill="1" applyBorder="1"/>
    <xf numFmtId="0" fontId="1" fillId="4" borderId="27" xfId="0" applyFont="1" applyFill="1" applyBorder="1" applyAlignment="1">
      <alignment horizontal="center"/>
    </xf>
    <xf numFmtId="3" fontId="1" fillId="4" borderId="30" xfId="0" applyNumberFormat="1" applyFont="1" applyFill="1" applyBorder="1"/>
    <xf numFmtId="0" fontId="1" fillId="4" borderId="1" xfId="0" applyFont="1" applyFill="1" applyBorder="1"/>
    <xf numFmtId="0" fontId="1" fillId="4" borderId="7" xfId="0" applyFont="1" applyFill="1" applyBorder="1"/>
    <xf numFmtId="0" fontId="3" fillId="4" borderId="15" xfId="0" applyFont="1" applyFill="1" applyBorder="1"/>
    <xf numFmtId="0" fontId="3" fillId="4" borderId="7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12" xfId="0" applyFont="1" applyFill="1" applyBorder="1"/>
    <xf numFmtId="1" fontId="1" fillId="4" borderId="29" xfId="0" applyNumberFormat="1" applyFont="1" applyFill="1" applyBorder="1"/>
    <xf numFmtId="1" fontId="1" fillId="4" borderId="30" xfId="0" applyNumberFormat="1" applyFont="1" applyFill="1" applyBorder="1"/>
    <xf numFmtId="1" fontId="1" fillId="4" borderId="28" xfId="0" applyNumberFormat="1" applyFont="1" applyFill="1" applyBorder="1" applyAlignment="1">
      <alignment horizontal="right"/>
    </xf>
    <xf numFmtId="1" fontId="1" fillId="4" borderId="11" xfId="0" applyNumberFormat="1" applyFont="1" applyFill="1" applyBorder="1" applyAlignment="1">
      <alignment horizontal="right"/>
    </xf>
    <xf numFmtId="1" fontId="1" fillId="4" borderId="9" xfId="0" applyNumberFormat="1" applyFont="1" applyFill="1" applyBorder="1" applyAlignment="1">
      <alignment horizontal="right"/>
    </xf>
    <xf numFmtId="1" fontId="0" fillId="4" borderId="0" xfId="0" applyNumberFormat="1" applyFill="1"/>
    <xf numFmtId="1" fontId="1" fillId="4" borderId="31" xfId="0" applyNumberFormat="1" applyFont="1" applyFill="1" applyBorder="1" applyAlignment="1">
      <alignment horizontal="right"/>
    </xf>
    <xf numFmtId="1" fontId="1" fillId="4" borderId="16" xfId="0" applyNumberFormat="1" applyFont="1" applyFill="1" applyBorder="1" applyAlignment="1">
      <alignment horizontal="right"/>
    </xf>
    <xf numFmtId="1" fontId="1" fillId="4" borderId="19" xfId="0" applyNumberFormat="1" applyFont="1" applyFill="1" applyBorder="1" applyAlignment="1">
      <alignment horizontal="right"/>
    </xf>
    <xf numFmtId="1" fontId="1" fillId="4" borderId="17" xfId="0" applyNumberFormat="1" applyFont="1" applyFill="1" applyBorder="1" applyAlignment="1">
      <alignment horizontal="right"/>
    </xf>
    <xf numFmtId="1" fontId="3" fillId="4" borderId="91" xfId="0" applyNumberFormat="1" applyFont="1" applyFill="1" applyBorder="1" applyAlignment="1">
      <alignment horizontal="right"/>
    </xf>
    <xf numFmtId="1" fontId="3" fillId="4" borderId="88" xfId="0" applyNumberFormat="1" applyFont="1" applyFill="1" applyBorder="1" applyAlignment="1">
      <alignment horizontal="right"/>
    </xf>
    <xf numFmtId="1" fontId="3" fillId="4" borderId="92" xfId="0" applyNumberFormat="1" applyFont="1" applyFill="1" applyBorder="1" applyAlignment="1">
      <alignment horizontal="right"/>
    </xf>
    <xf numFmtId="1" fontId="2" fillId="4" borderId="0" xfId="0" applyNumberFormat="1" applyFont="1" applyFill="1"/>
    <xf numFmtId="1" fontId="1" fillId="4" borderId="66" xfId="0" applyNumberFormat="1" applyFont="1" applyFill="1" applyBorder="1" applyAlignment="1">
      <alignment horizontal="right"/>
    </xf>
    <xf numFmtId="1" fontId="1" fillId="4" borderId="32" xfId="0" applyNumberFormat="1" applyFont="1" applyFill="1" applyBorder="1" applyAlignment="1">
      <alignment horizontal="right"/>
    </xf>
    <xf numFmtId="1" fontId="1" fillId="4" borderId="35" xfId="0" applyNumberFormat="1" applyFont="1" applyFill="1" applyBorder="1" applyAlignment="1">
      <alignment horizontal="right"/>
    </xf>
    <xf numFmtId="1" fontId="1" fillId="4" borderId="34" xfId="0" applyNumberFormat="1" applyFont="1" applyFill="1" applyBorder="1" applyAlignment="1">
      <alignment horizontal="right"/>
    </xf>
    <xf numFmtId="1" fontId="1" fillId="4" borderId="33" xfId="0" applyNumberFormat="1" applyFont="1" applyFill="1" applyBorder="1" applyAlignment="1">
      <alignment horizontal="right"/>
    </xf>
    <xf numFmtId="1" fontId="1" fillId="4" borderId="38" xfId="0" applyNumberFormat="1" applyFont="1" applyFill="1" applyBorder="1"/>
    <xf numFmtId="0" fontId="1" fillId="2" borderId="47" xfId="0" applyFont="1" applyFill="1" applyBorder="1"/>
    <xf numFmtId="3" fontId="1" fillId="2" borderId="49" xfId="1" applyNumberFormat="1" applyFont="1" applyFill="1" applyBorder="1" applyAlignment="1">
      <alignment horizontal="right"/>
    </xf>
    <xf numFmtId="3" fontId="1" fillId="2" borderId="48" xfId="1" applyNumberFormat="1" applyFont="1" applyFill="1" applyBorder="1" applyAlignment="1">
      <alignment horizontal="right"/>
    </xf>
    <xf numFmtId="0" fontId="1" fillId="2" borderId="49" xfId="0" applyFont="1" applyFill="1" applyBorder="1"/>
    <xf numFmtId="3" fontId="1" fillId="2" borderId="49" xfId="0" applyNumberFormat="1" applyFont="1" applyFill="1" applyBorder="1"/>
    <xf numFmtId="3" fontId="1" fillId="2" borderId="48" xfId="0" applyNumberFormat="1" applyFont="1" applyFill="1" applyBorder="1"/>
    <xf numFmtId="0" fontId="1" fillId="2" borderId="49" xfId="0" applyFont="1" applyFill="1" applyBorder="1" applyAlignment="1">
      <alignment horizontal="right"/>
    </xf>
    <xf numFmtId="0" fontId="1" fillId="2" borderId="47" xfId="0" applyFont="1" applyFill="1" applyBorder="1" applyAlignment="1">
      <alignment horizontal="right"/>
    </xf>
    <xf numFmtId="3" fontId="1" fillId="2" borderId="47" xfId="1" applyNumberFormat="1" applyFont="1" applyFill="1" applyBorder="1" applyAlignment="1">
      <alignment horizontal="right"/>
    </xf>
    <xf numFmtId="3" fontId="1" fillId="2" borderId="8" xfId="1" applyNumberFormat="1" applyFont="1" applyFill="1" applyBorder="1" applyAlignment="1">
      <alignment horizontal="right"/>
    </xf>
    <xf numFmtId="3" fontId="1" fillId="2" borderId="11" xfId="1" applyNumberFormat="1" applyFont="1" applyFill="1" applyBorder="1" applyAlignment="1">
      <alignment horizontal="right"/>
    </xf>
    <xf numFmtId="3" fontId="1" fillId="2" borderId="33" xfId="1" applyNumberFormat="1" applyFont="1" applyFill="1" applyBorder="1" applyAlignment="1">
      <alignment horizontal="right"/>
    </xf>
    <xf numFmtId="164" fontId="1" fillId="2" borderId="35" xfId="2" applyNumberFormat="1" applyFont="1" applyFill="1" applyBorder="1" applyAlignment="1">
      <alignment horizontal="right"/>
    </xf>
    <xf numFmtId="3" fontId="1" fillId="2" borderId="36" xfId="1" applyNumberFormat="1" applyFont="1" applyFill="1" applyBorder="1" applyAlignment="1">
      <alignment horizontal="right"/>
    </xf>
    <xf numFmtId="164" fontId="1" fillId="2" borderId="34" xfId="2" applyNumberFormat="1" applyFont="1" applyFill="1" applyBorder="1" applyAlignment="1">
      <alignment horizontal="right"/>
    </xf>
    <xf numFmtId="0" fontId="1" fillId="2" borderId="44" xfId="0" applyFont="1" applyFill="1" applyBorder="1" applyAlignment="1">
      <alignment horizontal="right"/>
    </xf>
    <xf numFmtId="1" fontId="1" fillId="2" borderId="43" xfId="0" applyNumberFormat="1" applyFont="1" applyFill="1" applyBorder="1" applyAlignment="1">
      <alignment horizontal="right"/>
    </xf>
    <xf numFmtId="10" fontId="3" fillId="4" borderId="55" xfId="2" applyFont="1" applyFill="1" applyBorder="1" applyAlignment="1">
      <alignment horizontal="center"/>
    </xf>
    <xf numFmtId="10" fontId="3" fillId="4" borderId="56" xfId="2" applyFont="1" applyFill="1" applyBorder="1" applyAlignment="1">
      <alignment horizontal="center"/>
    </xf>
    <xf numFmtId="10" fontId="3" fillId="4" borderId="27" xfId="2" applyFont="1" applyFill="1" applyBorder="1" applyAlignment="1">
      <alignment horizontal="center"/>
    </xf>
    <xf numFmtId="10" fontId="1" fillId="4" borderId="43" xfId="2" applyFont="1" applyFill="1" applyBorder="1" applyAlignment="1">
      <alignment horizontal="right"/>
    </xf>
    <xf numFmtId="10" fontId="1" fillId="4" borderId="44" xfId="2" applyFont="1" applyFill="1" applyBorder="1" applyAlignment="1">
      <alignment horizontal="right"/>
    </xf>
    <xf numFmtId="10" fontId="1" fillId="4" borderId="47" xfId="2" applyFont="1" applyFill="1" applyBorder="1" applyAlignment="1">
      <alignment horizontal="right"/>
    </xf>
    <xf numFmtId="10" fontId="1" fillId="4" borderId="48" xfId="2" applyFont="1" applyFill="1" applyBorder="1" applyAlignment="1">
      <alignment horizontal="right"/>
    </xf>
    <xf numFmtId="0" fontId="8" fillId="4" borderId="28" xfId="0" applyFont="1" applyFill="1" applyBorder="1"/>
    <xf numFmtId="1" fontId="1" fillId="4" borderId="8" xfId="0" applyNumberFormat="1" applyFont="1" applyFill="1" applyBorder="1"/>
    <xf numFmtId="1" fontId="1" fillId="4" borderId="11" xfId="0" applyNumberFormat="1" applyFont="1" applyFill="1" applyBorder="1"/>
    <xf numFmtId="1" fontId="1" fillId="4" borderId="58" xfId="0" applyNumberFormat="1" applyFont="1" applyFill="1" applyBorder="1"/>
    <xf numFmtId="1" fontId="1" fillId="4" borderId="33" xfId="0" applyNumberFormat="1" applyFont="1" applyFill="1" applyBorder="1"/>
    <xf numFmtId="1" fontId="1" fillId="4" borderId="36" xfId="0" applyNumberFormat="1" applyFont="1" applyFill="1" applyBorder="1"/>
    <xf numFmtId="0" fontId="4" fillId="4" borderId="28" xfId="0" applyFont="1" applyFill="1" applyBorder="1"/>
    <xf numFmtId="1" fontId="1" fillId="4" borderId="7" xfId="0" applyNumberFormat="1" applyFont="1" applyFill="1" applyBorder="1" applyAlignment="1">
      <alignment horizontal="right"/>
    </xf>
    <xf numFmtId="0" fontId="1" fillId="8" borderId="64" xfId="0" applyFont="1" applyFill="1" applyBorder="1" applyAlignment="1">
      <alignment horizontal="right"/>
    </xf>
    <xf numFmtId="0" fontId="1" fillId="8" borderId="62" xfId="0" applyFont="1" applyFill="1" applyBorder="1" applyAlignment="1">
      <alignment horizontal="right"/>
    </xf>
    <xf numFmtId="164" fontId="1" fillId="0" borderId="56" xfId="4" applyNumberFormat="1" applyFont="1" applyFill="1" applyBorder="1"/>
    <xf numFmtId="1" fontId="1" fillId="6" borderId="11" xfId="0" applyNumberFormat="1" applyFont="1" applyFill="1" applyBorder="1" applyAlignment="1">
      <alignment horizontal="right"/>
    </xf>
    <xf numFmtId="1" fontId="1" fillId="6" borderId="0" xfId="0" applyNumberFormat="1" applyFont="1" applyFill="1" applyBorder="1" applyAlignment="1">
      <alignment horizontal="right"/>
    </xf>
    <xf numFmtId="1" fontId="1" fillId="6" borderId="69" xfId="0" applyNumberFormat="1" applyFont="1" applyFill="1" applyBorder="1" applyAlignment="1">
      <alignment horizontal="right"/>
    </xf>
    <xf numFmtId="1" fontId="1" fillId="6" borderId="36" xfId="0" applyNumberFormat="1" applyFont="1" applyFill="1" applyBorder="1" applyAlignment="1">
      <alignment horizontal="right"/>
    </xf>
    <xf numFmtId="1" fontId="1" fillId="6" borderId="34" xfId="0" applyNumberFormat="1" applyFont="1" applyFill="1" applyBorder="1" applyAlignment="1">
      <alignment horizontal="right"/>
    </xf>
    <xf numFmtId="1" fontId="1" fillId="6" borderId="33" xfId="0" applyNumberFormat="1" applyFont="1" applyFill="1" applyBorder="1" applyAlignment="1">
      <alignment horizontal="right"/>
    </xf>
    <xf numFmtId="1" fontId="1" fillId="6" borderId="19" xfId="0" applyNumberFormat="1" applyFont="1" applyFill="1" applyBorder="1" applyAlignment="1">
      <alignment horizontal="right"/>
    </xf>
    <xf numFmtId="1" fontId="1" fillId="6" borderId="16" xfId="0" applyNumberFormat="1" applyFont="1" applyFill="1" applyBorder="1" applyAlignment="1">
      <alignment horizontal="right"/>
    </xf>
    <xf numFmtId="1" fontId="1" fillId="2" borderId="19" xfId="0" applyNumberFormat="1" applyFont="1" applyFill="1" applyBorder="1" applyAlignment="1">
      <alignment horizontal="right"/>
    </xf>
    <xf numFmtId="1" fontId="8" fillId="0" borderId="28" xfId="0" applyNumberFormat="1" applyFont="1" applyFill="1" applyBorder="1"/>
    <xf numFmtId="0" fontId="8" fillId="0" borderId="28" xfId="0" applyFont="1" applyFill="1" applyBorder="1" applyAlignment="1">
      <alignment wrapText="1"/>
    </xf>
    <xf numFmtId="1" fontId="1" fillId="0" borderId="69" xfId="0" applyNumberFormat="1" applyFont="1" applyFill="1" applyBorder="1"/>
    <xf numFmtId="1" fontId="1" fillId="9" borderId="103" xfId="0" applyNumberFormat="1" applyFont="1" applyFill="1" applyBorder="1"/>
    <xf numFmtId="1" fontId="1" fillId="9" borderId="67" xfId="0" applyNumberFormat="1" applyFont="1" applyFill="1" applyBorder="1"/>
    <xf numFmtId="1" fontId="1" fillId="9" borderId="69" xfId="0" applyNumberFormat="1" applyFont="1" applyFill="1" applyBorder="1"/>
    <xf numFmtId="1" fontId="1" fillId="9" borderId="74" xfId="0" applyNumberFormat="1" applyFont="1" applyFill="1" applyBorder="1"/>
    <xf numFmtId="1" fontId="1" fillId="0" borderId="74" xfId="0" applyNumberFormat="1" applyFont="1" applyFill="1" applyBorder="1"/>
    <xf numFmtId="1" fontId="1" fillId="2" borderId="36" xfId="0" applyNumberFormat="1" applyFont="1" applyFill="1" applyBorder="1" applyAlignment="1">
      <alignment horizontal="right"/>
    </xf>
    <xf numFmtId="1" fontId="1" fillId="2" borderId="35" xfId="0" applyNumberFormat="1" applyFont="1" applyFill="1" applyBorder="1" applyAlignment="1">
      <alignment horizontal="right"/>
    </xf>
    <xf numFmtId="164" fontId="1" fillId="0" borderId="48" xfId="0" applyNumberFormat="1" applyFont="1" applyFill="1" applyBorder="1"/>
    <xf numFmtId="0" fontId="1" fillId="3" borderId="43" xfId="0" applyFont="1" applyFill="1" applyBorder="1"/>
    <xf numFmtId="0" fontId="1" fillId="3" borderId="45" xfId="0" applyFont="1" applyFill="1" applyBorder="1"/>
    <xf numFmtId="0" fontId="1" fillId="3" borderId="44" xfId="0" applyFont="1" applyFill="1" applyBorder="1"/>
    <xf numFmtId="0" fontId="1" fillId="3" borderId="47" xfId="0" applyFont="1" applyFill="1" applyBorder="1"/>
    <xf numFmtId="3" fontId="1" fillId="3" borderId="49" xfId="1" applyNumberFormat="1" applyFont="1" applyFill="1" applyBorder="1" applyAlignment="1">
      <alignment horizontal="right"/>
    </xf>
    <xf numFmtId="3" fontId="1" fillId="3" borderId="48" xfId="1" applyNumberFormat="1" applyFont="1" applyFill="1" applyBorder="1" applyAlignment="1">
      <alignment horizontal="right"/>
    </xf>
    <xf numFmtId="0" fontId="1" fillId="3" borderId="49" xfId="0" applyFont="1" applyFill="1" applyBorder="1"/>
    <xf numFmtId="3" fontId="1" fillId="3" borderId="49" xfId="0" applyNumberFormat="1" applyFont="1" applyFill="1" applyBorder="1"/>
    <xf numFmtId="3" fontId="1" fillId="3" borderId="48" xfId="0" applyNumberFormat="1" applyFont="1" applyFill="1" applyBorder="1"/>
    <xf numFmtId="0" fontId="1" fillId="3" borderId="47" xfId="0" applyFont="1" applyFill="1" applyBorder="1" applyAlignment="1">
      <alignment horizontal="right"/>
    </xf>
    <xf numFmtId="0" fontId="1" fillId="3" borderId="49" xfId="0" applyFont="1" applyFill="1" applyBorder="1" applyAlignment="1">
      <alignment horizontal="right"/>
    </xf>
    <xf numFmtId="3" fontId="1" fillId="3" borderId="11" xfId="1" applyNumberFormat="1" applyFont="1" applyFill="1" applyBorder="1" applyAlignment="1">
      <alignment horizontal="right"/>
    </xf>
    <xf numFmtId="3" fontId="1" fillId="3" borderId="8" xfId="1" applyNumberFormat="1" applyFont="1" applyFill="1" applyBorder="1" applyAlignment="1">
      <alignment horizontal="right"/>
    </xf>
    <xf numFmtId="3" fontId="1" fillId="3" borderId="36" xfId="1" applyNumberFormat="1" applyFont="1" applyFill="1" applyBorder="1" applyAlignment="1">
      <alignment horizontal="right"/>
    </xf>
    <xf numFmtId="164" fontId="1" fillId="3" borderId="35" xfId="2" applyNumberFormat="1" applyFont="1" applyFill="1" applyBorder="1" applyAlignment="1">
      <alignment horizontal="right"/>
    </xf>
    <xf numFmtId="164" fontId="1" fillId="3" borderId="34" xfId="2" applyNumberFormat="1" applyFont="1" applyFill="1" applyBorder="1" applyAlignment="1">
      <alignment horizontal="right"/>
    </xf>
    <xf numFmtId="3" fontId="1" fillId="3" borderId="33" xfId="1" applyNumberFormat="1" applyFont="1" applyFill="1" applyBorder="1" applyAlignment="1">
      <alignment horizontal="right"/>
    </xf>
    <xf numFmtId="1" fontId="1" fillId="0" borderId="68" xfId="0" applyNumberFormat="1" applyFont="1" applyFill="1" applyBorder="1"/>
    <xf numFmtId="1" fontId="1" fillId="0" borderId="67" xfId="0" applyNumberFormat="1" applyFont="1" applyFill="1" applyBorder="1"/>
    <xf numFmtId="1" fontId="1" fillId="0" borderId="66" xfId="0" applyNumberFormat="1" applyFont="1" applyFill="1" applyBorder="1"/>
    <xf numFmtId="1" fontId="1" fillId="2" borderId="33" xfId="0" applyNumberFormat="1" applyFont="1" applyFill="1" applyBorder="1" applyAlignment="1">
      <alignment horizontal="right"/>
    </xf>
    <xf numFmtId="1" fontId="1" fillId="2" borderId="34" xfId="0" applyNumberFormat="1" applyFont="1" applyFill="1" applyBorder="1" applyAlignment="1">
      <alignment horizontal="right"/>
    </xf>
    <xf numFmtId="1" fontId="8" fillId="0" borderId="7" xfId="0" applyNumberFormat="1" applyFont="1" applyFill="1" applyBorder="1" applyAlignment="1">
      <alignment horizontal="left"/>
    </xf>
    <xf numFmtId="1" fontId="8" fillId="0" borderId="28" xfId="0" applyNumberFormat="1" applyFont="1" applyFill="1" applyBorder="1" applyAlignment="1">
      <alignment horizontal="left"/>
    </xf>
    <xf numFmtId="1" fontId="1" fillId="2" borderId="36" xfId="0" applyNumberFormat="1" applyFont="1" applyFill="1" applyBorder="1"/>
    <xf numFmtId="1" fontId="1" fillId="2" borderId="53" xfId="0" applyNumberFormat="1" applyFont="1" applyFill="1" applyBorder="1" applyAlignment="1">
      <alignment horizontal="right"/>
    </xf>
    <xf numFmtId="1" fontId="1" fillId="2" borderId="52" xfId="0" applyNumberFormat="1" applyFont="1" applyFill="1" applyBorder="1" applyAlignment="1">
      <alignment horizontal="right"/>
    </xf>
    <xf numFmtId="1" fontId="1" fillId="2" borderId="33" xfId="0" applyNumberFormat="1" applyFont="1" applyFill="1" applyBorder="1"/>
    <xf numFmtId="1" fontId="1" fillId="0" borderId="52" xfId="0" applyNumberFormat="1" applyFont="1" applyFill="1" applyBorder="1" applyAlignment="1">
      <alignment horizontal="right"/>
    </xf>
    <xf numFmtId="1" fontId="1" fillId="0" borderId="45" xfId="0" applyNumberFormat="1" applyFont="1" applyFill="1" applyBorder="1"/>
    <xf numFmtId="1" fontId="1" fillId="0" borderId="44" xfId="0" applyNumberFormat="1" applyFont="1" applyFill="1" applyBorder="1"/>
    <xf numFmtId="1" fontId="1" fillId="0" borderId="49" xfId="0" applyNumberFormat="1" applyFont="1" applyFill="1" applyBorder="1" applyAlignment="1">
      <alignment horizontal="right"/>
    </xf>
    <xf numFmtId="1" fontId="1" fillId="0" borderId="48" xfId="0" applyNumberFormat="1" applyFont="1" applyFill="1" applyBorder="1" applyAlignment="1">
      <alignment horizontal="right"/>
    </xf>
    <xf numFmtId="1" fontId="1" fillId="2" borderId="11" xfId="0" applyNumberFormat="1" applyFont="1" applyFill="1" applyBorder="1"/>
    <xf numFmtId="1" fontId="1" fillId="2" borderId="45" xfId="0" applyNumberFormat="1" applyFont="1" applyFill="1" applyBorder="1"/>
    <xf numFmtId="1" fontId="1" fillId="2" borderId="16" xfId="0" applyNumberFormat="1" applyFont="1" applyFill="1" applyBorder="1" applyAlignment="1">
      <alignment horizontal="right"/>
    </xf>
    <xf numFmtId="0" fontId="8" fillId="4" borderId="28" xfId="0" applyFont="1" applyFill="1" applyBorder="1" applyAlignment="1">
      <alignment wrapText="1"/>
    </xf>
    <xf numFmtId="0" fontId="3" fillId="4" borderId="102" xfId="0" applyFont="1" applyFill="1" applyBorder="1" applyAlignment="1">
      <alignment horizontal="center"/>
    </xf>
    <xf numFmtId="0" fontId="8" fillId="0" borderId="28" xfId="0" applyFont="1" applyBorder="1" applyAlignment="1">
      <alignment wrapText="1"/>
    </xf>
    <xf numFmtId="1" fontId="8" fillId="0" borderId="31" xfId="0" applyNumberFormat="1" applyFont="1" applyBorder="1" applyAlignment="1">
      <alignment horizontal="left"/>
    </xf>
    <xf numFmtId="1" fontId="1" fillId="6" borderId="35" xfId="0" applyNumberFormat="1" applyFont="1" applyFill="1" applyBorder="1" applyAlignment="1">
      <alignment horizontal="right"/>
    </xf>
    <xf numFmtId="0" fontId="1" fillId="4" borderId="72" xfId="0" applyFont="1" applyFill="1" applyBorder="1" applyAlignment="1">
      <alignment horizontal="left"/>
    </xf>
    <xf numFmtId="0" fontId="3" fillId="4" borderId="104" xfId="0" applyFont="1" applyFill="1" applyBorder="1" applyAlignment="1">
      <alignment horizontal="center"/>
    </xf>
    <xf numFmtId="0" fontId="3" fillId="4" borderId="105" xfId="0" applyFont="1" applyFill="1" applyBorder="1" applyAlignment="1">
      <alignment horizontal="center"/>
    </xf>
    <xf numFmtId="0" fontId="3" fillId="4" borderId="106" xfId="0" applyFont="1" applyFill="1" applyBorder="1" applyAlignment="1">
      <alignment horizontal="center"/>
    </xf>
    <xf numFmtId="0" fontId="3" fillId="4" borderId="107" xfId="0" applyFont="1" applyFill="1" applyBorder="1" applyAlignment="1">
      <alignment horizontal="center"/>
    </xf>
    <xf numFmtId="10" fontId="3" fillId="0" borderId="55" xfId="2" applyFont="1" applyFill="1" applyBorder="1" applyAlignment="1">
      <alignment horizontal="center"/>
    </xf>
    <xf numFmtId="1" fontId="1" fillId="0" borderId="50" xfId="0" applyNumberFormat="1" applyFont="1" applyBorder="1"/>
    <xf numFmtId="1" fontId="1" fillId="0" borderId="46" xfId="0" applyNumberFormat="1" applyFont="1" applyFill="1" applyBorder="1"/>
    <xf numFmtId="1" fontId="1" fillId="0" borderId="108" xfId="0" applyNumberFormat="1" applyFont="1" applyBorder="1"/>
    <xf numFmtId="1" fontId="1" fillId="0" borderId="89" xfId="0" applyNumberFormat="1" applyFont="1" applyFill="1" applyBorder="1"/>
    <xf numFmtId="1" fontId="0" fillId="0" borderId="0" xfId="0" applyNumberFormat="1" applyBorder="1"/>
    <xf numFmtId="3" fontId="1" fillId="4" borderId="64" xfId="0" applyNumberFormat="1" applyFont="1" applyFill="1" applyBorder="1"/>
    <xf numFmtId="0" fontId="1" fillId="4" borderId="62" xfId="0" applyFont="1" applyFill="1" applyBorder="1"/>
    <xf numFmtId="3" fontId="1" fillId="4" borderId="63" xfId="0" applyNumberFormat="1" applyFont="1" applyFill="1" applyBorder="1"/>
    <xf numFmtId="0" fontId="1" fillId="4" borderId="8" xfId="0" applyFont="1" applyFill="1" applyBorder="1" applyAlignment="1">
      <alignment horizontal="right"/>
    </xf>
    <xf numFmtId="0" fontId="1" fillId="4" borderId="11" xfId="0" applyFont="1" applyFill="1" applyBorder="1" applyAlignment="1">
      <alignment horizontal="right"/>
    </xf>
    <xf numFmtId="0" fontId="1" fillId="4" borderId="76" xfId="0" applyFont="1" applyFill="1" applyBorder="1" applyAlignment="1">
      <alignment horizontal="right"/>
    </xf>
    <xf numFmtId="10" fontId="1" fillId="4" borderId="12" xfId="2" applyFont="1" applyFill="1" applyBorder="1" applyAlignment="1">
      <alignment horizontal="center"/>
    </xf>
    <xf numFmtId="1" fontId="1" fillId="0" borderId="85" xfId="0" applyNumberFormat="1" applyFont="1" applyFill="1" applyBorder="1"/>
    <xf numFmtId="1" fontId="3" fillId="0" borderId="108" xfId="0" applyNumberFormat="1" applyFont="1" applyBorder="1"/>
    <xf numFmtId="1" fontId="3" fillId="0" borderId="89" xfId="0" applyNumberFormat="1" applyFont="1" applyFill="1" applyBorder="1"/>
    <xf numFmtId="3" fontId="1" fillId="0" borderId="14" xfId="0" applyNumberFormat="1" applyFont="1" applyBorder="1"/>
    <xf numFmtId="0" fontId="1" fillId="0" borderId="80" xfId="0" applyFont="1" applyBorder="1"/>
    <xf numFmtId="3" fontId="3" fillId="0" borderId="85" xfId="0" applyNumberFormat="1" applyFont="1" applyBorder="1"/>
    <xf numFmtId="10" fontId="0" fillId="0" borderId="0" xfId="2" applyFont="1"/>
    <xf numFmtId="1" fontId="1" fillId="0" borderId="81" xfId="0" applyNumberFormat="1" applyFont="1" applyFill="1" applyBorder="1" applyAlignment="1">
      <alignment horizontal="right"/>
    </xf>
    <xf numFmtId="1" fontId="1" fillId="3" borderId="30" xfId="0" applyNumberFormat="1" applyFont="1" applyFill="1" applyBorder="1"/>
    <xf numFmtId="1" fontId="1" fillId="3" borderId="58" xfId="0" applyNumberFormat="1" applyFont="1" applyFill="1" applyBorder="1"/>
    <xf numFmtId="1" fontId="1" fillId="4" borderId="46" xfId="0" applyNumberFormat="1" applyFont="1" applyFill="1" applyBorder="1"/>
    <xf numFmtId="1" fontId="1" fillId="4" borderId="108" xfId="0" applyNumberFormat="1" applyFont="1" applyFill="1" applyBorder="1"/>
    <xf numFmtId="1" fontId="3" fillId="4" borderId="108" xfId="0" applyNumberFormat="1" applyFont="1" applyFill="1" applyBorder="1"/>
    <xf numFmtId="1" fontId="3" fillId="4" borderId="89" xfId="0" applyNumberFormat="1" applyFont="1" applyFill="1" applyBorder="1"/>
    <xf numFmtId="10" fontId="1" fillId="4" borderId="71" xfId="2" applyFont="1" applyFill="1" applyBorder="1" applyAlignment="1">
      <alignment horizontal="center"/>
    </xf>
    <xf numFmtId="1" fontId="1" fillId="2" borderId="30" xfId="0" applyNumberFormat="1" applyFont="1" applyFill="1" applyBorder="1"/>
    <xf numFmtId="1" fontId="1" fillId="2" borderId="58" xfId="0" applyNumberFormat="1" applyFont="1" applyFill="1" applyBorder="1"/>
    <xf numFmtId="1" fontId="1" fillId="0" borderId="25" xfId="0" applyNumberFormat="1" applyFont="1" applyFill="1" applyBorder="1"/>
    <xf numFmtId="1" fontId="1" fillId="0" borderId="110" xfId="0" applyNumberFormat="1" applyFont="1" applyFill="1" applyBorder="1" applyAlignment="1">
      <alignment horizontal="right"/>
    </xf>
    <xf numFmtId="1" fontId="1" fillId="0" borderId="24" xfId="0" applyNumberFormat="1" applyFont="1" applyFill="1" applyBorder="1" applyAlignment="1">
      <alignment horizontal="right"/>
    </xf>
    <xf numFmtId="1" fontId="1" fillId="0" borderId="111" xfId="0" applyNumberFormat="1" applyFont="1" applyFill="1" applyBorder="1"/>
    <xf numFmtId="0" fontId="1" fillId="4" borderId="104" xfId="0" applyFont="1" applyFill="1" applyBorder="1" applyAlignment="1">
      <alignment horizontal="right"/>
    </xf>
    <xf numFmtId="0" fontId="1" fillId="4" borderId="105" xfId="0" applyFont="1" applyFill="1" applyBorder="1" applyAlignment="1">
      <alignment horizontal="center"/>
    </xf>
    <xf numFmtId="0" fontId="1" fillId="4" borderId="106" xfId="0" applyFont="1" applyFill="1" applyBorder="1" applyAlignment="1">
      <alignment horizontal="center"/>
    </xf>
    <xf numFmtId="0" fontId="3" fillId="4" borderId="47" xfId="0" applyFont="1" applyFill="1" applyBorder="1" applyAlignment="1">
      <alignment horizontal="center"/>
    </xf>
    <xf numFmtId="0" fontId="1" fillId="4" borderId="65" xfId="0" applyFont="1" applyFill="1" applyBorder="1" applyAlignment="1">
      <alignment horizontal="center"/>
    </xf>
    <xf numFmtId="0" fontId="1" fillId="4" borderId="102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/>
    </xf>
    <xf numFmtId="0" fontId="1" fillId="4" borderId="47" xfId="0" applyFont="1" applyFill="1" applyBorder="1" applyAlignment="1">
      <alignment horizontal="center"/>
    </xf>
    <xf numFmtId="0" fontId="5" fillId="4" borderId="112" xfId="0" applyFont="1" applyFill="1" applyBorder="1" applyAlignment="1">
      <alignment horizontal="left"/>
    </xf>
    <xf numFmtId="0" fontId="5" fillId="4" borderId="72" xfId="0" applyFont="1" applyFill="1" applyBorder="1" applyAlignment="1">
      <alignment horizontal="left"/>
    </xf>
    <xf numFmtId="0" fontId="5" fillId="4" borderId="28" xfId="0" applyFont="1" applyFill="1" applyBorder="1" applyAlignment="1">
      <alignment horizontal="left"/>
    </xf>
    <xf numFmtId="0" fontId="3" fillId="4" borderId="113" xfId="0" applyFont="1" applyFill="1" applyBorder="1" applyAlignment="1">
      <alignment horizontal="center"/>
    </xf>
    <xf numFmtId="0" fontId="3" fillId="4" borderId="29" xfId="0" applyFont="1" applyFill="1" applyBorder="1" applyAlignment="1">
      <alignment horizontal="center"/>
    </xf>
    <xf numFmtId="3" fontId="3" fillId="4" borderId="38" xfId="1" applyNumberFormat="1" applyFont="1" applyFill="1" applyBorder="1" applyAlignment="1">
      <alignment horizontal="center"/>
    </xf>
    <xf numFmtId="165" fontId="1" fillId="4" borderId="20" xfId="0" applyNumberFormat="1" applyFont="1" applyFill="1" applyBorder="1" applyAlignment="1">
      <alignment horizontal="center"/>
    </xf>
    <xf numFmtId="1" fontId="1" fillId="0" borderId="106" xfId="0" applyNumberFormat="1" applyFont="1" applyFill="1" applyBorder="1"/>
    <xf numFmtId="0" fontId="5" fillId="4" borderId="115" xfId="0" applyFont="1" applyFill="1" applyBorder="1" applyAlignment="1">
      <alignment horizontal="left"/>
    </xf>
    <xf numFmtId="0" fontId="5" fillId="4" borderId="29" xfId="0" applyFont="1" applyFill="1" applyBorder="1" applyAlignment="1">
      <alignment horizontal="left"/>
    </xf>
    <xf numFmtId="0" fontId="5" fillId="4" borderId="107" xfId="0" applyFont="1" applyFill="1" applyBorder="1" applyAlignment="1">
      <alignment horizontal="left"/>
    </xf>
    <xf numFmtId="0" fontId="1" fillId="4" borderId="38" xfId="0" applyFont="1" applyFill="1" applyBorder="1" applyAlignment="1">
      <alignment horizontal="right"/>
    </xf>
    <xf numFmtId="0" fontId="3" fillId="4" borderId="116" xfId="0" applyFont="1" applyFill="1" applyBorder="1" applyAlignment="1">
      <alignment horizontal="center"/>
    </xf>
    <xf numFmtId="0" fontId="3" fillId="4" borderId="71" xfId="0" applyFont="1" applyFill="1" applyBorder="1" applyAlignment="1">
      <alignment horizontal="center"/>
    </xf>
    <xf numFmtId="3" fontId="3" fillId="4" borderId="87" xfId="1" applyNumberFormat="1" applyFont="1" applyFill="1" applyBorder="1" applyAlignment="1">
      <alignment horizontal="center"/>
    </xf>
    <xf numFmtId="10" fontId="0" fillId="4" borderId="0" xfId="2" applyFont="1" applyFill="1"/>
    <xf numFmtId="10" fontId="3" fillId="0" borderId="13" xfId="2" applyFont="1" applyBorder="1" applyAlignment="1">
      <alignment horizontal="center"/>
    </xf>
    <xf numFmtId="10" fontId="1" fillId="0" borderId="71" xfId="2" applyFont="1" applyBorder="1" applyAlignment="1">
      <alignment horizontal="center"/>
    </xf>
    <xf numFmtId="0" fontId="1" fillId="4" borderId="113" xfId="0" applyFont="1" applyFill="1" applyBorder="1" applyAlignment="1">
      <alignment horizontal="center"/>
    </xf>
    <xf numFmtId="0" fontId="1" fillId="4" borderId="56" xfId="0" applyFont="1" applyFill="1" applyBorder="1" applyAlignment="1">
      <alignment horizontal="center"/>
    </xf>
    <xf numFmtId="0" fontId="1" fillId="4" borderId="55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1" fillId="4" borderId="43" xfId="0" applyFont="1" applyFill="1" applyBorder="1" applyAlignment="1">
      <alignment horizontal="center"/>
    </xf>
    <xf numFmtId="10" fontId="1" fillId="4" borderId="44" xfId="2" applyFont="1" applyFill="1" applyBorder="1" applyAlignment="1">
      <alignment horizontal="center"/>
    </xf>
    <xf numFmtId="10" fontId="1" fillId="4" borderId="43" xfId="2" applyFont="1" applyFill="1" applyBorder="1" applyAlignment="1">
      <alignment horizontal="center"/>
    </xf>
    <xf numFmtId="0" fontId="1" fillId="4" borderId="81" xfId="0" applyFont="1" applyFill="1" applyBorder="1" applyAlignment="1">
      <alignment horizontal="right"/>
    </xf>
    <xf numFmtId="1" fontId="1" fillId="4" borderId="96" xfId="2" applyNumberFormat="1" applyFont="1" applyFill="1" applyBorder="1" applyAlignment="1">
      <alignment horizontal="center"/>
    </xf>
    <xf numFmtId="10" fontId="1" fillId="4" borderId="97" xfId="2" applyFont="1" applyFill="1" applyBorder="1" applyAlignment="1">
      <alignment horizontal="center"/>
    </xf>
    <xf numFmtId="10" fontId="1" fillId="4" borderId="90" xfId="2" applyFont="1" applyFill="1" applyBorder="1" applyAlignment="1">
      <alignment horizontal="center"/>
    </xf>
    <xf numFmtId="0" fontId="1" fillId="4" borderId="32" xfId="0" applyFont="1" applyFill="1" applyBorder="1"/>
    <xf numFmtId="10" fontId="1" fillId="4" borderId="51" xfId="2" applyFont="1" applyFill="1" applyBorder="1" applyAlignment="1">
      <alignment horizontal="right"/>
    </xf>
    <xf numFmtId="10" fontId="1" fillId="4" borderId="52" xfId="2" applyFont="1" applyFill="1" applyBorder="1" applyAlignment="1">
      <alignment horizontal="right"/>
    </xf>
    <xf numFmtId="1" fontId="1" fillId="0" borderId="87" xfId="0" applyNumberFormat="1" applyFont="1" applyBorder="1" applyAlignment="1">
      <alignment horizontal="center"/>
    </xf>
    <xf numFmtId="165" fontId="1" fillId="0" borderId="37" xfId="0" applyNumberFormat="1" applyFont="1" applyBorder="1" applyAlignment="1">
      <alignment horizontal="center"/>
    </xf>
    <xf numFmtId="1" fontId="1" fillId="2" borderId="51" xfId="0" applyNumberFormat="1" applyFont="1" applyFill="1" applyBorder="1" applyAlignment="1">
      <alignment horizontal="right"/>
    </xf>
    <xf numFmtId="0" fontId="1" fillId="2" borderId="52" xfId="0" applyFont="1" applyFill="1" applyBorder="1" applyAlignment="1">
      <alignment horizontal="right"/>
    </xf>
    <xf numFmtId="1" fontId="1" fillId="4" borderId="51" xfId="0" applyNumberFormat="1" applyFont="1" applyFill="1" applyBorder="1" applyAlignment="1">
      <alignment horizontal="right"/>
    </xf>
    <xf numFmtId="9" fontId="6" fillId="0" borderId="117" xfId="2" applyNumberFormat="1" applyFill="1" applyBorder="1" applyAlignment="1">
      <alignment horizontal="right"/>
    </xf>
    <xf numFmtId="9" fontId="6" fillId="0" borderId="118" xfId="2" applyNumberFormat="1" applyFill="1" applyBorder="1" applyAlignment="1">
      <alignment horizontal="right"/>
    </xf>
    <xf numFmtId="1" fontId="1" fillId="0" borderId="23" xfId="0" applyNumberFormat="1" applyFont="1" applyBorder="1" applyAlignment="1">
      <alignment horizontal="right"/>
    </xf>
    <xf numFmtId="10" fontId="1" fillId="4" borderId="87" xfId="2" applyFont="1" applyFill="1" applyBorder="1" applyAlignment="1">
      <alignment horizontal="center"/>
    </xf>
    <xf numFmtId="0" fontId="1" fillId="0" borderId="1" xfId="0" applyFont="1" applyFill="1" applyBorder="1"/>
    <xf numFmtId="0" fontId="1" fillId="0" borderId="7" xfId="0" applyFont="1" applyFill="1" applyBorder="1"/>
    <xf numFmtId="1" fontId="3" fillId="0" borderId="28" xfId="0" applyNumberFormat="1" applyFont="1" applyFill="1" applyBorder="1"/>
    <xf numFmtId="1" fontId="4" fillId="0" borderId="28" xfId="0" applyNumberFormat="1" applyFont="1" applyFill="1" applyBorder="1" applyAlignment="1">
      <alignment horizontal="left"/>
    </xf>
    <xf numFmtId="1" fontId="4" fillId="0" borderId="23" xfId="0" applyNumberFormat="1" applyFont="1" applyFill="1" applyBorder="1" applyAlignment="1">
      <alignment horizontal="left"/>
    </xf>
    <xf numFmtId="1" fontId="1" fillId="0" borderId="23" xfId="0" applyNumberFormat="1" applyFont="1" applyFill="1" applyBorder="1" applyAlignment="1">
      <alignment horizontal="right"/>
    </xf>
    <xf numFmtId="1" fontId="4" fillId="0" borderId="23" xfId="0" applyNumberFormat="1" applyFont="1" applyFill="1" applyBorder="1"/>
    <xf numFmtId="1" fontId="1" fillId="0" borderId="32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67" xfId="0" applyFont="1" applyFill="1" applyBorder="1" applyAlignment="1">
      <alignment horizontal="center"/>
    </xf>
    <xf numFmtId="0" fontId="3" fillId="0" borderId="69" xfId="0" applyFont="1" applyFill="1" applyBorder="1" applyAlignment="1">
      <alignment horizontal="center"/>
    </xf>
    <xf numFmtId="0" fontId="3" fillId="0" borderId="70" xfId="0" applyFont="1" applyFill="1" applyBorder="1" applyAlignment="1">
      <alignment horizontal="center"/>
    </xf>
    <xf numFmtId="0" fontId="0" fillId="0" borderId="0" xfId="0" applyFill="1"/>
    <xf numFmtId="1" fontId="1" fillId="0" borderId="70" xfId="0" applyNumberFormat="1" applyFont="1" applyFill="1" applyBorder="1"/>
    <xf numFmtId="1" fontId="0" fillId="0" borderId="0" xfId="0" applyNumberFormat="1" applyFill="1"/>
    <xf numFmtId="0" fontId="1" fillId="0" borderId="113" xfId="0" applyFont="1" applyBorder="1"/>
    <xf numFmtId="0" fontId="1" fillId="0" borderId="27" xfId="0" applyFont="1" applyBorder="1"/>
    <xf numFmtId="1" fontId="1" fillId="0" borderId="10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 horizontal="center"/>
    </xf>
    <xf numFmtId="1" fontId="0" fillId="0" borderId="0" xfId="0" applyNumberFormat="1" applyFill="1" applyBorder="1"/>
    <xf numFmtId="1" fontId="1" fillId="9" borderId="30" xfId="0" applyNumberFormat="1" applyFont="1" applyFill="1" applyBorder="1"/>
    <xf numFmtId="1" fontId="1" fillId="0" borderId="67" xfId="0" applyNumberFormat="1" applyFont="1" applyFill="1" applyBorder="1" applyAlignment="1">
      <alignment horizontal="center"/>
    </xf>
    <xf numFmtId="1" fontId="1" fillId="0" borderId="69" xfId="0" applyNumberFormat="1" applyFont="1" applyFill="1" applyBorder="1" applyAlignment="1">
      <alignment horizontal="center"/>
    </xf>
    <xf numFmtId="1" fontId="1" fillId="9" borderId="11" xfId="0" applyNumberFormat="1" applyFont="1" applyFill="1" applyBorder="1" applyAlignment="1">
      <alignment horizontal="right"/>
    </xf>
    <xf numFmtId="1" fontId="1" fillId="9" borderId="10" xfId="0" applyNumberFormat="1" applyFont="1" applyFill="1" applyBorder="1" applyAlignment="1">
      <alignment horizontal="right"/>
    </xf>
    <xf numFmtId="1" fontId="1" fillId="9" borderId="36" xfId="0" applyNumberFormat="1" applyFont="1" applyFill="1" applyBorder="1" applyAlignment="1">
      <alignment horizontal="right"/>
    </xf>
    <xf numFmtId="1" fontId="1" fillId="9" borderId="35" xfId="0" applyNumberFormat="1" applyFont="1" applyFill="1" applyBorder="1" applyAlignment="1">
      <alignment horizontal="right"/>
    </xf>
    <xf numFmtId="1" fontId="1" fillId="9" borderId="34" xfId="0" applyNumberFormat="1" applyFont="1" applyFill="1" applyBorder="1" applyAlignment="1">
      <alignment horizontal="center"/>
    </xf>
    <xf numFmtId="1" fontId="1" fillId="9" borderId="33" xfId="0" applyNumberFormat="1" applyFont="1" applyFill="1" applyBorder="1" applyAlignment="1">
      <alignment horizontal="right"/>
    </xf>
    <xf numFmtId="0" fontId="1" fillId="0" borderId="32" xfId="3" applyFont="1" applyBorder="1"/>
    <xf numFmtId="0" fontId="1" fillId="0" borderId="43" xfId="0" applyFont="1" applyFill="1" applyBorder="1"/>
    <xf numFmtId="0" fontId="1" fillId="0" borderId="45" xfId="0" applyFont="1" applyFill="1" applyBorder="1"/>
    <xf numFmtId="0" fontId="1" fillId="0" borderId="44" xfId="0" applyFont="1" applyFill="1" applyBorder="1"/>
    <xf numFmtId="0" fontId="1" fillId="0" borderId="46" xfId="0" applyFont="1" applyFill="1" applyBorder="1"/>
    <xf numFmtId="3" fontId="1" fillId="0" borderId="64" xfId="0" applyNumberFormat="1" applyFont="1" applyFill="1" applyBorder="1"/>
    <xf numFmtId="0" fontId="3" fillId="0" borderId="51" xfId="0" applyFont="1" applyFill="1" applyBorder="1"/>
    <xf numFmtId="3" fontId="3" fillId="0" borderId="53" xfId="0" applyNumberFormat="1" applyFont="1" applyFill="1" applyBorder="1"/>
    <xf numFmtId="3" fontId="3" fillId="0" borderId="52" xfId="0" applyNumberFormat="1" applyFont="1" applyFill="1" applyBorder="1"/>
    <xf numFmtId="0" fontId="3" fillId="0" borderId="53" xfId="0" applyFont="1" applyFill="1" applyBorder="1"/>
    <xf numFmtId="164" fontId="1" fillId="0" borderId="55" xfId="4" applyNumberFormat="1" applyFont="1" applyBorder="1"/>
    <xf numFmtId="164" fontId="1" fillId="0" borderId="46" xfId="4" applyNumberFormat="1" applyFont="1" applyFill="1" applyBorder="1"/>
    <xf numFmtId="164" fontId="1" fillId="0" borderId="13" xfId="3" applyNumberFormat="1" applyFont="1" applyBorder="1"/>
    <xf numFmtId="164" fontId="1" fillId="0" borderId="46" xfId="0" applyNumberFormat="1" applyFont="1" applyBorder="1"/>
    <xf numFmtId="164" fontId="1" fillId="0" borderId="30" xfId="4" applyNumberFormat="1" applyFont="1" applyFill="1" applyBorder="1"/>
    <xf numFmtId="0" fontId="1" fillId="0" borderId="0" xfId="0" applyFont="1" applyAlignment="1">
      <alignment horizontal="right"/>
    </xf>
    <xf numFmtId="3" fontId="1" fillId="0" borderId="49" xfId="0" applyNumberFormat="1" applyFont="1" applyFill="1" applyBorder="1" applyAlignment="1">
      <alignment horizontal="right"/>
    </xf>
    <xf numFmtId="3" fontId="1" fillId="0" borderId="30" xfId="0" applyNumberFormat="1" applyFont="1" applyFill="1" applyBorder="1" applyAlignment="1">
      <alignment horizontal="right"/>
    </xf>
    <xf numFmtId="0" fontId="3" fillId="0" borderId="0" xfId="0" applyFont="1"/>
    <xf numFmtId="164" fontId="1" fillId="0" borderId="9" xfId="2" applyNumberFormat="1" applyFont="1" applyFill="1" applyBorder="1" applyAlignment="1">
      <alignment horizontal="right"/>
    </xf>
    <xf numFmtId="164" fontId="1" fillId="0" borderId="12" xfId="2" applyNumberFormat="1" applyFont="1" applyFill="1" applyBorder="1" applyAlignment="1">
      <alignment horizontal="right"/>
    </xf>
    <xf numFmtId="164" fontId="1" fillId="0" borderId="34" xfId="2" applyNumberFormat="1" applyFont="1" applyFill="1" applyBorder="1" applyAlignment="1">
      <alignment horizontal="right"/>
    </xf>
    <xf numFmtId="1" fontId="1" fillId="0" borderId="19" xfId="0" applyNumberFormat="1" applyFont="1" applyFill="1" applyBorder="1"/>
    <xf numFmtId="1" fontId="1" fillId="0" borderId="122" xfId="0" applyNumberFormat="1" applyFont="1" applyFill="1" applyBorder="1"/>
    <xf numFmtId="1" fontId="1" fillId="0" borderId="16" xfId="0" applyNumberFormat="1" applyFont="1" applyFill="1" applyBorder="1"/>
    <xf numFmtId="1" fontId="1" fillId="0" borderId="65" xfId="0" applyNumberFormat="1" applyFont="1" applyFill="1" applyBorder="1"/>
    <xf numFmtId="1" fontId="3" fillId="0" borderId="123" xfId="0" applyNumberFormat="1" applyFont="1" applyFill="1" applyBorder="1"/>
    <xf numFmtId="1" fontId="3" fillId="0" borderId="88" xfId="0" applyNumberFormat="1" applyFont="1" applyFill="1" applyBorder="1"/>
    <xf numFmtId="1" fontId="1" fillId="0" borderId="70" xfId="0" applyNumberFormat="1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1" fontId="1" fillId="0" borderId="70" xfId="0" applyNumberFormat="1" applyFont="1" applyFill="1" applyBorder="1" applyAlignment="1">
      <alignment horizontal="right"/>
    </xf>
    <xf numFmtId="1" fontId="1" fillId="0" borderId="30" xfId="0" applyNumberFormat="1" applyFont="1" applyFill="1" applyBorder="1" applyAlignment="1">
      <alignment horizontal="right"/>
    </xf>
    <xf numFmtId="1" fontId="1" fillId="0" borderId="12" xfId="0" applyNumberFormat="1" applyFont="1" applyFill="1" applyBorder="1" applyAlignment="1">
      <alignment horizontal="right"/>
    </xf>
    <xf numFmtId="1" fontId="1" fillId="0" borderId="37" xfId="0" applyNumberFormat="1" applyFont="1" applyFill="1" applyBorder="1" applyAlignment="1">
      <alignment horizontal="right"/>
    </xf>
    <xf numFmtId="0" fontId="5" fillId="4" borderId="61" xfId="0" applyFont="1" applyFill="1" applyBorder="1" applyAlignment="1">
      <alignment horizontal="left"/>
    </xf>
    <xf numFmtId="0" fontId="1" fillId="4" borderId="55" xfId="0" applyFont="1" applyFill="1" applyBorder="1" applyAlignment="1">
      <alignment horizontal="right"/>
    </xf>
    <xf numFmtId="0" fontId="1" fillId="4" borderId="30" xfId="0" applyFont="1" applyFill="1" applyBorder="1" applyAlignment="1">
      <alignment horizontal="center"/>
    </xf>
    <xf numFmtId="0" fontId="5" fillId="4" borderId="32" xfId="0" applyFont="1" applyFill="1" applyBorder="1" applyAlignment="1">
      <alignment horizontal="left"/>
    </xf>
    <xf numFmtId="0" fontId="1" fillId="4" borderId="63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1" fillId="0" borderId="32" xfId="0" applyFont="1" applyBorder="1"/>
    <xf numFmtId="1" fontId="1" fillId="0" borderId="51" xfId="0" applyNumberFormat="1" applyFont="1" applyBorder="1" applyAlignment="1">
      <alignment horizontal="right"/>
    </xf>
    <xf numFmtId="10" fontId="1" fillId="0" borderId="52" xfId="2" applyFont="1" applyBorder="1" applyAlignment="1">
      <alignment horizontal="right"/>
    </xf>
    <xf numFmtId="10" fontId="1" fillId="0" borderId="51" xfId="2" applyFont="1" applyBorder="1" applyAlignment="1">
      <alignment horizontal="right"/>
    </xf>
    <xf numFmtId="10" fontId="1" fillId="0" borderId="44" xfId="2" applyFont="1" applyFill="1" applyBorder="1" applyAlignment="1">
      <alignment horizontal="center"/>
    </xf>
    <xf numFmtId="10" fontId="1" fillId="0" borderId="43" xfId="2" applyFont="1" applyFill="1" applyBorder="1" applyAlignment="1">
      <alignment horizontal="center"/>
    </xf>
    <xf numFmtId="10" fontId="1" fillId="0" borderId="45" xfId="2" applyFont="1" applyFill="1" applyBorder="1" applyAlignment="1">
      <alignment horizontal="center"/>
    </xf>
    <xf numFmtId="10" fontId="1" fillId="0" borderId="87" xfId="2" applyFont="1" applyBorder="1" applyAlignment="1">
      <alignment horizontal="center"/>
    </xf>
    <xf numFmtId="3" fontId="3" fillId="0" borderId="59" xfId="0" applyNumberFormat="1" applyFont="1" applyBorder="1"/>
    <xf numFmtId="164" fontId="1" fillId="0" borderId="37" xfId="2" applyNumberFormat="1" applyFont="1" applyFill="1" applyBorder="1" applyAlignment="1">
      <alignment horizontal="right"/>
    </xf>
    <xf numFmtId="1" fontId="1" fillId="0" borderId="115" xfId="0" applyNumberFormat="1" applyFont="1" applyBorder="1"/>
    <xf numFmtId="1" fontId="1" fillId="0" borderId="124" xfId="0" applyNumberFormat="1" applyFont="1" applyFill="1" applyBorder="1"/>
    <xf numFmtId="1" fontId="1" fillId="0" borderId="72" xfId="0" applyNumberFormat="1" applyFont="1" applyBorder="1" applyAlignment="1">
      <alignment horizontal="right"/>
    </xf>
    <xf numFmtId="1" fontId="1" fillId="0" borderId="76" xfId="0" applyNumberFormat="1" applyFont="1" applyFill="1" applyBorder="1" applyAlignment="1">
      <alignment horizontal="right"/>
    </xf>
    <xf numFmtId="1" fontId="1" fillId="0" borderId="98" xfId="0" applyNumberFormat="1" applyFont="1" applyFill="1" applyBorder="1" applyAlignment="1">
      <alignment horizontal="right"/>
    </xf>
    <xf numFmtId="1" fontId="1" fillId="0" borderId="61" xfId="0" applyNumberFormat="1" applyFont="1" applyFill="1" applyBorder="1" applyAlignment="1">
      <alignment horizontal="right"/>
    </xf>
    <xf numFmtId="1" fontId="3" fillId="0" borderId="111" xfId="0" applyNumberFormat="1" applyFont="1" applyBorder="1" applyAlignment="1">
      <alignment horizontal="right"/>
    </xf>
    <xf numFmtId="1" fontId="3" fillId="0" borderId="110" xfId="0" applyNumberFormat="1" applyFont="1" applyBorder="1" applyAlignment="1">
      <alignment horizontal="right"/>
    </xf>
    <xf numFmtId="1" fontId="1" fillId="2" borderId="37" xfId="0" applyNumberFormat="1" applyFont="1" applyFill="1" applyBorder="1" applyAlignment="1">
      <alignment horizontal="right"/>
    </xf>
    <xf numFmtId="1" fontId="3" fillId="0" borderId="88" xfId="0" applyNumberFormat="1" applyFont="1" applyFill="1" applyBorder="1" applyAlignment="1">
      <alignment horizontal="right"/>
    </xf>
    <xf numFmtId="1" fontId="1" fillId="2" borderId="8" xfId="0" applyNumberFormat="1" applyFont="1" applyFill="1" applyBorder="1" applyAlignment="1">
      <alignment horizontal="right"/>
    </xf>
    <xf numFmtId="1" fontId="3" fillId="0" borderId="92" xfId="0" applyNumberFormat="1" applyFont="1" applyFill="1" applyBorder="1" applyAlignment="1">
      <alignment horizontal="right"/>
    </xf>
    <xf numFmtId="0" fontId="0" fillId="4" borderId="45" xfId="0" applyFill="1" applyBorder="1"/>
    <xf numFmtId="0" fontId="0" fillId="4" borderId="64" xfId="0" applyFill="1" applyBorder="1"/>
    <xf numFmtId="1" fontId="1" fillId="4" borderId="11" xfId="2" applyNumberFormat="1" applyFont="1" applyFill="1" applyBorder="1" applyAlignment="1">
      <alignment horizontal="center"/>
    </xf>
    <xf numFmtId="10" fontId="1" fillId="4" borderId="9" xfId="2" applyFont="1" applyFill="1" applyBorder="1" applyAlignment="1">
      <alignment horizontal="center"/>
    </xf>
    <xf numFmtId="165" fontId="1" fillId="4" borderId="58" xfId="0" applyNumberFormat="1" applyFont="1" applyFill="1" applyBorder="1" applyAlignment="1">
      <alignment horizontal="center"/>
    </xf>
    <xf numFmtId="165" fontId="1" fillId="4" borderId="39" xfId="0" applyNumberFormat="1" applyFont="1" applyFill="1" applyBorder="1" applyAlignment="1">
      <alignment horizontal="center"/>
    </xf>
    <xf numFmtId="0" fontId="1" fillId="4" borderId="0" xfId="3" applyFont="1" applyFill="1" applyBorder="1"/>
    <xf numFmtId="164" fontId="1" fillId="4" borderId="0" xfId="3" applyNumberFormat="1" applyFont="1" applyFill="1" applyBorder="1" applyAlignment="1"/>
    <xf numFmtId="164" fontId="1" fillId="4" borderId="0" xfId="3" applyNumberFormat="1" applyFont="1" applyFill="1" applyBorder="1"/>
    <xf numFmtId="0" fontId="3" fillId="4" borderId="43" xfId="0" applyFont="1" applyFill="1" applyBorder="1"/>
    <xf numFmtId="0" fontId="1" fillId="4" borderId="48" xfId="4" applyNumberFormat="1" applyFont="1" applyFill="1" applyBorder="1"/>
    <xf numFmtId="0" fontId="3" fillId="4" borderId="47" xfId="0" applyFont="1" applyFill="1" applyBorder="1"/>
    <xf numFmtId="0" fontId="1" fillId="4" borderId="58" xfId="0" applyNumberFormat="1" applyFont="1" applyFill="1" applyBorder="1"/>
    <xf numFmtId="0" fontId="1" fillId="2" borderId="48" xfId="4" applyNumberFormat="1" applyFont="1" applyFill="1" applyBorder="1"/>
    <xf numFmtId="0" fontId="3" fillId="4" borderId="46" xfId="0" applyNumberFormat="1" applyFont="1" applyFill="1" applyBorder="1"/>
    <xf numFmtId="0" fontId="3" fillId="4" borderId="30" xfId="0" applyNumberFormat="1" applyFont="1" applyFill="1" applyBorder="1"/>
    <xf numFmtId="0" fontId="1" fillId="4" borderId="30" xfId="0" applyNumberFormat="1" applyFont="1" applyFill="1" applyBorder="1"/>
    <xf numFmtId="0" fontId="3" fillId="4" borderId="49" xfId="0" applyFont="1" applyFill="1" applyBorder="1"/>
    <xf numFmtId="0" fontId="3" fillId="4" borderId="47" xfId="0" applyNumberFormat="1" applyFont="1" applyFill="1" applyBorder="1"/>
    <xf numFmtId="0" fontId="1" fillId="4" borderId="10" xfId="0" applyFont="1" applyFill="1" applyBorder="1"/>
    <xf numFmtId="0" fontId="1" fillId="4" borderId="11" xfId="0" applyFont="1" applyFill="1" applyBorder="1"/>
    <xf numFmtId="0" fontId="1" fillId="4" borderId="9" xfId="0" applyFont="1" applyFill="1" applyBorder="1"/>
    <xf numFmtId="1" fontId="1" fillId="4" borderId="18" xfId="0" applyNumberFormat="1" applyFont="1" applyFill="1" applyBorder="1" applyAlignment="1">
      <alignment horizontal="right"/>
    </xf>
    <xf numFmtId="0" fontId="1" fillId="4" borderId="0" xfId="0" applyFont="1" applyFill="1" applyBorder="1"/>
    <xf numFmtId="0" fontId="9" fillId="0" borderId="0" xfId="0" applyFont="1" applyFill="1" applyAlignment="1" applyProtection="1"/>
    <xf numFmtId="0" fontId="9" fillId="0" borderId="0" xfId="0" applyFont="1"/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Fill="1" applyBorder="1"/>
    <xf numFmtId="0" fontId="2" fillId="0" borderId="0" xfId="7" applyFont="1" applyAlignment="1">
      <alignment horizontal="centerContinuous"/>
    </xf>
    <xf numFmtId="0" fontId="3" fillId="0" borderId="0" xfId="0" applyFont="1" applyBorder="1"/>
    <xf numFmtId="3" fontId="3" fillId="0" borderId="0" xfId="0" applyNumberFormat="1" applyFont="1" applyBorder="1"/>
    <xf numFmtId="0" fontId="1" fillId="4" borderId="0" xfId="0" applyFont="1" applyFill="1" applyBorder="1" applyAlignment="1">
      <alignment horizontal="left" vertical="center"/>
    </xf>
    <xf numFmtId="0" fontId="3" fillId="4" borderId="28" xfId="0" applyFont="1" applyFill="1" applyBorder="1" applyAlignment="1">
      <alignment horizontal="left" indent="2"/>
    </xf>
    <xf numFmtId="0" fontId="1" fillId="4" borderId="28" xfId="0" applyFont="1" applyFill="1" applyBorder="1" applyAlignment="1">
      <alignment horizontal="left" indent="2"/>
    </xf>
    <xf numFmtId="0" fontId="1" fillId="4" borderId="28" xfId="0" applyFont="1" applyFill="1" applyBorder="1" applyAlignment="1">
      <alignment horizontal="left" indent="3"/>
    </xf>
    <xf numFmtId="0" fontId="1" fillId="4" borderId="7" xfId="0" applyFont="1" applyFill="1" applyBorder="1" applyAlignment="1">
      <alignment horizontal="left" indent="3"/>
    </xf>
    <xf numFmtId="0" fontId="3" fillId="4" borderId="23" xfId="0" applyFont="1" applyFill="1" applyBorder="1" applyAlignment="1">
      <alignment horizontal="left" indent="2"/>
    </xf>
    <xf numFmtId="0" fontId="1" fillId="4" borderId="45" xfId="0" applyFont="1" applyFill="1" applyBorder="1"/>
    <xf numFmtId="3" fontId="1" fillId="4" borderId="44" xfId="1" applyNumberFormat="1" applyFont="1" applyFill="1" applyBorder="1" applyAlignment="1">
      <alignment horizontal="right"/>
    </xf>
    <xf numFmtId="3" fontId="1" fillId="4" borderId="46" xfId="1" applyNumberFormat="1" applyFont="1" applyFill="1" applyBorder="1" applyAlignment="1">
      <alignment horizontal="right"/>
    </xf>
    <xf numFmtId="0" fontId="3" fillId="0" borderId="66" xfId="0" applyFont="1" applyFill="1" applyBorder="1" applyAlignment="1">
      <alignment horizontal="right"/>
    </xf>
    <xf numFmtId="164" fontId="3" fillId="4" borderId="67" xfId="2" applyNumberFormat="1" applyFont="1" applyFill="1" applyBorder="1" applyAlignment="1">
      <alignment horizontal="right"/>
    </xf>
    <xf numFmtId="0" fontId="3" fillId="0" borderId="68" xfId="0" applyFont="1" applyFill="1" applyBorder="1" applyAlignment="1">
      <alignment horizontal="right"/>
    </xf>
    <xf numFmtId="164" fontId="3" fillId="4" borderId="69" xfId="2" applyNumberFormat="1" applyFont="1" applyFill="1" applyBorder="1" applyAlignment="1">
      <alignment horizontal="right"/>
    </xf>
    <xf numFmtId="0" fontId="3" fillId="4" borderId="66" xfId="0" applyFont="1" applyFill="1" applyBorder="1" applyAlignment="1">
      <alignment horizontal="right"/>
    </xf>
    <xf numFmtId="164" fontId="3" fillId="4" borderId="70" xfId="2" applyNumberFormat="1" applyFont="1" applyFill="1" applyBorder="1" applyAlignment="1">
      <alignment horizontal="right"/>
    </xf>
    <xf numFmtId="164" fontId="1" fillId="0" borderId="66" xfId="0" applyNumberFormat="1" applyFont="1" applyFill="1" applyBorder="1" applyAlignment="1">
      <alignment horizontal="right"/>
    </xf>
    <xf numFmtId="164" fontId="1" fillId="4" borderId="67" xfId="2" applyNumberFormat="1" applyFont="1" applyFill="1" applyBorder="1" applyAlignment="1">
      <alignment horizontal="right"/>
    </xf>
    <xf numFmtId="164" fontId="1" fillId="0" borderId="68" xfId="0" applyNumberFormat="1" applyFont="1" applyFill="1" applyBorder="1" applyAlignment="1">
      <alignment horizontal="right"/>
    </xf>
    <xf numFmtId="164" fontId="1" fillId="4" borderId="69" xfId="2" applyNumberFormat="1" applyFont="1" applyFill="1" applyBorder="1" applyAlignment="1">
      <alignment horizontal="right"/>
    </xf>
    <xf numFmtId="164" fontId="1" fillId="4" borderId="66" xfId="0" applyNumberFormat="1" applyFont="1" applyFill="1" applyBorder="1" applyAlignment="1">
      <alignment horizontal="right"/>
    </xf>
    <xf numFmtId="164" fontId="1" fillId="4" borderId="70" xfId="2" applyNumberFormat="1" applyFont="1" applyFill="1" applyBorder="1" applyAlignment="1">
      <alignment horizontal="right"/>
    </xf>
    <xf numFmtId="0" fontId="1" fillId="4" borderId="125" xfId="0" applyFont="1" applyFill="1" applyBorder="1" applyAlignment="1">
      <alignment horizontal="right"/>
    </xf>
    <xf numFmtId="0" fontId="1" fillId="0" borderId="126" xfId="0" applyFont="1" applyFill="1" applyBorder="1" applyAlignment="1">
      <alignment horizontal="right"/>
    </xf>
    <xf numFmtId="164" fontId="1" fillId="4" borderId="127" xfId="2" applyNumberFormat="1" applyFont="1" applyFill="1" applyBorder="1" applyAlignment="1">
      <alignment horizontal="right"/>
    </xf>
    <xf numFmtId="0" fontId="1" fillId="0" borderId="128" xfId="0" applyFont="1" applyFill="1" applyBorder="1" applyAlignment="1">
      <alignment horizontal="right"/>
    </xf>
    <xf numFmtId="164" fontId="1" fillId="4" borderId="129" xfId="2" applyNumberFormat="1" applyFont="1" applyFill="1" applyBorder="1" applyAlignment="1">
      <alignment horizontal="right"/>
    </xf>
    <xf numFmtId="0" fontId="1" fillId="4" borderId="126" xfId="0" applyFont="1" applyFill="1" applyBorder="1" applyAlignment="1">
      <alignment horizontal="right"/>
    </xf>
    <xf numFmtId="164" fontId="1" fillId="4" borderId="130" xfId="2" applyNumberFormat="1" applyFont="1" applyFill="1" applyBorder="1" applyAlignment="1">
      <alignment horizontal="right"/>
    </xf>
    <xf numFmtId="3" fontId="1" fillId="0" borderId="131" xfId="1" applyNumberFormat="1" applyFont="1" applyFill="1" applyBorder="1" applyAlignment="1">
      <alignment horizontal="right"/>
    </xf>
    <xf numFmtId="3" fontId="1" fillId="0" borderId="132" xfId="1" applyNumberFormat="1" applyFont="1" applyFill="1" applyBorder="1" applyAlignment="1">
      <alignment horizontal="right"/>
    </xf>
    <xf numFmtId="3" fontId="1" fillId="4" borderId="131" xfId="1" applyNumberFormat="1" applyFont="1" applyFill="1" applyBorder="1" applyAlignment="1">
      <alignment horizontal="right"/>
    </xf>
    <xf numFmtId="0" fontId="1" fillId="4" borderId="23" xfId="0" applyFont="1" applyFill="1" applyBorder="1" applyAlignment="1">
      <alignment horizontal="right"/>
    </xf>
    <xf numFmtId="0" fontId="3" fillId="4" borderId="134" xfId="0" applyFont="1" applyFill="1" applyBorder="1" applyAlignment="1">
      <alignment horizontal="center"/>
    </xf>
    <xf numFmtId="0" fontId="3" fillId="4" borderId="135" xfId="0" applyFont="1" applyFill="1" applyBorder="1" applyAlignment="1">
      <alignment horizontal="center"/>
    </xf>
    <xf numFmtId="0" fontId="3" fillId="4" borderId="136" xfId="0" applyFont="1" applyFill="1" applyBorder="1" applyAlignment="1">
      <alignment horizontal="center"/>
    </xf>
    <xf numFmtId="0" fontId="3" fillId="4" borderId="137" xfId="0" applyFont="1" applyFill="1" applyBorder="1" applyAlignment="1">
      <alignment horizontal="center"/>
    </xf>
    <xf numFmtId="0" fontId="3" fillId="4" borderId="138" xfId="3" applyFont="1" applyFill="1" applyBorder="1" applyAlignment="1">
      <alignment horizontal="center"/>
    </xf>
    <xf numFmtId="0" fontId="0" fillId="4" borderId="56" xfId="0" applyFill="1" applyBorder="1" applyAlignment="1">
      <alignment horizontal="center"/>
    </xf>
    <xf numFmtId="0" fontId="3" fillId="4" borderId="55" xfId="3" applyFont="1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3" fillId="4" borderId="61" xfId="3" applyFont="1" applyFill="1" applyBorder="1" applyAlignment="1">
      <alignment horizontal="left" wrapText="1" indent="1"/>
    </xf>
    <xf numFmtId="1" fontId="1" fillId="0" borderId="48" xfId="0" applyNumberFormat="1" applyFont="1" applyFill="1" applyBorder="1"/>
    <xf numFmtId="164" fontId="1" fillId="4" borderId="64" xfId="4" applyNumberFormat="1" applyFont="1" applyFill="1" applyBorder="1"/>
    <xf numFmtId="0" fontId="1" fillId="4" borderId="63" xfId="4" applyNumberFormat="1" applyFont="1" applyFill="1" applyBorder="1"/>
    <xf numFmtId="0" fontId="3" fillId="4" borderId="62" xfId="0" applyFont="1" applyFill="1" applyBorder="1"/>
    <xf numFmtId="0" fontId="2" fillId="0" borderId="0" xfId="0" applyFont="1" applyBorder="1" applyAlignment="1">
      <alignment horizontal="center"/>
    </xf>
    <xf numFmtId="0" fontId="1" fillId="0" borderId="28" xfId="0" applyFont="1" applyBorder="1" applyAlignment="1">
      <alignment horizontal="left" wrapText="1" indent="2"/>
    </xf>
    <xf numFmtId="0" fontId="1" fillId="0" borderId="23" xfId="0" applyFont="1" applyBorder="1" applyAlignment="1">
      <alignment horizontal="left" wrapText="1" indent="2"/>
    </xf>
    <xf numFmtId="0" fontId="1" fillId="4" borderId="44" xfId="4" applyNumberFormat="1" applyFont="1" applyFill="1" applyBorder="1"/>
    <xf numFmtId="164" fontId="1" fillId="4" borderId="18" xfId="2" applyNumberFormat="1" applyFont="1" applyFill="1" applyBorder="1" applyAlignment="1">
      <alignment horizontal="right"/>
    </xf>
    <xf numFmtId="164" fontId="1" fillId="4" borderId="17" xfId="2" applyNumberFormat="1" applyFont="1" applyFill="1" applyBorder="1" applyAlignment="1">
      <alignment horizontal="right"/>
    </xf>
    <xf numFmtId="164" fontId="1" fillId="4" borderId="20" xfId="2" applyNumberFormat="1" applyFont="1" applyFill="1" applyBorder="1" applyAlignment="1">
      <alignment horizontal="right"/>
    </xf>
    <xf numFmtId="1" fontId="1" fillId="4" borderId="121" xfId="0" applyNumberFormat="1" applyFont="1" applyFill="1" applyBorder="1"/>
    <xf numFmtId="164" fontId="1" fillId="4" borderId="20" xfId="0" applyNumberFormat="1" applyFont="1" applyFill="1" applyBorder="1"/>
    <xf numFmtId="3" fontId="1" fillId="4" borderId="19" xfId="1" applyNumberFormat="1" applyFont="1" applyFill="1" applyBorder="1" applyAlignment="1">
      <alignment horizontal="right"/>
    </xf>
    <xf numFmtId="3" fontId="1" fillId="4" borderId="16" xfId="1" applyNumberFormat="1" applyFont="1" applyFill="1" applyBorder="1" applyAlignment="1">
      <alignment horizontal="right"/>
    </xf>
    <xf numFmtId="0" fontId="3" fillId="4" borderId="25" xfId="0" applyFont="1" applyFill="1" applyBorder="1" applyAlignment="1">
      <alignment horizontal="right"/>
    </xf>
    <xf numFmtId="164" fontId="3" fillId="4" borderId="110" xfId="2" applyNumberFormat="1" applyFont="1" applyFill="1" applyBorder="1" applyAlignment="1">
      <alignment horizontal="right"/>
    </xf>
    <xf numFmtId="164" fontId="3" fillId="4" borderId="24" xfId="2" applyNumberFormat="1" applyFont="1" applyFill="1" applyBorder="1" applyAlignment="1">
      <alignment horizontal="right"/>
    </xf>
    <xf numFmtId="0" fontId="3" fillId="4" borderId="111" xfId="0" applyFont="1" applyFill="1" applyBorder="1" applyAlignment="1">
      <alignment horizontal="right"/>
    </xf>
    <xf numFmtId="164" fontId="3" fillId="4" borderId="26" xfId="2" applyNumberFormat="1" applyFont="1" applyFill="1" applyBorder="1" applyAlignment="1">
      <alignment horizontal="right"/>
    </xf>
    <xf numFmtId="1" fontId="1" fillId="4" borderId="116" xfId="0" applyNumberFormat="1" applyFont="1" applyFill="1" applyBorder="1"/>
    <xf numFmtId="164" fontId="1" fillId="4" borderId="26" xfId="0" applyNumberFormat="1" applyFont="1" applyFill="1" applyBorder="1"/>
    <xf numFmtId="164" fontId="1" fillId="4" borderId="25" xfId="0" applyNumberFormat="1" applyFont="1" applyFill="1" applyBorder="1" applyAlignment="1">
      <alignment horizontal="right"/>
    </xf>
    <xf numFmtId="164" fontId="1" fillId="4" borderId="110" xfId="2" applyNumberFormat="1" applyFont="1" applyFill="1" applyBorder="1" applyAlignment="1">
      <alignment horizontal="right"/>
    </xf>
    <xf numFmtId="164" fontId="1" fillId="4" borderId="24" xfId="2" applyNumberFormat="1" applyFont="1" applyFill="1" applyBorder="1" applyAlignment="1">
      <alignment horizontal="right"/>
    </xf>
    <xf numFmtId="164" fontId="1" fillId="4" borderId="111" xfId="0" applyNumberFormat="1" applyFont="1" applyFill="1" applyBorder="1" applyAlignment="1">
      <alignment horizontal="right"/>
    </xf>
    <xf numFmtId="164" fontId="1" fillId="4" borderId="26" xfId="2" applyNumberFormat="1" applyFont="1" applyFill="1" applyBorder="1" applyAlignment="1">
      <alignment horizontal="right"/>
    </xf>
    <xf numFmtId="0" fontId="5" fillId="0" borderId="0" xfId="0" applyFont="1"/>
    <xf numFmtId="0" fontId="1" fillId="0" borderId="28" xfId="0" applyFont="1" applyBorder="1" applyAlignment="1">
      <alignment horizontal="left" indent="2"/>
    </xf>
    <xf numFmtId="0" fontId="3" fillId="4" borderId="68" xfId="0" applyFont="1" applyFill="1" applyBorder="1" applyAlignment="1">
      <alignment horizontal="right"/>
    </xf>
    <xf numFmtId="164" fontId="1" fillId="4" borderId="68" xfId="0" applyNumberFormat="1" applyFont="1" applyFill="1" applyBorder="1" applyAlignment="1">
      <alignment horizontal="right"/>
    </xf>
    <xf numFmtId="0" fontId="1" fillId="4" borderId="128" xfId="0" applyFont="1" applyFill="1" applyBorder="1" applyAlignment="1">
      <alignment horizontal="right"/>
    </xf>
    <xf numFmtId="3" fontId="1" fillId="4" borderId="132" xfId="1" applyNumberFormat="1" applyFont="1" applyFill="1" applyBorder="1" applyAlignment="1">
      <alignment horizontal="right"/>
    </xf>
    <xf numFmtId="1" fontId="1" fillId="0" borderId="7" xfId="0" applyNumberFormat="1" applyFont="1" applyFill="1" applyBorder="1" applyAlignment="1">
      <alignment horizontal="left" indent="2"/>
    </xf>
    <xf numFmtId="0" fontId="1" fillId="0" borderId="32" xfId="0" applyFont="1" applyBorder="1" applyAlignment="1">
      <alignment horizontal="left" indent="2"/>
    </xf>
    <xf numFmtId="0" fontId="1" fillId="4" borderId="32" xfId="0" applyFont="1" applyFill="1" applyBorder="1" applyAlignment="1">
      <alignment horizontal="left" indent="2"/>
    </xf>
    <xf numFmtId="10" fontId="1" fillId="2" borderId="44" xfId="2" applyFont="1" applyFill="1" applyBorder="1" applyAlignment="1">
      <alignment horizontal="right"/>
    </xf>
    <xf numFmtId="10" fontId="1" fillId="2" borderId="48" xfId="2" applyFont="1" applyFill="1" applyBorder="1" applyAlignment="1">
      <alignment horizontal="right"/>
    </xf>
    <xf numFmtId="1" fontId="1" fillId="0" borderId="111" xfId="0" applyNumberFormat="1" applyFont="1" applyBorder="1" applyAlignment="1">
      <alignment horizontal="right"/>
    </xf>
    <xf numFmtId="165" fontId="1" fillId="4" borderId="84" xfId="0" applyNumberFormat="1" applyFont="1" applyFill="1" applyBorder="1" applyAlignment="1">
      <alignment horizontal="center"/>
    </xf>
    <xf numFmtId="165" fontId="1" fillId="4" borderId="83" xfId="0" applyNumberFormat="1" applyFont="1" applyFill="1" applyBorder="1" applyAlignment="1">
      <alignment horizontal="right"/>
    </xf>
    <xf numFmtId="165" fontId="1" fillId="4" borderId="85" xfId="0" applyNumberFormat="1" applyFont="1" applyFill="1" applyBorder="1" applyAlignment="1">
      <alignment horizontal="center"/>
    </xf>
    <xf numFmtId="0" fontId="1" fillId="4" borderId="104" xfId="0" applyFont="1" applyFill="1" applyBorder="1" applyAlignment="1">
      <alignment horizontal="center"/>
    </xf>
    <xf numFmtId="165" fontId="1" fillId="4" borderId="102" xfId="0" applyNumberFormat="1" applyFont="1" applyFill="1" applyBorder="1" applyAlignment="1">
      <alignment horizontal="center"/>
    </xf>
    <xf numFmtId="165" fontId="1" fillId="4" borderId="65" xfId="0" applyNumberFormat="1" applyFont="1" applyFill="1" applyBorder="1" applyAlignment="1">
      <alignment horizontal="center"/>
    </xf>
    <xf numFmtId="165" fontId="3" fillId="4" borderId="102" xfId="0" applyNumberFormat="1" applyFont="1" applyFill="1" applyBorder="1" applyAlignment="1">
      <alignment horizontal="center"/>
    </xf>
    <xf numFmtId="165" fontId="1" fillId="4" borderId="14" xfId="0" applyNumberFormat="1" applyFont="1" applyFill="1" applyBorder="1" applyAlignment="1">
      <alignment horizontal="center"/>
    </xf>
    <xf numFmtId="165" fontId="1" fillId="4" borderId="47" xfId="0" applyNumberFormat="1" applyFont="1" applyFill="1" applyBorder="1" applyAlignment="1">
      <alignment horizontal="center"/>
    </xf>
    <xf numFmtId="165" fontId="1" fillId="4" borderId="48" xfId="0" applyNumberFormat="1" applyFont="1" applyFill="1" applyBorder="1" applyAlignment="1">
      <alignment horizontal="center"/>
    </xf>
    <xf numFmtId="165" fontId="3" fillId="4" borderId="47" xfId="0" applyNumberFormat="1" applyFont="1" applyFill="1" applyBorder="1" applyAlignment="1">
      <alignment horizontal="center"/>
    </xf>
    <xf numFmtId="165" fontId="1" fillId="4" borderId="30" xfId="0" applyNumberFormat="1" applyFont="1" applyFill="1" applyBorder="1" applyAlignment="1">
      <alignment horizontal="center"/>
    </xf>
    <xf numFmtId="165" fontId="1" fillId="4" borderId="104" xfId="0" applyNumberFormat="1" applyFont="1" applyFill="1" applyBorder="1" applyAlignment="1">
      <alignment horizontal="right"/>
    </xf>
    <xf numFmtId="165" fontId="1" fillId="4" borderId="105" xfId="0" applyNumberFormat="1" applyFont="1" applyFill="1" applyBorder="1" applyAlignment="1">
      <alignment horizontal="center"/>
    </xf>
    <xf numFmtId="165" fontId="1" fillId="4" borderId="106" xfId="0" applyNumberFormat="1" applyFont="1" applyFill="1" applyBorder="1" applyAlignment="1">
      <alignment horizontal="center"/>
    </xf>
    <xf numFmtId="165" fontId="1" fillId="4" borderId="55" xfId="0" applyNumberFormat="1" applyFont="1" applyFill="1" applyBorder="1" applyAlignment="1">
      <alignment horizontal="center"/>
    </xf>
    <xf numFmtId="165" fontId="1" fillId="4" borderId="56" xfId="0" applyNumberFormat="1" applyFont="1" applyFill="1" applyBorder="1" applyAlignment="1">
      <alignment horizontal="center"/>
    </xf>
    <xf numFmtId="165" fontId="1" fillId="4" borderId="51" xfId="0" applyNumberFormat="1" applyFont="1" applyFill="1" applyBorder="1" applyAlignment="1">
      <alignment horizontal="right"/>
    </xf>
    <xf numFmtId="165" fontId="1" fillId="4" borderId="52" xfId="0" applyNumberFormat="1" applyFont="1" applyFill="1" applyBorder="1" applyAlignment="1">
      <alignment horizontal="center"/>
    </xf>
    <xf numFmtId="10" fontId="1" fillId="4" borderId="12" xfId="0" applyNumberFormat="1" applyFont="1" applyFill="1" applyBorder="1" applyAlignment="1">
      <alignment horizontal="center"/>
    </xf>
    <xf numFmtId="10" fontId="1" fillId="4" borderId="37" xfId="0" applyNumberFormat="1" applyFont="1" applyFill="1" applyBorder="1" applyAlignment="1">
      <alignment horizontal="center"/>
    </xf>
    <xf numFmtId="10" fontId="1" fillId="2" borderId="46" xfId="2" applyFont="1" applyFill="1" applyBorder="1" applyAlignment="1">
      <alignment horizontal="right"/>
    </xf>
    <xf numFmtId="10" fontId="1" fillId="2" borderId="30" xfId="2" applyFont="1" applyFill="1" applyBorder="1" applyAlignment="1">
      <alignment horizontal="right"/>
    </xf>
    <xf numFmtId="165" fontId="3" fillId="4" borderId="106" xfId="0" applyNumberFormat="1" applyFont="1" applyFill="1" applyBorder="1" applyAlignment="1">
      <alignment horizontal="center"/>
    </xf>
    <xf numFmtId="1" fontId="1" fillId="0" borderId="29" xfId="0" applyNumberFormat="1" applyFont="1" applyFill="1" applyBorder="1"/>
    <xf numFmtId="10" fontId="1" fillId="4" borderId="20" xfId="2" applyFont="1" applyFill="1" applyBorder="1" applyAlignment="1">
      <alignment horizontal="center"/>
    </xf>
    <xf numFmtId="10" fontId="1" fillId="4" borderId="37" xfId="2" applyNumberFormat="1" applyFont="1" applyFill="1" applyBorder="1" applyAlignment="1">
      <alignment horizontal="center"/>
    </xf>
    <xf numFmtId="0" fontId="3" fillId="0" borderId="141" xfId="0" applyFont="1" applyBorder="1" applyAlignment="1">
      <alignment horizontal="center" wrapText="1"/>
    </xf>
    <xf numFmtId="0" fontId="3" fillId="0" borderId="142" xfId="0" applyFont="1" applyBorder="1" applyAlignment="1">
      <alignment horizontal="center" wrapText="1"/>
    </xf>
    <xf numFmtId="0" fontId="3" fillId="0" borderId="77" xfId="0" applyFont="1" applyBorder="1" applyAlignment="1">
      <alignment horizontal="center" wrapText="1"/>
    </xf>
    <xf numFmtId="0" fontId="3" fillId="0" borderId="13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09" xfId="0" applyFont="1" applyBorder="1" applyAlignment="1">
      <alignment horizontal="center" wrapText="1"/>
    </xf>
    <xf numFmtId="164" fontId="3" fillId="4" borderId="143" xfId="2" applyNumberFormat="1" applyFont="1" applyFill="1" applyBorder="1" applyAlignment="1">
      <alignment horizontal="center"/>
    </xf>
    <xf numFmtId="3" fontId="3" fillId="4" borderId="144" xfId="1" applyNumberFormat="1" applyFont="1" applyFill="1" applyBorder="1" applyAlignment="1">
      <alignment horizontal="center"/>
    </xf>
    <xf numFmtId="164" fontId="3" fillId="4" borderId="145" xfId="2" applyNumberFormat="1" applyFont="1" applyFill="1" applyBorder="1" applyAlignment="1">
      <alignment horizontal="center"/>
    </xf>
    <xf numFmtId="3" fontId="3" fillId="4" borderId="5" xfId="1" applyNumberFormat="1" applyFont="1" applyFill="1" applyBorder="1" applyAlignment="1">
      <alignment horizontal="center"/>
    </xf>
    <xf numFmtId="0" fontId="3" fillId="4" borderId="146" xfId="0" applyFont="1" applyFill="1" applyBorder="1" applyAlignment="1">
      <alignment horizontal="center"/>
    </xf>
    <xf numFmtId="0" fontId="3" fillId="4" borderId="122" xfId="0" applyFont="1" applyFill="1" applyBorder="1" applyAlignment="1">
      <alignment horizontal="center"/>
    </xf>
    <xf numFmtId="0" fontId="3" fillId="4" borderId="75" xfId="0" applyFont="1" applyFill="1" applyBorder="1" applyAlignment="1">
      <alignment horizontal="center"/>
    </xf>
    <xf numFmtId="0" fontId="3" fillId="4" borderId="147" xfId="0" applyFont="1" applyFill="1" applyBorder="1" applyAlignment="1">
      <alignment horizontal="left" indent="1"/>
    </xf>
    <xf numFmtId="0" fontId="3" fillId="4" borderId="148" xfId="0" applyFont="1" applyFill="1" applyBorder="1" applyAlignment="1">
      <alignment horizontal="center"/>
    </xf>
    <xf numFmtId="0" fontId="3" fillId="4" borderId="149" xfId="0" applyFont="1" applyFill="1" applyBorder="1" applyAlignment="1">
      <alignment horizontal="center"/>
    </xf>
    <xf numFmtId="0" fontId="3" fillId="4" borderId="150" xfId="0" applyFont="1" applyFill="1" applyBorder="1" applyAlignment="1">
      <alignment horizontal="center"/>
    </xf>
    <xf numFmtId="0" fontId="3" fillId="4" borderId="151" xfId="0" applyFont="1" applyFill="1" applyBorder="1" applyAlignment="1">
      <alignment horizontal="center"/>
    </xf>
    <xf numFmtId="0" fontId="3" fillId="4" borderId="152" xfId="0" applyFont="1" applyFill="1" applyBorder="1" applyAlignment="1">
      <alignment horizontal="center"/>
    </xf>
    <xf numFmtId="0" fontId="3" fillId="4" borderId="153" xfId="0" applyFont="1" applyFill="1" applyBorder="1" applyAlignment="1">
      <alignment horizontal="center"/>
    </xf>
    <xf numFmtId="0" fontId="3" fillId="4" borderId="154" xfId="0" applyFont="1" applyFill="1" applyBorder="1" applyAlignment="1">
      <alignment horizontal="center"/>
    </xf>
    <xf numFmtId="0" fontId="3" fillId="4" borderId="155" xfId="0" applyFont="1" applyFill="1" applyBorder="1" applyAlignment="1">
      <alignment horizontal="center"/>
    </xf>
    <xf numFmtId="0" fontId="3" fillId="4" borderId="156" xfId="0" applyFont="1" applyFill="1" applyBorder="1" applyAlignment="1">
      <alignment horizontal="center"/>
    </xf>
    <xf numFmtId="3" fontId="1" fillId="4" borderId="67" xfId="1" applyNumberFormat="1" applyFont="1" applyFill="1" applyBorder="1" applyAlignment="1">
      <alignment horizontal="right"/>
    </xf>
    <xf numFmtId="0" fontId="1" fillId="4" borderId="68" xfId="0" applyFont="1" applyFill="1" applyBorder="1"/>
    <xf numFmtId="3" fontId="1" fillId="4" borderId="69" xfId="1" applyNumberFormat="1" applyFont="1" applyFill="1" applyBorder="1" applyAlignment="1">
      <alignment horizontal="right"/>
    </xf>
    <xf numFmtId="0" fontId="1" fillId="4" borderId="66" xfId="0" applyFont="1" applyFill="1" applyBorder="1"/>
    <xf numFmtId="0" fontId="1" fillId="6" borderId="11" xfId="0" applyFont="1" applyFill="1" applyBorder="1"/>
    <xf numFmtId="3" fontId="1" fillId="4" borderId="10" xfId="1" applyNumberFormat="1" applyFont="1" applyFill="1" applyBorder="1" applyAlignment="1">
      <alignment horizontal="right"/>
    </xf>
    <xf numFmtId="3" fontId="1" fillId="4" borderId="9" xfId="1" applyNumberFormat="1" applyFont="1" applyFill="1" applyBorder="1" applyAlignment="1">
      <alignment horizontal="right"/>
    </xf>
    <xf numFmtId="165" fontId="1" fillId="4" borderId="49" xfId="0" applyNumberFormat="1" applyFont="1" applyFill="1" applyBorder="1"/>
    <xf numFmtId="165" fontId="1" fillId="4" borderId="8" xfId="0" applyNumberFormat="1" applyFont="1" applyFill="1" applyBorder="1"/>
    <xf numFmtId="165" fontId="1" fillId="4" borderId="11" xfId="0" applyNumberFormat="1" applyFont="1" applyFill="1" applyBorder="1"/>
    <xf numFmtId="3" fontId="1" fillId="4" borderId="10" xfId="0" applyNumberFormat="1" applyFont="1" applyFill="1" applyBorder="1"/>
    <xf numFmtId="3" fontId="1" fillId="4" borderId="9" xfId="0" applyNumberFormat="1" applyFont="1" applyFill="1" applyBorder="1"/>
    <xf numFmtId="0" fontId="1" fillId="6" borderId="132" xfId="0" applyFont="1" applyFill="1" applyBorder="1"/>
    <xf numFmtId="3" fontId="1" fillId="4" borderId="18" xfId="0" applyNumberFormat="1" applyFont="1" applyFill="1" applyBorder="1"/>
    <xf numFmtId="3" fontId="1" fillId="4" borderId="17" xfId="0" applyNumberFormat="1" applyFont="1" applyFill="1" applyBorder="1"/>
    <xf numFmtId="165" fontId="1" fillId="4" borderId="64" xfId="0" applyNumberFormat="1" applyFont="1" applyFill="1" applyBorder="1"/>
    <xf numFmtId="165" fontId="1" fillId="4" borderId="16" xfId="0" applyNumberFormat="1" applyFont="1" applyFill="1" applyBorder="1"/>
    <xf numFmtId="165" fontId="1" fillId="4" borderId="19" xfId="0" applyNumberFormat="1" applyFont="1" applyFill="1" applyBorder="1"/>
    <xf numFmtId="0" fontId="3" fillId="6" borderId="157" xfId="0" applyFont="1" applyFill="1" applyBorder="1" applyAlignment="1">
      <alignment horizontal="right"/>
    </xf>
    <xf numFmtId="3" fontId="3" fillId="4" borderId="158" xfId="0" applyNumberFormat="1" applyFont="1" applyFill="1" applyBorder="1" applyAlignment="1">
      <alignment horizontal="right"/>
    </xf>
    <xf numFmtId="3" fontId="3" fillId="4" borderId="159" xfId="0" applyNumberFormat="1" applyFont="1" applyFill="1" applyBorder="1" applyAlignment="1">
      <alignment horizontal="right"/>
    </xf>
    <xf numFmtId="3" fontId="3" fillId="4" borderId="160" xfId="0" applyNumberFormat="1" applyFont="1" applyFill="1" applyBorder="1" applyAlignment="1">
      <alignment horizontal="right"/>
    </xf>
    <xf numFmtId="165" fontId="3" fillId="4" borderId="161" xfId="0" applyNumberFormat="1" applyFont="1" applyFill="1" applyBorder="1" applyAlignment="1">
      <alignment horizontal="right"/>
    </xf>
    <xf numFmtId="3" fontId="3" fillId="4" borderId="162" xfId="0" applyNumberFormat="1" applyFont="1" applyFill="1" applyBorder="1" applyAlignment="1">
      <alignment horizontal="right"/>
    </xf>
    <xf numFmtId="0" fontId="3" fillId="4" borderId="139" xfId="0" applyFont="1" applyFill="1" applyBorder="1" applyAlignment="1">
      <alignment horizontal="center"/>
    </xf>
    <xf numFmtId="0" fontId="3" fillId="4" borderId="140" xfId="0" applyFont="1" applyFill="1" applyBorder="1" applyAlignment="1">
      <alignment horizontal="center"/>
    </xf>
    <xf numFmtId="0" fontId="1" fillId="0" borderId="31" xfId="0" applyFont="1" applyBorder="1" applyAlignment="1">
      <alignment horizontal="left" wrapText="1" indent="2"/>
    </xf>
    <xf numFmtId="0" fontId="3" fillId="4" borderId="164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1" fontId="1" fillId="6" borderId="25" xfId="2" applyNumberFormat="1" applyFont="1" applyFill="1" applyBorder="1" applyAlignment="1">
      <alignment horizontal="center"/>
    </xf>
    <xf numFmtId="10" fontId="1" fillId="6" borderId="24" xfId="2" applyFont="1" applyFill="1" applyBorder="1" applyAlignment="1">
      <alignment horizontal="center"/>
    </xf>
    <xf numFmtId="1" fontId="1" fillId="6" borderId="36" xfId="2" applyNumberFormat="1" applyFont="1" applyFill="1" applyBorder="1" applyAlignment="1">
      <alignment horizontal="center"/>
    </xf>
    <xf numFmtId="10" fontId="1" fillId="6" borderId="34" xfId="2" applyFont="1" applyFill="1" applyBorder="1" applyAlignment="1">
      <alignment horizontal="center"/>
    </xf>
    <xf numFmtId="1" fontId="1" fillId="6" borderId="96" xfId="2" applyNumberFormat="1" applyFont="1" applyFill="1" applyBorder="1" applyAlignment="1">
      <alignment horizontal="center"/>
    </xf>
    <xf numFmtId="10" fontId="1" fillId="6" borderId="97" xfId="2" applyFont="1" applyFill="1" applyBorder="1" applyAlignment="1">
      <alignment horizontal="center"/>
    </xf>
    <xf numFmtId="10" fontId="1" fillId="0" borderId="29" xfId="2" applyFont="1" applyBorder="1" applyAlignment="1">
      <alignment horizontal="center"/>
    </xf>
    <xf numFmtId="1" fontId="1" fillId="0" borderId="29" xfId="0" applyNumberFormat="1" applyFont="1" applyBorder="1" applyAlignment="1">
      <alignment horizontal="center"/>
    </xf>
    <xf numFmtId="10" fontId="3" fillId="0" borderId="29" xfId="2" applyFont="1" applyBorder="1" applyAlignment="1">
      <alignment horizontal="center"/>
    </xf>
    <xf numFmtId="2" fontId="1" fillId="4" borderId="64" xfId="0" applyNumberFormat="1" applyFont="1" applyFill="1" applyBorder="1"/>
    <xf numFmtId="2" fontId="1" fillId="4" borderId="8" xfId="0" applyNumberFormat="1" applyFont="1" applyFill="1" applyBorder="1"/>
    <xf numFmtId="2" fontId="1" fillId="4" borderId="16" xfId="0" applyNumberFormat="1" applyFont="1" applyFill="1" applyBorder="1"/>
    <xf numFmtId="0" fontId="1" fillId="4" borderId="32" xfId="3" applyFont="1" applyFill="1" applyBorder="1" applyAlignment="1">
      <alignment horizontal="left" indent="2"/>
    </xf>
    <xf numFmtId="0" fontId="1" fillId="4" borderId="81" xfId="0" applyFont="1" applyFill="1" applyBorder="1" applyAlignment="1">
      <alignment horizontal="left" indent="2"/>
    </xf>
    <xf numFmtId="0" fontId="3" fillId="4" borderId="61" xfId="0" applyFont="1" applyFill="1" applyBorder="1" applyAlignment="1">
      <alignment horizontal="left" indent="2"/>
    </xf>
    <xf numFmtId="0" fontId="1" fillId="4" borderId="31" xfId="0" applyFont="1" applyFill="1" applyBorder="1" applyAlignment="1">
      <alignment horizontal="left" indent="2"/>
    </xf>
    <xf numFmtId="0" fontId="3" fillId="4" borderId="81" xfId="0" applyFont="1" applyFill="1" applyBorder="1" applyAlignment="1">
      <alignment horizontal="center"/>
    </xf>
    <xf numFmtId="1" fontId="1" fillId="4" borderId="113" xfId="0" applyNumberFormat="1" applyFont="1" applyFill="1" applyBorder="1" applyAlignment="1">
      <alignment horizontal="center"/>
    </xf>
    <xf numFmtId="10" fontId="1" fillId="4" borderId="27" xfId="2" applyFont="1" applyFill="1" applyBorder="1" applyAlignment="1">
      <alignment horizontal="center"/>
    </xf>
    <xf numFmtId="1" fontId="1" fillId="4" borderId="29" xfId="0" applyNumberFormat="1" applyFont="1" applyFill="1" applyBorder="1" applyAlignment="1">
      <alignment horizontal="center"/>
    </xf>
    <xf numFmtId="1" fontId="1" fillId="4" borderId="38" xfId="0" applyNumberFormat="1" applyFont="1" applyFill="1" applyBorder="1" applyAlignment="1">
      <alignment horizontal="center"/>
    </xf>
    <xf numFmtId="1" fontId="1" fillId="0" borderId="26" xfId="0" applyNumberFormat="1" applyFont="1" applyBorder="1"/>
    <xf numFmtId="1" fontId="1" fillId="0" borderId="12" xfId="0" applyNumberFormat="1" applyFont="1" applyFill="1" applyBorder="1"/>
    <xf numFmtId="1" fontId="3" fillId="0" borderId="109" xfId="0" applyNumberFormat="1" applyFont="1" applyFill="1" applyBorder="1"/>
    <xf numFmtId="1" fontId="1" fillId="0" borderId="26" xfId="0" applyNumberFormat="1" applyFont="1" applyFill="1" applyBorder="1"/>
    <xf numFmtId="1" fontId="1" fillId="2" borderId="12" xfId="0" applyNumberFormat="1" applyFont="1" applyFill="1" applyBorder="1"/>
    <xf numFmtId="1" fontId="1" fillId="2" borderId="20" xfId="0" applyNumberFormat="1" applyFont="1" applyFill="1" applyBorder="1"/>
    <xf numFmtId="1" fontId="1" fillId="4" borderId="26" xfId="0" applyNumberFormat="1" applyFont="1" applyFill="1" applyBorder="1"/>
    <xf numFmtId="1" fontId="1" fillId="4" borderId="109" xfId="0" applyNumberFormat="1" applyFont="1" applyFill="1" applyBorder="1"/>
    <xf numFmtId="1" fontId="1" fillId="4" borderId="12" xfId="0" applyNumberFormat="1" applyFont="1" applyFill="1" applyBorder="1"/>
    <xf numFmtId="1" fontId="1" fillId="4" borderId="37" xfId="0" applyNumberFormat="1" applyFont="1" applyFill="1" applyBorder="1"/>
    <xf numFmtId="1" fontId="1" fillId="6" borderId="102" xfId="0" applyNumberFormat="1" applyFont="1" applyFill="1" applyBorder="1" applyAlignment="1">
      <alignment horizontal="right"/>
    </xf>
    <xf numFmtId="0" fontId="1" fillId="4" borderId="72" xfId="0" applyFont="1" applyFill="1" applyBorder="1" applyAlignment="1">
      <alignment horizontal="left" indent="2"/>
    </xf>
    <xf numFmtId="1" fontId="2" fillId="4" borderId="14" xfId="0" applyNumberFormat="1" applyFont="1" applyFill="1" applyBorder="1"/>
    <xf numFmtId="0" fontId="0" fillId="4" borderId="14" xfId="0" applyFill="1" applyBorder="1"/>
    <xf numFmtId="0" fontId="0" fillId="4" borderId="0" xfId="0" applyFill="1" applyBorder="1" applyAlignment="1">
      <alignment horizontal="center"/>
    </xf>
    <xf numFmtId="0" fontId="1" fillId="4" borderId="86" xfId="0" applyFont="1" applyFill="1" applyBorder="1" applyAlignment="1">
      <alignment horizontal="center"/>
    </xf>
    <xf numFmtId="1" fontId="1" fillId="4" borderId="70" xfId="0" applyNumberFormat="1" applyFont="1" applyFill="1" applyBorder="1"/>
    <xf numFmtId="0" fontId="3" fillId="4" borderId="15" xfId="0" applyFont="1" applyFill="1" applyBorder="1" applyAlignment="1">
      <alignment horizontal="left" indent="1"/>
    </xf>
    <xf numFmtId="0" fontId="1" fillId="4" borderId="23" xfId="3" applyFont="1" applyFill="1" applyBorder="1" applyAlignment="1">
      <alignment horizontal="left" indent="2"/>
    </xf>
    <xf numFmtId="0" fontId="1" fillId="4" borderId="28" xfId="3" applyFont="1" applyFill="1" applyBorder="1" applyAlignment="1">
      <alignment horizontal="left" indent="2"/>
    </xf>
    <xf numFmtId="1" fontId="3" fillId="2" borderId="109" xfId="0" applyNumberFormat="1" applyFont="1" applyFill="1" applyBorder="1" applyAlignment="1">
      <alignment horizontal="right"/>
    </xf>
    <xf numFmtId="2" fontId="1" fillId="0" borderId="31" xfId="0" applyNumberFormat="1" applyFont="1" applyBorder="1" applyAlignment="1">
      <alignment horizontal="left" wrapText="1" indent="2"/>
    </xf>
    <xf numFmtId="2" fontId="1" fillId="4" borderId="64" xfId="4" applyNumberFormat="1" applyFont="1" applyFill="1" applyBorder="1"/>
    <xf numFmtId="2" fontId="1" fillId="4" borderId="63" xfId="4" applyNumberFormat="1" applyFont="1" applyFill="1" applyBorder="1"/>
    <xf numFmtId="2" fontId="3" fillId="4" borderId="62" xfId="0" applyNumberFormat="1" applyFont="1" applyFill="1" applyBorder="1"/>
    <xf numFmtId="2" fontId="1" fillId="4" borderId="58" xfId="0" applyNumberFormat="1" applyFont="1" applyFill="1" applyBorder="1"/>
    <xf numFmtId="2" fontId="1" fillId="4" borderId="0" xfId="0" applyNumberFormat="1" applyFont="1" applyFill="1"/>
    <xf numFmtId="2" fontId="1" fillId="0" borderId="0" xfId="0" applyNumberFormat="1" applyFont="1"/>
    <xf numFmtId="2" fontId="3" fillId="4" borderId="58" xfId="0" applyNumberFormat="1" applyFont="1" applyFill="1" applyBorder="1"/>
    <xf numFmtId="0" fontId="3" fillId="0" borderId="139" xfId="0" applyFont="1" applyBorder="1" applyAlignment="1">
      <alignment horizontal="center" wrapText="1"/>
    </xf>
    <xf numFmtId="0" fontId="3" fillId="4" borderId="138" xfId="0" applyFont="1" applyFill="1" applyBorder="1" applyAlignment="1">
      <alignment horizontal="center"/>
    </xf>
    <xf numFmtId="1" fontId="1" fillId="4" borderId="45" xfId="0" applyNumberFormat="1" applyFont="1" applyFill="1" applyBorder="1" applyAlignment="1">
      <alignment horizontal="right"/>
    </xf>
    <xf numFmtId="1" fontId="1" fillId="4" borderId="49" xfId="0" applyNumberFormat="1" applyFont="1" applyFill="1" applyBorder="1" applyAlignment="1">
      <alignment horizontal="right"/>
    </xf>
    <xf numFmtId="0" fontId="1" fillId="4" borderId="53" xfId="0" applyFont="1" applyFill="1" applyBorder="1" applyAlignment="1">
      <alignment horizontal="right"/>
    </xf>
    <xf numFmtId="0" fontId="3" fillId="4" borderId="73" xfId="0" applyFont="1" applyFill="1" applyBorder="1" applyAlignment="1">
      <alignment horizontal="center"/>
    </xf>
    <xf numFmtId="164" fontId="1" fillId="4" borderId="138" xfId="4" applyNumberFormat="1" applyFont="1" applyFill="1" applyBorder="1"/>
    <xf numFmtId="3" fontId="3" fillId="4" borderId="165" xfId="1" applyNumberFormat="1" applyFont="1" applyFill="1" applyBorder="1" applyAlignment="1">
      <alignment horizontal="center"/>
    </xf>
    <xf numFmtId="1" fontId="1" fillId="6" borderId="111" xfId="2" applyNumberFormat="1" applyFont="1" applyFill="1" applyBorder="1" applyAlignment="1">
      <alignment horizontal="center"/>
    </xf>
    <xf numFmtId="1" fontId="1" fillId="6" borderId="33" xfId="2" applyNumberFormat="1" applyFont="1" applyFill="1" applyBorder="1" applyAlignment="1">
      <alignment horizontal="center"/>
    </xf>
    <xf numFmtId="0" fontId="3" fillId="0" borderId="73" xfId="0" applyFont="1" applyBorder="1"/>
    <xf numFmtId="0" fontId="1" fillId="2" borderId="64" xfId="0" applyFont="1" applyFill="1" applyBorder="1"/>
    <xf numFmtId="0" fontId="1" fillId="2" borderId="62" xfId="0" applyFont="1" applyFill="1" applyBorder="1"/>
    <xf numFmtId="0" fontId="1" fillId="0" borderId="61" xfId="3" applyFont="1" applyBorder="1"/>
    <xf numFmtId="0" fontId="1" fillId="0" borderId="28" xfId="3" applyFont="1" applyBorder="1"/>
    <xf numFmtId="0" fontId="1" fillId="4" borderId="61" xfId="0" applyFont="1" applyFill="1" applyBorder="1" applyAlignment="1">
      <alignment horizontal="left" indent="2"/>
    </xf>
    <xf numFmtId="0" fontId="5" fillId="4" borderId="86" xfId="0" applyFont="1" applyFill="1" applyBorder="1" applyAlignment="1">
      <alignment horizontal="left"/>
    </xf>
    <xf numFmtId="10" fontId="1" fillId="0" borderId="34" xfId="2" applyFont="1" applyFill="1" applyBorder="1" applyAlignment="1">
      <alignment horizontal="center"/>
    </xf>
    <xf numFmtId="0" fontId="3" fillId="0" borderId="113" xfId="0" applyFont="1" applyBorder="1" applyAlignment="1">
      <alignment horizontal="center"/>
    </xf>
    <xf numFmtId="3" fontId="3" fillId="0" borderId="29" xfId="1" applyNumberFormat="1" applyFont="1" applyBorder="1" applyAlignment="1">
      <alignment horizontal="center"/>
    </xf>
    <xf numFmtId="1" fontId="1" fillId="0" borderId="38" xfId="0" applyNumberFormat="1" applyFont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165" fontId="3" fillId="4" borderId="166" xfId="0" applyNumberFormat="1" applyFont="1" applyFill="1" applyBorder="1" applyAlignment="1">
      <alignment horizontal="right"/>
    </xf>
    <xf numFmtId="165" fontId="3" fillId="4" borderId="167" xfId="0" applyNumberFormat="1" applyFont="1" applyFill="1" applyBorder="1" applyAlignment="1">
      <alignment horizontal="right"/>
    </xf>
    <xf numFmtId="164" fontId="1" fillId="0" borderId="17" xfId="2" applyNumberFormat="1" applyFont="1" applyFill="1" applyBorder="1" applyAlignment="1">
      <alignment horizontal="right"/>
    </xf>
    <xf numFmtId="164" fontId="1" fillId="0" borderId="20" xfId="2" applyNumberFormat="1" applyFont="1" applyFill="1" applyBorder="1" applyAlignment="1">
      <alignment horizontal="right"/>
    </xf>
    <xf numFmtId="3" fontId="1" fillId="0" borderId="19" xfId="1" applyNumberFormat="1" applyFont="1" applyFill="1" applyBorder="1" applyAlignment="1">
      <alignment horizontal="right"/>
    </xf>
    <xf numFmtId="3" fontId="1" fillId="0" borderId="16" xfId="1" applyNumberFormat="1" applyFont="1" applyFill="1" applyBorder="1" applyAlignment="1">
      <alignment horizontal="right"/>
    </xf>
    <xf numFmtId="0" fontId="3" fillId="0" borderId="25" xfId="0" applyFont="1" applyFill="1" applyBorder="1" applyAlignment="1">
      <alignment horizontal="right"/>
    </xf>
    <xf numFmtId="164" fontId="1" fillId="0" borderId="24" xfId="2" applyNumberFormat="1" applyFont="1" applyFill="1" applyBorder="1" applyAlignment="1">
      <alignment horizontal="right"/>
    </xf>
    <xf numFmtId="0" fontId="3" fillId="0" borderId="111" xfId="0" applyFont="1" applyFill="1" applyBorder="1" applyAlignment="1">
      <alignment horizontal="right"/>
    </xf>
    <xf numFmtId="0" fontId="1" fillId="0" borderId="138" xfId="0" applyFont="1" applyFill="1" applyBorder="1" applyAlignment="1">
      <alignment horizontal="right"/>
    </xf>
    <xf numFmtId="164" fontId="1" fillId="0" borderId="26" xfId="2" applyNumberFormat="1" applyFont="1" applyFill="1" applyBorder="1" applyAlignment="1">
      <alignment horizontal="right"/>
    </xf>
    <xf numFmtId="164" fontId="1" fillId="0" borderId="25" xfId="0" applyNumberFormat="1" applyFont="1" applyFill="1" applyBorder="1" applyAlignment="1">
      <alignment horizontal="right"/>
    </xf>
    <xf numFmtId="164" fontId="1" fillId="0" borderId="111" xfId="0" applyNumberFormat="1" applyFont="1" applyFill="1" applyBorder="1" applyAlignment="1">
      <alignment horizontal="right"/>
    </xf>
    <xf numFmtId="0" fontId="0" fillId="0" borderId="13" xfId="0" applyBorder="1"/>
    <xf numFmtId="0" fontId="3" fillId="0" borderId="108" xfId="0" applyFont="1" applyBorder="1" applyAlignment="1">
      <alignment horizontal="center"/>
    </xf>
    <xf numFmtId="0" fontId="3" fillId="0" borderId="89" xfId="0" applyFont="1" applyBorder="1" applyAlignment="1">
      <alignment horizontal="center"/>
    </xf>
    <xf numFmtId="0" fontId="3" fillId="0" borderId="136" xfId="0" applyFont="1" applyBorder="1" applyAlignment="1">
      <alignment horizontal="center"/>
    </xf>
    <xf numFmtId="0" fontId="3" fillId="0" borderId="135" xfId="0" applyFont="1" applyBorder="1" applyAlignment="1">
      <alignment horizontal="center"/>
    </xf>
    <xf numFmtId="0" fontId="3" fillId="0" borderId="77" xfId="0" applyFont="1" applyFill="1" applyBorder="1" applyAlignment="1">
      <alignment horizontal="center"/>
    </xf>
    <xf numFmtId="0" fontId="3" fillId="0" borderId="137" xfId="0" applyFont="1" applyFill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3" fontId="6" fillId="4" borderId="9" xfId="0" applyNumberFormat="1" applyFont="1" applyFill="1" applyBorder="1" applyAlignment="1">
      <alignment horizontal="right"/>
    </xf>
    <xf numFmtId="3" fontId="6" fillId="4" borderId="9" xfId="0" applyNumberFormat="1" applyFont="1" applyFill="1" applyBorder="1"/>
    <xf numFmtId="165" fontId="6" fillId="4" borderId="8" xfId="0" applyNumberFormat="1" applyFont="1" applyFill="1" applyBorder="1"/>
    <xf numFmtId="0" fontId="6" fillId="4" borderId="8" xfId="0" applyFont="1" applyFill="1" applyBorder="1"/>
    <xf numFmtId="3" fontId="1" fillId="4" borderId="12" xfId="1" applyNumberFormat="1" applyFont="1" applyFill="1" applyBorder="1" applyAlignment="1">
      <alignment horizontal="right"/>
    </xf>
    <xf numFmtId="3" fontId="1" fillId="4" borderId="12" xfId="0" applyNumberFormat="1" applyFont="1" applyFill="1" applyBorder="1"/>
    <xf numFmtId="3" fontId="1" fillId="4" borderId="20" xfId="0" applyNumberFormat="1" applyFont="1" applyFill="1" applyBorder="1"/>
    <xf numFmtId="0" fontId="1" fillId="4" borderId="133" xfId="0" applyFont="1" applyFill="1" applyBorder="1"/>
    <xf numFmtId="165" fontId="1" fillId="4" borderId="71" xfId="0" applyNumberFormat="1" applyFont="1" applyFill="1" applyBorder="1"/>
    <xf numFmtId="0" fontId="3" fillId="4" borderId="45" xfId="0" applyFont="1" applyFill="1" applyBorder="1" applyAlignment="1">
      <alignment horizontal="center"/>
    </xf>
    <xf numFmtId="0" fontId="3" fillId="4" borderId="43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left" indent="3"/>
    </xf>
    <xf numFmtId="0" fontId="1" fillId="4" borderId="49" xfId="4" applyNumberFormat="1" applyFont="1" applyFill="1" applyBorder="1"/>
    <xf numFmtId="0" fontId="1" fillId="0" borderId="48" xfId="0" applyNumberFormat="1" applyFont="1" applyFill="1" applyBorder="1"/>
    <xf numFmtId="2" fontId="1" fillId="0" borderId="170" xfId="0" applyNumberFormat="1" applyFont="1" applyBorder="1" applyAlignment="1">
      <alignment horizontal="left" wrapText="1" indent="2"/>
    </xf>
    <xf numFmtId="164" fontId="1" fillId="4" borderId="171" xfId="4" applyNumberFormat="1" applyFont="1" applyFill="1" applyBorder="1"/>
    <xf numFmtId="0" fontId="1" fillId="4" borderId="172" xfId="4" applyNumberFormat="1" applyFont="1" applyFill="1" applyBorder="1"/>
    <xf numFmtId="0" fontId="1" fillId="4" borderId="171" xfId="4" applyNumberFormat="1" applyFont="1" applyFill="1" applyBorder="1"/>
    <xf numFmtId="0" fontId="3" fillId="4" borderId="173" xfId="0" applyNumberFormat="1" applyFont="1" applyFill="1" applyBorder="1"/>
    <xf numFmtId="0" fontId="1" fillId="4" borderId="174" xfId="0" applyNumberFormat="1" applyFont="1" applyFill="1" applyBorder="1"/>
    <xf numFmtId="0" fontId="1" fillId="4" borderId="152" xfId="0" applyFont="1" applyFill="1" applyBorder="1" applyAlignment="1">
      <alignment horizontal="center"/>
    </xf>
    <xf numFmtId="0" fontId="1" fillId="4" borderId="149" xfId="0" applyFont="1" applyFill="1" applyBorder="1" applyAlignment="1">
      <alignment horizontal="center"/>
    </xf>
    <xf numFmtId="1" fontId="1" fillId="4" borderId="176" xfId="0" applyNumberFormat="1" applyFont="1" applyFill="1" applyBorder="1"/>
    <xf numFmtId="0" fontId="3" fillId="4" borderId="167" xfId="0" applyFont="1" applyFill="1" applyBorder="1" applyAlignment="1">
      <alignment horizontal="right"/>
    </xf>
    <xf numFmtId="3" fontId="3" fillId="4" borderId="167" xfId="0" applyNumberFormat="1" applyFont="1" applyFill="1" applyBorder="1" applyAlignment="1">
      <alignment horizontal="right"/>
    </xf>
    <xf numFmtId="0" fontId="3" fillId="4" borderId="157" xfId="0" applyFont="1" applyFill="1" applyBorder="1" applyAlignment="1">
      <alignment horizontal="right"/>
    </xf>
    <xf numFmtId="0" fontId="3" fillId="4" borderId="177" xfId="0" applyFont="1" applyFill="1" applyBorder="1" applyAlignment="1">
      <alignment horizontal="center"/>
    </xf>
    <xf numFmtId="0" fontId="3" fillId="4" borderId="0" xfId="0" applyFont="1" applyFill="1"/>
    <xf numFmtId="0" fontId="3" fillId="4" borderId="173" xfId="0" applyFont="1" applyFill="1" applyBorder="1"/>
    <xf numFmtId="3" fontId="1" fillId="4" borderId="174" xfId="0" applyNumberFormat="1" applyFont="1" applyFill="1" applyBorder="1"/>
    <xf numFmtId="0" fontId="3" fillId="2" borderId="47" xfId="0" applyFont="1" applyFill="1" applyBorder="1"/>
    <xf numFmtId="1" fontId="1" fillId="2" borderId="48" xfId="0" applyNumberFormat="1" applyFont="1" applyFill="1" applyBorder="1"/>
    <xf numFmtId="164" fontId="1" fillId="2" borderId="171" xfId="4" applyNumberFormat="1" applyFont="1" applyFill="1" applyBorder="1"/>
    <xf numFmtId="0" fontId="1" fillId="2" borderId="172" xfId="4" applyNumberFormat="1" applyFont="1" applyFill="1" applyBorder="1"/>
    <xf numFmtId="0" fontId="1" fillId="3" borderId="62" xfId="0" applyFont="1" applyFill="1" applyBorder="1"/>
    <xf numFmtId="3" fontId="1" fillId="3" borderId="64" xfId="0" applyNumberFormat="1" applyFont="1" applyFill="1" applyBorder="1"/>
    <xf numFmtId="3" fontId="1" fillId="3" borderId="63" xfId="0" applyNumberFormat="1" applyFont="1" applyFill="1" applyBorder="1"/>
    <xf numFmtId="0" fontId="1" fillId="3" borderId="64" xfId="0" applyFont="1" applyFill="1" applyBorder="1"/>
    <xf numFmtId="0" fontId="1" fillId="3" borderId="43" xfId="0" applyFont="1" applyFill="1" applyBorder="1" applyAlignment="1">
      <alignment horizontal="right"/>
    </xf>
    <xf numFmtId="164" fontId="1" fillId="3" borderId="67" xfId="2" applyNumberFormat="1" applyFont="1" applyFill="1" applyBorder="1" applyAlignment="1">
      <alignment horizontal="right"/>
    </xf>
    <xf numFmtId="164" fontId="1" fillId="3" borderId="69" xfId="2" applyNumberFormat="1" applyFont="1" applyFill="1" applyBorder="1" applyAlignment="1">
      <alignment horizontal="right"/>
    </xf>
    <xf numFmtId="0" fontId="1" fillId="3" borderId="45" xfId="0" applyFont="1" applyFill="1" applyBorder="1" applyAlignment="1">
      <alignment horizontal="right"/>
    </xf>
    <xf numFmtId="0" fontId="1" fillId="3" borderId="157" xfId="0" applyFont="1" applyFill="1" applyBorder="1"/>
    <xf numFmtId="3" fontId="1" fillId="3" borderId="167" xfId="0" applyNumberFormat="1" applyFont="1" applyFill="1" applyBorder="1"/>
    <xf numFmtId="3" fontId="1" fillId="3" borderId="159" xfId="0" applyNumberFormat="1" applyFont="1" applyFill="1" applyBorder="1"/>
    <xf numFmtId="0" fontId="1" fillId="3" borderId="167" xfId="0" applyFont="1" applyFill="1" applyBorder="1"/>
    <xf numFmtId="0" fontId="1" fillId="3" borderId="175" xfId="0" applyFont="1" applyFill="1" applyBorder="1" applyAlignment="1">
      <alignment horizontal="right"/>
    </xf>
    <xf numFmtId="164" fontId="1" fillId="3" borderId="177" xfId="2" applyNumberFormat="1" applyFont="1" applyFill="1" applyBorder="1" applyAlignment="1">
      <alignment horizontal="right"/>
    </xf>
    <xf numFmtId="164" fontId="1" fillId="3" borderId="150" xfId="2" applyNumberFormat="1" applyFont="1" applyFill="1" applyBorder="1" applyAlignment="1">
      <alignment horizontal="right"/>
    </xf>
    <xf numFmtId="0" fontId="1" fillId="3" borderId="149" xfId="0" applyFont="1" applyFill="1" applyBorder="1" applyAlignment="1">
      <alignment horizontal="right"/>
    </xf>
    <xf numFmtId="0" fontId="3" fillId="3" borderId="19" xfId="0" applyFont="1" applyFill="1" applyBorder="1" applyAlignment="1">
      <alignment horizontal="right"/>
    </xf>
    <xf numFmtId="164" fontId="3" fillId="3" borderId="18" xfId="2" applyNumberFormat="1" applyFont="1" applyFill="1" applyBorder="1" applyAlignment="1">
      <alignment horizontal="right"/>
    </xf>
    <xf numFmtId="164" fontId="3" fillId="3" borderId="17" xfId="2" applyNumberFormat="1" applyFont="1" applyFill="1" applyBorder="1" applyAlignment="1">
      <alignment horizontal="right"/>
    </xf>
    <xf numFmtId="0" fontId="3" fillId="3" borderId="16" xfId="0" applyFont="1" applyFill="1" applyBorder="1" applyAlignment="1">
      <alignment horizontal="right"/>
    </xf>
    <xf numFmtId="164" fontId="1" fillId="3" borderId="19" xfId="0" applyNumberFormat="1" applyFont="1" applyFill="1" applyBorder="1" applyAlignment="1">
      <alignment horizontal="right"/>
    </xf>
    <xf numFmtId="164" fontId="1" fillId="3" borderId="18" xfId="2" applyNumberFormat="1" applyFont="1" applyFill="1" applyBorder="1" applyAlignment="1">
      <alignment horizontal="right"/>
    </xf>
    <xf numFmtId="164" fontId="1" fillId="3" borderId="17" xfId="2" applyNumberFormat="1" applyFont="1" applyFill="1" applyBorder="1" applyAlignment="1">
      <alignment horizontal="right"/>
    </xf>
    <xf numFmtId="164" fontId="1" fillId="3" borderId="16" xfId="0" applyNumberFormat="1" applyFont="1" applyFill="1" applyBorder="1" applyAlignment="1">
      <alignment horizontal="right"/>
    </xf>
    <xf numFmtId="3" fontId="1" fillId="3" borderId="55" xfId="1" applyNumberFormat="1" applyFont="1" applyFill="1" applyBorder="1" applyAlignment="1">
      <alignment horizontal="right"/>
    </xf>
    <xf numFmtId="164" fontId="1" fillId="3" borderId="110" xfId="2" applyNumberFormat="1" applyFont="1" applyFill="1" applyBorder="1" applyAlignment="1">
      <alignment horizontal="right"/>
    </xf>
    <xf numFmtId="164" fontId="1" fillId="3" borderId="24" xfId="2" applyNumberFormat="1" applyFont="1" applyFill="1" applyBorder="1" applyAlignment="1">
      <alignment horizontal="right"/>
    </xf>
    <xf numFmtId="3" fontId="1" fillId="3" borderId="138" xfId="1" applyNumberFormat="1" applyFont="1" applyFill="1" applyBorder="1" applyAlignment="1">
      <alignment horizontal="right"/>
    </xf>
    <xf numFmtId="3" fontId="1" fillId="3" borderId="25" xfId="1" applyNumberFormat="1" applyFont="1" applyFill="1" applyBorder="1" applyAlignment="1">
      <alignment horizontal="right"/>
    </xf>
    <xf numFmtId="3" fontId="1" fillId="3" borderId="111" xfId="1" applyNumberFormat="1" applyFont="1" applyFill="1" applyBorder="1" applyAlignment="1">
      <alignment horizontal="right"/>
    </xf>
    <xf numFmtId="3" fontId="1" fillId="4" borderId="172" xfId="0" applyNumberFormat="1" applyFont="1" applyFill="1" applyBorder="1"/>
    <xf numFmtId="0" fontId="3" fillId="4" borderId="171" xfId="0" applyFont="1" applyFill="1" applyBorder="1"/>
    <xf numFmtId="0" fontId="3" fillId="4" borderId="56" xfId="3" applyFont="1" applyFill="1" applyBorder="1" applyAlignment="1">
      <alignment horizontal="center"/>
    </xf>
    <xf numFmtId="3" fontId="1" fillId="2" borderId="64" xfId="0" applyNumberFormat="1" applyFont="1" applyFill="1" applyBorder="1"/>
    <xf numFmtId="3" fontId="1" fillId="2" borderId="63" xfId="0" applyNumberFormat="1" applyFont="1" applyFill="1" applyBorder="1"/>
    <xf numFmtId="164" fontId="1" fillId="2" borderId="18" xfId="2" applyNumberFormat="1" applyFont="1" applyFill="1" applyBorder="1" applyAlignment="1">
      <alignment horizontal="right"/>
    </xf>
    <xf numFmtId="164" fontId="1" fillId="2" borderId="17" xfId="2" applyNumberFormat="1" applyFont="1" applyFill="1" applyBorder="1" applyAlignment="1">
      <alignment horizontal="right"/>
    </xf>
    <xf numFmtId="3" fontId="1" fillId="2" borderId="16" xfId="1" applyNumberFormat="1" applyFont="1" applyFill="1" applyBorder="1" applyAlignment="1">
      <alignment horizontal="right"/>
    </xf>
    <xf numFmtId="3" fontId="1" fillId="2" borderId="19" xfId="1" applyNumberFormat="1" applyFont="1" applyFill="1" applyBorder="1" applyAlignment="1">
      <alignment horizontal="right"/>
    </xf>
    <xf numFmtId="0" fontId="3" fillId="2" borderId="111" xfId="0" applyFont="1" applyFill="1" applyBorder="1" applyAlignment="1">
      <alignment horizontal="right"/>
    </xf>
    <xf numFmtId="164" fontId="3" fillId="2" borderId="110" xfId="2" applyNumberFormat="1" applyFont="1" applyFill="1" applyBorder="1" applyAlignment="1">
      <alignment horizontal="right"/>
    </xf>
    <xf numFmtId="0" fontId="3" fillId="2" borderId="25" xfId="0" applyFont="1" applyFill="1" applyBorder="1" applyAlignment="1">
      <alignment horizontal="right"/>
    </xf>
    <xf numFmtId="164" fontId="3" fillId="2" borderId="24" xfId="2" applyNumberFormat="1" applyFont="1" applyFill="1" applyBorder="1" applyAlignment="1">
      <alignment horizontal="right"/>
    </xf>
    <xf numFmtId="164" fontId="1" fillId="2" borderId="111" xfId="0" applyNumberFormat="1" applyFont="1" applyFill="1" applyBorder="1" applyAlignment="1">
      <alignment horizontal="right"/>
    </xf>
    <xf numFmtId="164" fontId="1" fillId="2" borderId="110" xfId="2" applyNumberFormat="1" applyFont="1" applyFill="1" applyBorder="1" applyAlignment="1">
      <alignment horizontal="right"/>
    </xf>
    <xf numFmtId="164" fontId="1" fillId="2" borderId="25" xfId="0" applyNumberFormat="1" applyFont="1" applyFill="1" applyBorder="1" applyAlignment="1">
      <alignment horizontal="right"/>
    </xf>
    <xf numFmtId="164" fontId="1" fillId="2" borderId="24" xfId="2" applyNumberFormat="1" applyFont="1" applyFill="1" applyBorder="1" applyAlignment="1">
      <alignment horizontal="right"/>
    </xf>
    <xf numFmtId="0" fontId="1" fillId="2" borderId="43" xfId="0" applyFont="1" applyFill="1" applyBorder="1"/>
    <xf numFmtId="3" fontId="1" fillId="2" borderId="45" xfId="1" applyNumberFormat="1" applyFont="1" applyFill="1" applyBorder="1" applyAlignment="1">
      <alignment horizontal="right"/>
    </xf>
    <xf numFmtId="3" fontId="1" fillId="2" borderId="44" xfId="1" applyNumberFormat="1" applyFont="1" applyFill="1" applyBorder="1" applyAlignment="1">
      <alignment horizontal="right"/>
    </xf>
    <xf numFmtId="0" fontId="1" fillId="2" borderId="45" xfId="0" applyFont="1" applyFill="1" applyBorder="1"/>
    <xf numFmtId="3" fontId="1" fillId="4" borderId="70" xfId="1" applyNumberFormat="1" applyFont="1" applyFill="1" applyBorder="1" applyAlignment="1">
      <alignment horizontal="right"/>
    </xf>
    <xf numFmtId="0" fontId="1" fillId="4" borderId="151" xfId="0" applyFont="1" applyFill="1" applyBorder="1" applyAlignment="1">
      <alignment horizontal="center"/>
    </xf>
    <xf numFmtId="0" fontId="1" fillId="4" borderId="150" xfId="0" applyFont="1" applyFill="1" applyBorder="1" applyAlignment="1">
      <alignment horizontal="center"/>
    </xf>
    <xf numFmtId="0" fontId="1" fillId="4" borderId="156" xfId="0" applyFont="1" applyFill="1" applyBorder="1" applyAlignment="1">
      <alignment horizontal="center"/>
    </xf>
    <xf numFmtId="0" fontId="1" fillId="2" borderId="16" xfId="0" applyFont="1" applyFill="1" applyBorder="1"/>
    <xf numFmtId="3" fontId="6" fillId="4" borderId="17" xfId="0" applyNumberFormat="1" applyFont="1" applyFill="1" applyBorder="1"/>
    <xf numFmtId="165" fontId="6" fillId="4" borderId="16" xfId="0" applyNumberFormat="1" applyFont="1" applyFill="1" applyBorder="1"/>
    <xf numFmtId="165" fontId="1" fillId="4" borderId="121" xfId="0" applyNumberFormat="1" applyFont="1" applyFill="1" applyBorder="1"/>
    <xf numFmtId="0" fontId="3" fillId="4" borderId="166" xfId="0" applyFont="1" applyFill="1" applyBorder="1" applyAlignment="1">
      <alignment horizontal="right"/>
    </xf>
    <xf numFmtId="0" fontId="3" fillId="4" borderId="161" xfId="0" applyFont="1" applyFill="1" applyBorder="1" applyAlignment="1">
      <alignment horizontal="right"/>
    </xf>
    <xf numFmtId="3" fontId="3" fillId="4" borderId="163" xfId="0" applyNumberFormat="1" applyFont="1" applyFill="1" applyBorder="1" applyAlignment="1">
      <alignment horizontal="right"/>
    </xf>
    <xf numFmtId="0" fontId="1" fillId="4" borderId="16" xfId="0" applyFont="1" applyFill="1" applyBorder="1" applyAlignment="1">
      <alignment horizontal="right"/>
    </xf>
    <xf numFmtId="0" fontId="3" fillId="4" borderId="111" xfId="0" applyFont="1" applyFill="1" applyBorder="1" applyAlignment="1">
      <alignment horizontal="left"/>
    </xf>
    <xf numFmtId="0" fontId="3" fillId="4" borderId="133" xfId="0" applyFont="1" applyFill="1" applyBorder="1" applyAlignment="1">
      <alignment horizontal="center"/>
    </xf>
    <xf numFmtId="0" fontId="1" fillId="4" borderId="153" xfId="0" applyFont="1" applyFill="1" applyBorder="1" applyAlignment="1">
      <alignment horizontal="center"/>
    </xf>
    <xf numFmtId="165" fontId="3" fillId="4" borderId="178" xfId="0" applyNumberFormat="1" applyFont="1" applyFill="1" applyBorder="1"/>
    <xf numFmtId="0" fontId="1" fillId="0" borderId="133" xfId="0" applyFont="1" applyBorder="1"/>
    <xf numFmtId="0" fontId="1" fillId="0" borderId="70" xfId="0" applyFont="1" applyBorder="1"/>
    <xf numFmtId="1" fontId="1" fillId="0" borderId="70" xfId="0" applyNumberFormat="1" applyFont="1" applyBorder="1" applyAlignment="1">
      <alignment horizontal="right"/>
    </xf>
    <xf numFmtId="1" fontId="1" fillId="0" borderId="75" xfId="0" applyNumberFormat="1" applyFont="1" applyBorder="1" applyAlignment="1">
      <alignment horizontal="right"/>
    </xf>
    <xf numFmtId="1" fontId="3" fillId="0" borderId="163" xfId="0" applyNumberFormat="1" applyFont="1" applyBorder="1" applyAlignment="1">
      <alignment horizontal="right"/>
    </xf>
    <xf numFmtId="0" fontId="1" fillId="0" borderId="66" xfId="0" applyFont="1" applyFill="1" applyBorder="1"/>
    <xf numFmtId="3" fontId="1" fillId="0" borderId="70" xfId="1" applyNumberFormat="1" applyFont="1" applyFill="1" applyBorder="1" applyAlignment="1">
      <alignment horizontal="right"/>
    </xf>
    <xf numFmtId="165" fontId="1" fillId="0" borderId="8" xfId="0" applyNumberFormat="1" applyFont="1" applyFill="1" applyBorder="1"/>
    <xf numFmtId="3" fontId="1" fillId="0" borderId="12" xfId="1" applyNumberFormat="1" applyFont="1" applyFill="1" applyBorder="1" applyAlignment="1">
      <alignment horizontal="right"/>
    </xf>
    <xf numFmtId="3" fontId="1" fillId="0" borderId="12" xfId="0" applyNumberFormat="1" applyFont="1" applyFill="1" applyBorder="1"/>
    <xf numFmtId="165" fontId="1" fillId="0" borderId="16" xfId="0" applyNumberFormat="1" applyFont="1" applyFill="1" applyBorder="1"/>
    <xf numFmtId="3" fontId="1" fillId="0" borderId="20" xfId="0" applyNumberFormat="1" applyFont="1" applyFill="1" applyBorder="1"/>
    <xf numFmtId="165" fontId="3" fillId="0" borderId="166" xfId="0" applyNumberFormat="1" applyFont="1" applyFill="1" applyBorder="1" applyAlignment="1">
      <alignment horizontal="right"/>
    </xf>
    <xf numFmtId="3" fontId="3" fillId="0" borderId="163" xfId="0" applyNumberFormat="1" applyFont="1" applyFill="1" applyBorder="1" applyAlignment="1">
      <alignment horizontal="right"/>
    </xf>
    <xf numFmtId="3" fontId="1" fillId="0" borderId="69" xfId="1" applyNumberFormat="1" applyFont="1" applyFill="1" applyBorder="1" applyAlignment="1">
      <alignment horizontal="right"/>
    </xf>
    <xf numFmtId="3" fontId="1" fillId="0" borderId="9" xfId="1" applyNumberFormat="1" applyFont="1" applyFill="1" applyBorder="1" applyAlignment="1">
      <alignment horizontal="right"/>
    </xf>
    <xf numFmtId="3" fontId="1" fillId="0" borderId="9" xfId="0" applyNumberFormat="1" applyFont="1" applyFill="1" applyBorder="1"/>
    <xf numFmtId="3" fontId="3" fillId="0" borderId="160" xfId="0" applyNumberFormat="1" applyFont="1" applyFill="1" applyBorder="1" applyAlignment="1">
      <alignment horizontal="right"/>
    </xf>
    <xf numFmtId="0" fontId="1" fillId="0" borderId="16" xfId="0" applyFont="1" applyFill="1" applyBorder="1"/>
    <xf numFmtId="0" fontId="3" fillId="0" borderId="166" xfId="0" applyFont="1" applyFill="1" applyBorder="1" applyAlignment="1">
      <alignment horizontal="right"/>
    </xf>
    <xf numFmtId="0" fontId="1" fillId="0" borderId="68" xfId="0" applyFont="1" applyFill="1" applyBorder="1"/>
    <xf numFmtId="0" fontId="1" fillId="2" borderId="19" xfId="0" applyFont="1" applyFill="1" applyBorder="1"/>
    <xf numFmtId="0" fontId="3" fillId="0" borderId="161" xfId="0" applyFont="1" applyFill="1" applyBorder="1" applyAlignment="1">
      <alignment horizontal="right"/>
    </xf>
    <xf numFmtId="3" fontId="1" fillId="0" borderId="67" xfId="1" applyNumberFormat="1" applyFont="1" applyFill="1" applyBorder="1" applyAlignment="1">
      <alignment horizontal="right"/>
    </xf>
    <xf numFmtId="3" fontId="1" fillId="0" borderId="10" xfId="1" applyNumberFormat="1" applyFont="1" applyFill="1" applyBorder="1" applyAlignment="1">
      <alignment horizontal="right"/>
    </xf>
    <xf numFmtId="3" fontId="1" fillId="0" borderId="10" xfId="0" applyNumberFormat="1" applyFont="1" applyFill="1" applyBorder="1"/>
    <xf numFmtId="3" fontId="3" fillId="0" borderId="158" xfId="0" applyNumberFormat="1" applyFont="1" applyFill="1" applyBorder="1" applyAlignment="1">
      <alignment horizontal="right"/>
    </xf>
    <xf numFmtId="3" fontId="1" fillId="0" borderId="17" xfId="0" applyNumberFormat="1" applyFont="1" applyFill="1" applyBorder="1"/>
    <xf numFmtId="0" fontId="3" fillId="0" borderId="151" xfId="0" applyFont="1" applyFill="1" applyBorder="1" applyAlignment="1">
      <alignment horizontal="center"/>
    </xf>
    <xf numFmtId="0" fontId="3" fillId="0" borderId="150" xfId="0" applyFont="1" applyFill="1" applyBorder="1" applyAlignment="1">
      <alignment horizontal="center"/>
    </xf>
    <xf numFmtId="0" fontId="3" fillId="0" borderId="156" xfId="0" applyFont="1" applyFill="1" applyBorder="1" applyAlignment="1">
      <alignment horizontal="center"/>
    </xf>
    <xf numFmtId="3" fontId="1" fillId="0" borderId="18" xfId="0" applyNumberFormat="1" applyFont="1" applyFill="1" applyBorder="1"/>
    <xf numFmtId="1" fontId="1" fillId="4" borderId="0" xfId="2" applyNumberFormat="1" applyFont="1" applyFill="1" applyBorder="1" applyAlignment="1">
      <alignment horizontal="center"/>
    </xf>
    <xf numFmtId="10" fontId="1" fillId="4" borderId="0" xfId="2" applyFont="1" applyFill="1" applyBorder="1" applyAlignment="1">
      <alignment horizontal="center"/>
    </xf>
    <xf numFmtId="10" fontId="1" fillId="0" borderId="0" xfId="2" applyFont="1" applyFill="1" applyBorder="1" applyAlignment="1">
      <alignment horizontal="center"/>
    </xf>
    <xf numFmtId="1" fontId="1" fillId="4" borderId="0" xfId="0" applyNumberFormat="1" applyFont="1" applyFill="1" applyBorder="1" applyAlignment="1">
      <alignment horizontal="center"/>
    </xf>
    <xf numFmtId="2" fontId="1" fillId="0" borderId="8" xfId="0" applyNumberFormat="1" applyFont="1" applyFill="1" applyBorder="1"/>
    <xf numFmtId="2" fontId="3" fillId="4" borderId="166" xfId="0" applyNumberFormat="1" applyFont="1" applyFill="1" applyBorder="1" applyAlignment="1">
      <alignment horizontal="right"/>
    </xf>
    <xf numFmtId="0" fontId="1" fillId="4" borderId="16" xfId="0" applyFont="1" applyFill="1" applyBorder="1"/>
    <xf numFmtId="0" fontId="1" fillId="4" borderId="23" xfId="3" applyFont="1" applyFill="1" applyBorder="1"/>
    <xf numFmtId="0" fontId="1" fillId="4" borderId="28" xfId="3" applyFont="1" applyFill="1" applyBorder="1"/>
    <xf numFmtId="0" fontId="1" fillId="4" borderId="61" xfId="3" applyFont="1" applyFill="1" applyBorder="1"/>
    <xf numFmtId="3" fontId="3" fillId="4" borderId="108" xfId="1" applyNumberFormat="1" applyFont="1" applyFill="1" applyBorder="1" applyAlignment="1">
      <alignment horizontal="center"/>
    </xf>
    <xf numFmtId="10" fontId="1" fillId="0" borderId="37" xfId="2" applyFont="1" applyFill="1" applyBorder="1" applyAlignment="1">
      <alignment horizontal="center"/>
    </xf>
    <xf numFmtId="0" fontId="3" fillId="0" borderId="40" xfId="3" applyFont="1" applyBorder="1"/>
    <xf numFmtId="0" fontId="2" fillId="0" borderId="0" xfId="0" applyFont="1" applyFill="1" applyAlignment="1" applyProtection="1">
      <alignment horizontal="center"/>
    </xf>
    <xf numFmtId="0" fontId="3" fillId="0" borderId="13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61" xfId="0" applyBorder="1" applyAlignment="1">
      <alignment horizontal="left" indent="1"/>
    </xf>
    <xf numFmtId="0" fontId="0" fillId="0" borderId="28" xfId="0" applyBorder="1" applyAlignment="1">
      <alignment horizontal="left" indent="1"/>
    </xf>
    <xf numFmtId="0" fontId="0" fillId="0" borderId="32" xfId="0" applyBorder="1" applyAlignment="1">
      <alignment horizontal="left" indent="1"/>
    </xf>
    <xf numFmtId="0" fontId="0" fillId="0" borderId="41" xfId="0" applyBorder="1"/>
    <xf numFmtId="0" fontId="0" fillId="0" borderId="42" xfId="0" applyBorder="1"/>
    <xf numFmtId="0" fontId="0" fillId="0" borderId="6" xfId="0" applyBorder="1"/>
    <xf numFmtId="1" fontId="1" fillId="0" borderId="61" xfId="0" applyNumberFormat="1" applyFont="1" applyFill="1" applyBorder="1" applyAlignment="1">
      <alignment horizontal="left" indent="2"/>
    </xf>
    <xf numFmtId="10" fontId="0" fillId="0" borderId="55" xfId="0" applyNumberFormat="1" applyBorder="1"/>
    <xf numFmtId="10" fontId="0" fillId="0" borderId="56" xfId="0" applyNumberFormat="1" applyBorder="1"/>
    <xf numFmtId="10" fontId="0" fillId="0" borderId="27" xfId="0" applyNumberFormat="1" applyBorder="1"/>
    <xf numFmtId="0" fontId="1" fillId="0" borderId="23" xfId="0" applyFont="1" applyBorder="1" applyAlignment="1">
      <alignment horizontal="left" indent="2"/>
    </xf>
    <xf numFmtId="0" fontId="0" fillId="0" borderId="47" xfId="0" applyBorder="1"/>
    <xf numFmtId="10" fontId="0" fillId="0" borderId="48" xfId="0" applyNumberFormat="1" applyBorder="1"/>
    <xf numFmtId="10" fontId="0" fillId="0" borderId="48" xfId="2" applyFont="1" applyBorder="1"/>
    <xf numFmtId="0" fontId="0" fillId="0" borderId="51" xfId="0" applyBorder="1"/>
    <xf numFmtId="0" fontId="0" fillId="0" borderId="52" xfId="0" applyBorder="1"/>
    <xf numFmtId="0" fontId="0" fillId="0" borderId="39" xfId="0" applyBorder="1"/>
    <xf numFmtId="0" fontId="1" fillId="0" borderId="28" xfId="0" applyFont="1" applyBorder="1" applyAlignment="1">
      <alignment horizontal="left" indent="1"/>
    </xf>
    <xf numFmtId="0" fontId="0" fillId="0" borderId="55" xfId="0" applyBorder="1"/>
    <xf numFmtId="3" fontId="0" fillId="0" borderId="56" xfId="0" applyNumberFormat="1" applyBorder="1"/>
    <xf numFmtId="3" fontId="0" fillId="0" borderId="67" xfId="0" applyNumberFormat="1" applyBorder="1"/>
    <xf numFmtId="0" fontId="1" fillId="0" borderId="31" xfId="0" applyFont="1" applyBorder="1" applyAlignment="1">
      <alignment horizontal="left" indent="1"/>
    </xf>
    <xf numFmtId="0" fontId="1" fillId="0" borderId="81" xfId="0" applyFont="1" applyBorder="1" applyAlignment="1">
      <alignment horizontal="center"/>
    </xf>
    <xf numFmtId="0" fontId="6" fillId="0" borderId="83" xfId="0" applyFont="1" applyBorder="1"/>
    <xf numFmtId="3" fontId="6" fillId="0" borderId="84" xfId="0" applyNumberFormat="1" applyFont="1" applyBorder="1"/>
    <xf numFmtId="0" fontId="6" fillId="0" borderId="0" xfId="0" applyFont="1" applyBorder="1"/>
    <xf numFmtId="164" fontId="3" fillId="4" borderId="42" xfId="2" applyNumberFormat="1" applyFont="1" applyFill="1" applyBorder="1" applyAlignment="1">
      <alignment horizontal="center"/>
    </xf>
    <xf numFmtId="3" fontId="3" fillId="4" borderId="41" xfId="1" applyNumberFormat="1" applyFont="1" applyFill="1" applyBorder="1" applyAlignment="1">
      <alignment horizontal="center"/>
    </xf>
    <xf numFmtId="3" fontId="3" fillId="4" borderId="0" xfId="1" applyNumberFormat="1" applyFont="1" applyFill="1" applyBorder="1" applyAlignment="1">
      <alignment horizontal="center"/>
    </xf>
    <xf numFmtId="164" fontId="3" fillId="4" borderId="0" xfId="2" applyNumberFormat="1" applyFont="1" applyFill="1" applyBorder="1" applyAlignment="1">
      <alignment horizontal="center"/>
    </xf>
    <xf numFmtId="0" fontId="1" fillId="4" borderId="61" xfId="0" applyFont="1" applyFill="1" applyBorder="1" applyAlignment="1">
      <alignment horizontal="left" indent="1"/>
    </xf>
    <xf numFmtId="10" fontId="0" fillId="0" borderId="24" xfId="2" applyNumberFormat="1" applyFont="1" applyBorder="1"/>
    <xf numFmtId="10" fontId="0" fillId="0" borderId="26" xfId="2" applyFont="1" applyBorder="1"/>
    <xf numFmtId="0" fontId="1" fillId="4" borderId="32" xfId="0" applyFont="1" applyFill="1" applyBorder="1" applyAlignment="1">
      <alignment horizontal="left" indent="1"/>
    </xf>
    <xf numFmtId="0" fontId="0" fillId="0" borderId="36" xfId="0" applyBorder="1"/>
    <xf numFmtId="10" fontId="0" fillId="0" borderId="34" xfId="2" applyFont="1" applyBorder="1"/>
    <xf numFmtId="1" fontId="0" fillId="0" borderId="36" xfId="0" applyNumberFormat="1" applyBorder="1"/>
    <xf numFmtId="10" fontId="0" fillId="0" borderId="39" xfId="2" applyFont="1" applyBorder="1"/>
    <xf numFmtId="0" fontId="3" fillId="4" borderId="1" xfId="0" applyFont="1" applyFill="1" applyBorder="1"/>
    <xf numFmtId="0" fontId="0" fillId="0" borderId="56" xfId="0" applyBorder="1"/>
    <xf numFmtId="0" fontId="0" fillId="0" borderId="138" xfId="0" applyBorder="1"/>
    <xf numFmtId="0" fontId="0" fillId="0" borderId="27" xfId="0" applyBorder="1"/>
    <xf numFmtId="0" fontId="1" fillId="0" borderId="7" xfId="0" applyFont="1" applyBorder="1" applyAlignment="1">
      <alignment horizontal="left" wrapText="1" indent="3"/>
    </xf>
    <xf numFmtId="0" fontId="1" fillId="0" borderId="28" xfId="0" applyFont="1" applyBorder="1" applyAlignment="1">
      <alignment horizontal="left" wrapText="1" indent="3"/>
    </xf>
    <xf numFmtId="2" fontId="1" fillId="0" borderId="7" xfId="0" applyNumberFormat="1" applyFont="1" applyBorder="1" applyAlignment="1">
      <alignment horizontal="left" wrapText="1" indent="3"/>
    </xf>
    <xf numFmtId="0" fontId="0" fillId="0" borderId="173" xfId="0" applyBorder="1"/>
    <xf numFmtId="0" fontId="3" fillId="0" borderId="147" xfId="0" applyFont="1" applyBorder="1" applyAlignment="1">
      <alignment horizontal="left" indent="1"/>
    </xf>
    <xf numFmtId="0" fontId="3" fillId="4" borderId="61" xfId="0" applyFont="1" applyFill="1" applyBorder="1" applyAlignment="1">
      <alignment horizontal="left" indent="3"/>
    </xf>
    <xf numFmtId="0" fontId="0" fillId="0" borderId="68" xfId="0" applyBorder="1"/>
    <xf numFmtId="0" fontId="0" fillId="0" borderId="69" xfId="0" applyBorder="1"/>
    <xf numFmtId="0" fontId="0" fillId="0" borderId="70" xfId="0" applyBorder="1"/>
    <xf numFmtId="0" fontId="1" fillId="4" borderId="28" xfId="0" applyFont="1" applyFill="1" applyBorder="1" applyAlignment="1">
      <alignment horizontal="left" indent="5"/>
    </xf>
    <xf numFmtId="0" fontId="0" fillId="0" borderId="11" xfId="0" applyBorder="1"/>
    <xf numFmtId="0" fontId="0" fillId="0" borderId="9" xfId="0" applyBorder="1"/>
    <xf numFmtId="0" fontId="0" fillId="0" borderId="12" xfId="0" applyBorder="1"/>
    <xf numFmtId="0" fontId="3" fillId="4" borderId="28" xfId="0" applyFont="1" applyFill="1" applyBorder="1" applyAlignment="1">
      <alignment horizontal="left" indent="3"/>
    </xf>
    <xf numFmtId="0" fontId="1" fillId="4" borderId="7" xfId="0" applyFont="1" applyFill="1" applyBorder="1" applyAlignment="1">
      <alignment horizontal="left" indent="5"/>
    </xf>
    <xf numFmtId="0" fontId="0" fillId="0" borderId="19" xfId="0" applyBorder="1"/>
    <xf numFmtId="0" fontId="3" fillId="4" borderId="112" xfId="0" applyFont="1" applyFill="1" applyBorder="1" applyAlignment="1">
      <alignment horizontal="center"/>
    </xf>
    <xf numFmtId="0" fontId="2" fillId="0" borderId="161" xfId="0" applyFont="1" applyBorder="1"/>
    <xf numFmtId="0" fontId="2" fillId="0" borderId="160" xfId="0" applyFont="1" applyBorder="1"/>
    <xf numFmtId="0" fontId="3" fillId="4" borderId="112" xfId="0" applyFont="1" applyFill="1" applyBorder="1" applyAlignment="1">
      <alignment horizontal="left" indent="3"/>
    </xf>
    <xf numFmtId="10" fontId="0" fillId="0" borderId="9" xfId="2" applyFont="1" applyBorder="1"/>
    <xf numFmtId="10" fontId="0" fillId="0" borderId="12" xfId="2" applyFont="1" applyBorder="1"/>
    <xf numFmtId="10" fontId="0" fillId="0" borderId="17" xfId="2" applyFont="1" applyBorder="1"/>
    <xf numFmtId="10" fontId="0" fillId="0" borderId="20" xfId="2" applyFont="1" applyBorder="1"/>
    <xf numFmtId="0" fontId="0" fillId="0" borderId="25" xfId="0" applyBorder="1"/>
    <xf numFmtId="10" fontId="0" fillId="0" borderId="24" xfId="2" applyFont="1" applyBorder="1"/>
    <xf numFmtId="10" fontId="0" fillId="0" borderId="37" xfId="2" applyFont="1" applyBorder="1"/>
    <xf numFmtId="165" fontId="0" fillId="0" borderId="68" xfId="0" applyNumberFormat="1" applyBorder="1"/>
    <xf numFmtId="165" fontId="2" fillId="0" borderId="161" xfId="0" applyNumberFormat="1" applyFont="1" applyBorder="1"/>
    <xf numFmtId="0" fontId="3" fillId="0" borderId="0" xfId="0" applyFont="1" applyBorder="1" applyAlignment="1">
      <alignment horizontal="center"/>
    </xf>
    <xf numFmtId="0" fontId="3" fillId="2" borderId="161" xfId="0" applyFont="1" applyFill="1" applyBorder="1" applyAlignment="1">
      <alignment horizontal="right"/>
    </xf>
    <xf numFmtId="0" fontId="3" fillId="2" borderId="166" xfId="0" applyFont="1" applyFill="1" applyBorder="1" applyAlignment="1">
      <alignment horizontal="right"/>
    </xf>
    <xf numFmtId="166" fontId="1" fillId="0" borderId="8" xfId="0" applyNumberFormat="1" applyFont="1" applyFill="1" applyBorder="1"/>
    <xf numFmtId="166" fontId="1" fillId="0" borderId="16" xfId="0" applyNumberFormat="1" applyFont="1" applyFill="1" applyBorder="1"/>
    <xf numFmtId="166" fontId="3" fillId="0" borderId="166" xfId="0" applyNumberFormat="1" applyFont="1" applyFill="1" applyBorder="1" applyAlignment="1">
      <alignment horizontal="right"/>
    </xf>
    <xf numFmtId="3" fontId="3" fillId="4" borderId="113" xfId="1" applyNumberFormat="1" applyFont="1" applyFill="1" applyBorder="1" applyAlignment="1">
      <alignment horizontal="center"/>
    </xf>
    <xf numFmtId="165" fontId="1" fillId="4" borderId="27" xfId="0" applyNumberFormat="1" applyFont="1" applyFill="1" applyBorder="1" applyAlignment="1">
      <alignment horizontal="center"/>
    </xf>
    <xf numFmtId="3" fontId="3" fillId="4" borderId="29" xfId="1" applyNumberFormat="1" applyFont="1" applyFill="1" applyBorder="1" applyAlignment="1">
      <alignment horizontal="center"/>
    </xf>
    <xf numFmtId="1" fontId="1" fillId="0" borderId="7" xfId="0" applyNumberFormat="1" applyFont="1" applyFill="1" applyBorder="1" applyAlignment="1">
      <alignment horizontal="left" wrapText="1" indent="2"/>
    </xf>
    <xf numFmtId="0" fontId="1" fillId="0" borderId="32" xfId="0" applyFont="1" applyBorder="1" applyAlignment="1">
      <alignment horizontal="left" wrapText="1" indent="2"/>
    </xf>
    <xf numFmtId="0" fontId="1" fillId="4" borderId="61" xfId="0" applyFont="1" applyFill="1" applyBorder="1" applyAlignment="1">
      <alignment horizontal="left" wrapText="1" indent="2"/>
    </xf>
    <xf numFmtId="0" fontId="1" fillId="4" borderId="28" xfId="0" applyFont="1" applyFill="1" applyBorder="1" applyAlignment="1">
      <alignment horizontal="left" wrapText="1" indent="2"/>
    </xf>
    <xf numFmtId="0" fontId="1" fillId="4" borderId="32" xfId="0" applyFont="1" applyFill="1" applyBorder="1" applyAlignment="1">
      <alignment horizontal="left" wrapText="1" indent="2"/>
    </xf>
    <xf numFmtId="1" fontId="1" fillId="2" borderId="25" xfId="2" applyNumberFormat="1" applyFont="1" applyFill="1" applyBorder="1" applyAlignment="1">
      <alignment horizontal="center"/>
    </xf>
    <xf numFmtId="10" fontId="1" fillId="2" borderId="24" xfId="2" applyFont="1" applyFill="1" applyBorder="1" applyAlignment="1">
      <alignment horizontal="center"/>
    </xf>
    <xf numFmtId="1" fontId="1" fillId="2" borderId="11" xfId="2" applyNumberFormat="1" applyFont="1" applyFill="1" applyBorder="1" applyAlignment="1">
      <alignment horizontal="center"/>
    </xf>
    <xf numFmtId="10" fontId="1" fillId="2" borderId="9" xfId="2" applyFont="1" applyFill="1" applyBorder="1" applyAlignment="1">
      <alignment horizontal="center"/>
    </xf>
    <xf numFmtId="1" fontId="1" fillId="2" borderId="36" xfId="2" applyNumberFormat="1" applyFont="1" applyFill="1" applyBorder="1" applyAlignment="1">
      <alignment horizontal="center"/>
    </xf>
    <xf numFmtId="10" fontId="1" fillId="2" borderId="34" xfId="2" applyFont="1" applyFill="1" applyBorder="1" applyAlignment="1">
      <alignment horizontal="center"/>
    </xf>
    <xf numFmtId="165" fontId="1" fillId="4" borderId="55" xfId="0" applyNumberFormat="1" applyFont="1" applyFill="1" applyBorder="1" applyAlignment="1">
      <alignment horizontal="right"/>
    </xf>
    <xf numFmtId="1" fontId="1" fillId="0" borderId="0" xfId="0" applyNumberFormat="1" applyFont="1"/>
    <xf numFmtId="1" fontId="3" fillId="0" borderId="0" xfId="0" applyNumberFormat="1" applyFont="1"/>
    <xf numFmtId="0" fontId="1" fillId="0" borderId="67" xfId="0" applyFont="1" applyFill="1" applyBorder="1"/>
    <xf numFmtId="0" fontId="1" fillId="0" borderId="69" xfId="0" applyFont="1" applyFill="1" applyBorder="1"/>
    <xf numFmtId="0" fontId="1" fillId="0" borderId="39" xfId="0" applyFont="1" applyFill="1" applyBorder="1" applyAlignment="1">
      <alignment horizontal="center"/>
    </xf>
    <xf numFmtId="1" fontId="1" fillId="4" borderId="113" xfId="0" applyNumberFormat="1" applyFont="1" applyFill="1" applyBorder="1"/>
    <xf numFmtId="1" fontId="1" fillId="4" borderId="7" xfId="0" applyNumberFormat="1" applyFont="1" applyFill="1" applyBorder="1" applyAlignment="1">
      <alignment horizontal="left" indent="2"/>
    </xf>
    <xf numFmtId="0" fontId="1" fillId="4" borderId="61" xfId="3" applyFont="1" applyFill="1" applyBorder="1" applyAlignment="1">
      <alignment horizontal="left" indent="2"/>
    </xf>
    <xf numFmtId="10" fontId="1" fillId="4" borderId="29" xfId="2" applyFont="1" applyFill="1" applyBorder="1" applyAlignment="1">
      <alignment horizontal="center"/>
    </xf>
    <xf numFmtId="1" fontId="1" fillId="0" borderId="50" xfId="0" applyNumberFormat="1" applyFont="1" applyFill="1" applyBorder="1"/>
    <xf numFmtId="165" fontId="1" fillId="4" borderId="172" xfId="4" applyNumberFormat="1" applyFont="1" applyFill="1" applyBorder="1"/>
    <xf numFmtId="165" fontId="1" fillId="4" borderId="171" xfId="4" applyNumberFormat="1" applyFont="1" applyFill="1" applyBorder="1"/>
    <xf numFmtId="165" fontId="3" fillId="4" borderId="173" xfId="0" applyNumberFormat="1" applyFont="1" applyFill="1" applyBorder="1"/>
    <xf numFmtId="165" fontId="1" fillId="4" borderId="174" xfId="0" applyNumberFormat="1" applyFont="1" applyFill="1" applyBorder="1"/>
    <xf numFmtId="3" fontId="3" fillId="0" borderId="73" xfId="0" applyNumberFormat="1" applyFont="1" applyFill="1" applyBorder="1"/>
    <xf numFmtId="0" fontId="1" fillId="0" borderId="73" xfId="0" applyFont="1" applyBorder="1"/>
    <xf numFmtId="3" fontId="3" fillId="0" borderId="73" xfId="0" applyNumberFormat="1" applyFont="1" applyBorder="1"/>
    <xf numFmtId="1" fontId="0" fillId="0" borderId="138" xfId="0" applyNumberFormat="1" applyBorder="1"/>
    <xf numFmtId="1" fontId="0" fillId="0" borderId="45" xfId="0" applyNumberFormat="1" applyBorder="1"/>
    <xf numFmtId="1" fontId="0" fillId="0" borderId="25" xfId="0" applyNumberFormat="1" applyBorder="1"/>
    <xf numFmtId="1" fontId="0" fillId="0" borderId="68" xfId="0" applyNumberFormat="1" applyBorder="1"/>
    <xf numFmtId="1" fontId="0" fillId="0" borderId="98" xfId="0" applyNumberFormat="1" applyBorder="1"/>
    <xf numFmtId="3" fontId="0" fillId="0" borderId="48" xfId="0" applyNumberFormat="1" applyBorder="1"/>
    <xf numFmtId="0" fontId="0" fillId="0" borderId="128" xfId="0" applyBorder="1"/>
    <xf numFmtId="3" fontId="0" fillId="0" borderId="179" xfId="0" applyNumberFormat="1" applyBorder="1"/>
    <xf numFmtId="0" fontId="0" fillId="0" borderId="132" xfId="0" applyBorder="1"/>
    <xf numFmtId="0" fontId="0" fillId="0" borderId="129" xfId="0" applyBorder="1"/>
    <xf numFmtId="3" fontId="0" fillId="0" borderId="30" xfId="0" applyNumberFormat="1" applyBorder="1"/>
    <xf numFmtId="0" fontId="0" fillId="0" borderId="130" xfId="0" applyBorder="1"/>
    <xf numFmtId="0" fontId="2" fillId="0" borderId="163" xfId="0" applyFont="1" applyBorder="1"/>
    <xf numFmtId="0" fontId="3" fillId="0" borderId="86" xfId="0" applyFont="1" applyBorder="1" applyAlignment="1">
      <alignment horizontal="center"/>
    </xf>
    <xf numFmtId="0" fontId="0" fillId="0" borderId="86" xfId="0" applyBorder="1"/>
    <xf numFmtId="0" fontId="6" fillId="0" borderId="23" xfId="0" applyFont="1" applyBorder="1" applyAlignment="1">
      <alignment horizontal="left" indent="1"/>
    </xf>
    <xf numFmtId="0" fontId="6" fillId="0" borderId="28" xfId="0" applyFont="1" applyBorder="1" applyAlignment="1">
      <alignment horizontal="left" indent="1"/>
    </xf>
    <xf numFmtId="1" fontId="3" fillId="0" borderId="78" xfId="0" applyNumberFormat="1" applyFont="1" applyFill="1" applyBorder="1"/>
    <xf numFmtId="1" fontId="3" fillId="0" borderId="92" xfId="0" applyNumberFormat="1" applyFont="1" applyFill="1" applyBorder="1"/>
    <xf numFmtId="1" fontId="3" fillId="4" borderId="92" xfId="0" applyNumberFormat="1" applyFont="1" applyFill="1" applyBorder="1"/>
    <xf numFmtId="0" fontId="0" fillId="6" borderId="66" xfId="0" applyFill="1" applyBorder="1"/>
    <xf numFmtId="3" fontId="0" fillId="6" borderId="69" xfId="0" applyNumberFormat="1" applyFill="1" applyBorder="1"/>
    <xf numFmtId="3" fontId="0" fillId="6" borderId="67" xfId="0" applyNumberFormat="1" applyFill="1" applyBorder="1"/>
    <xf numFmtId="3" fontId="0" fillId="6" borderId="24" xfId="0" applyNumberFormat="1" applyFill="1" applyBorder="1"/>
    <xf numFmtId="0" fontId="0" fillId="6" borderId="36" xfId="0" applyFill="1" applyBorder="1"/>
    <xf numFmtId="10" fontId="0" fillId="6" borderId="34" xfId="2" applyFont="1" applyFill="1" applyBorder="1"/>
    <xf numFmtId="1" fontId="0" fillId="0" borderId="45" xfId="0" applyNumberFormat="1" applyBorder="1" applyAlignment="1">
      <alignment horizontal="center"/>
    </xf>
    <xf numFmtId="0" fontId="0" fillId="0" borderId="0" xfId="0" applyFill="1" applyBorder="1"/>
    <xf numFmtId="1" fontId="1" fillId="0" borderId="61" xfId="0" applyNumberFormat="1" applyFont="1" applyBorder="1" applyAlignment="1">
      <alignment horizontal="right"/>
    </xf>
    <xf numFmtId="1" fontId="3" fillId="6" borderId="111" xfId="0" applyNumberFormat="1" applyFont="1" applyFill="1" applyBorder="1" applyAlignment="1">
      <alignment horizontal="right"/>
    </xf>
    <xf numFmtId="1" fontId="3" fillId="6" borderId="24" xfId="0" applyNumberFormat="1" applyFont="1" applyFill="1" applyBorder="1" applyAlignment="1">
      <alignment horizontal="right"/>
    </xf>
    <xf numFmtId="1" fontId="0" fillId="0" borderId="68" xfId="0" applyNumberFormat="1" applyFill="1" applyBorder="1"/>
    <xf numFmtId="1" fontId="0" fillId="0" borderId="98" xfId="0" applyNumberFormat="1" applyFill="1" applyBorder="1"/>
    <xf numFmtId="1" fontId="1" fillId="0" borderId="61" xfId="0" applyNumberFormat="1" applyFont="1" applyFill="1" applyBorder="1" applyAlignment="1">
      <alignment horizontal="left"/>
    </xf>
    <xf numFmtId="10" fontId="7" fillId="0" borderId="47" xfId="2" applyFont="1" applyFill="1" applyBorder="1" applyAlignment="1">
      <alignment horizontal="right"/>
    </xf>
    <xf numFmtId="10" fontId="7" fillId="0" borderId="62" xfId="2" applyFont="1" applyFill="1" applyBorder="1" applyAlignment="1">
      <alignment horizontal="right"/>
    </xf>
    <xf numFmtId="10" fontId="7" fillId="0" borderId="51" xfId="2" applyFont="1" applyFill="1" applyBorder="1" applyAlignment="1">
      <alignment horizontal="right"/>
    </xf>
    <xf numFmtId="0" fontId="1" fillId="6" borderId="62" xfId="0" applyFont="1" applyFill="1" applyBorder="1" applyAlignment="1">
      <alignment horizontal="right"/>
    </xf>
    <xf numFmtId="164" fontId="1" fillId="6" borderId="9" xfId="2" applyNumberFormat="1" applyFont="1" applyFill="1" applyBorder="1" applyAlignment="1">
      <alignment horizontal="right"/>
    </xf>
    <xf numFmtId="0" fontId="1" fillId="6" borderId="64" xfId="0" applyFont="1" applyFill="1" applyBorder="1" applyAlignment="1">
      <alignment horizontal="right"/>
    </xf>
    <xf numFmtId="1" fontId="1" fillId="4" borderId="61" xfId="0" applyNumberFormat="1" applyFont="1" applyFill="1" applyBorder="1" applyAlignment="1">
      <alignment horizontal="left"/>
    </xf>
    <xf numFmtId="1" fontId="1" fillId="2" borderId="48" xfId="0" applyNumberFormat="1" applyFont="1" applyFill="1" applyBorder="1" applyAlignment="1">
      <alignment horizontal="right"/>
    </xf>
    <xf numFmtId="1" fontId="1" fillId="2" borderId="63" xfId="0" applyNumberFormat="1" applyFont="1" applyFill="1" applyBorder="1" applyAlignment="1">
      <alignment horizontal="right"/>
    </xf>
    <xf numFmtId="3" fontId="1" fillId="0" borderId="11" xfId="0" applyNumberFormat="1" applyFont="1" applyFill="1" applyBorder="1"/>
    <xf numFmtId="3" fontId="1" fillId="0" borderId="77" xfId="0" applyNumberFormat="1" applyFont="1" applyFill="1" applyBorder="1"/>
    <xf numFmtId="1" fontId="3" fillId="0" borderId="165" xfId="0" applyNumberFormat="1" applyFont="1" applyBorder="1" applyAlignment="1">
      <alignment horizontal="right"/>
    </xf>
    <xf numFmtId="1" fontId="3" fillId="0" borderId="123" xfId="0" applyNumberFormat="1" applyFont="1" applyBorder="1" applyAlignment="1">
      <alignment horizontal="right"/>
    </xf>
    <xf numFmtId="1" fontId="3" fillId="4" borderId="165" xfId="0" applyNumberFormat="1" applyFont="1" applyFill="1" applyBorder="1" applyAlignment="1">
      <alignment horizontal="right"/>
    </xf>
    <xf numFmtId="1" fontId="3" fillId="4" borderId="123" xfId="0" applyNumberFormat="1" applyFont="1" applyFill="1" applyBorder="1" applyAlignment="1">
      <alignment horizontal="right"/>
    </xf>
    <xf numFmtId="1" fontId="8" fillId="4" borderId="28" xfId="0" applyNumberFormat="1" applyFont="1" applyFill="1" applyBorder="1" applyAlignment="1">
      <alignment horizontal="left"/>
    </xf>
    <xf numFmtId="0" fontId="3" fillId="4" borderId="72" xfId="0" applyFont="1" applyFill="1" applyBorder="1" applyAlignment="1">
      <alignment horizontal="center"/>
    </xf>
    <xf numFmtId="0" fontId="1" fillId="4" borderId="125" xfId="0" applyFont="1" applyFill="1" applyBorder="1"/>
    <xf numFmtId="0" fontId="1" fillId="4" borderId="31" xfId="0" applyFont="1" applyFill="1" applyBorder="1"/>
    <xf numFmtId="9" fontId="6" fillId="0" borderId="8" xfId="2" applyNumberFormat="1" applyFill="1" applyBorder="1" applyAlignment="1">
      <alignment horizontal="right"/>
    </xf>
    <xf numFmtId="9" fontId="6" fillId="0" borderId="33" xfId="2" applyNumberFormat="1" applyFill="1" applyBorder="1" applyAlignment="1">
      <alignment horizontal="right"/>
    </xf>
    <xf numFmtId="9" fontId="1" fillId="4" borderId="44" xfId="0" applyNumberFormat="1" applyFont="1" applyFill="1" applyBorder="1" applyAlignment="1">
      <alignment horizontal="right"/>
    </xf>
    <xf numFmtId="9" fontId="1" fillId="4" borderId="43" xfId="0" applyNumberFormat="1" applyFont="1" applyFill="1" applyBorder="1" applyAlignment="1">
      <alignment horizontal="right"/>
    </xf>
    <xf numFmtId="9" fontId="1" fillId="4" borderId="52" xfId="0" applyNumberFormat="1" applyFont="1" applyFill="1" applyBorder="1" applyAlignment="1">
      <alignment horizontal="right"/>
    </xf>
    <xf numFmtId="9" fontId="1" fillId="4" borderId="51" xfId="0" applyNumberFormat="1" applyFont="1" applyFill="1" applyBorder="1" applyAlignment="1">
      <alignment horizontal="right"/>
    </xf>
    <xf numFmtId="0" fontId="1" fillId="4" borderId="46" xfId="0" applyFont="1" applyFill="1" applyBorder="1"/>
    <xf numFmtId="165" fontId="1" fillId="4" borderId="71" xfId="0" applyNumberFormat="1" applyFont="1" applyFill="1" applyBorder="1" applyAlignment="1">
      <alignment horizontal="right"/>
    </xf>
    <xf numFmtId="1" fontId="1" fillId="4" borderId="46" xfId="0" applyNumberFormat="1" applyFont="1" applyFill="1" applyBorder="1" applyAlignment="1">
      <alignment horizontal="right"/>
    </xf>
    <xf numFmtId="165" fontId="3" fillId="4" borderId="178" xfId="0" applyNumberFormat="1" applyFont="1" applyFill="1" applyBorder="1" applyAlignment="1">
      <alignment horizontal="right"/>
    </xf>
    <xf numFmtId="1" fontId="3" fillId="4" borderId="162" xfId="0" applyNumberFormat="1" applyFont="1" applyFill="1" applyBorder="1" applyAlignment="1">
      <alignment horizontal="right"/>
    </xf>
    <xf numFmtId="0" fontId="3" fillId="4" borderId="50" xfId="0" applyFont="1" applyFill="1" applyBorder="1" applyAlignment="1">
      <alignment horizontal="center"/>
    </xf>
    <xf numFmtId="165" fontId="1" fillId="4" borderId="87" xfId="0" applyNumberFormat="1" applyFont="1" applyFill="1" applyBorder="1" applyAlignment="1">
      <alignment horizontal="right"/>
    </xf>
    <xf numFmtId="165" fontId="1" fillId="4" borderId="57" xfId="3" applyNumberFormat="1" applyFont="1" applyFill="1" applyBorder="1" applyAlignment="1"/>
    <xf numFmtId="4" fontId="1" fillId="4" borderId="58" xfId="0" applyNumberFormat="1" applyFont="1" applyFill="1" applyBorder="1"/>
    <xf numFmtId="0" fontId="3" fillId="4" borderId="181" xfId="0" applyFont="1" applyFill="1" applyBorder="1" applyAlignment="1">
      <alignment horizontal="center"/>
    </xf>
    <xf numFmtId="164" fontId="1" fillId="4" borderId="30" xfId="2" applyNumberFormat="1" applyFont="1" applyFill="1" applyBorder="1" applyAlignment="1">
      <alignment horizontal="center"/>
    </xf>
    <xf numFmtId="165" fontId="1" fillId="4" borderId="124" xfId="0" applyNumberFormat="1" applyFont="1" applyFill="1" applyBorder="1" applyAlignment="1">
      <alignment horizontal="center"/>
    </xf>
    <xf numFmtId="165" fontId="1" fillId="4" borderId="46" xfId="0" applyNumberFormat="1" applyFont="1" applyFill="1" applyBorder="1" applyAlignment="1">
      <alignment horizontal="center"/>
    </xf>
    <xf numFmtId="1" fontId="1" fillId="0" borderId="27" xfId="0" applyNumberFormat="1" applyFont="1" applyFill="1" applyBorder="1"/>
    <xf numFmtId="1" fontId="1" fillId="4" borderId="138" xfId="0" applyNumberFormat="1" applyFont="1" applyFill="1" applyBorder="1"/>
    <xf numFmtId="1" fontId="1" fillId="4" borderId="49" xfId="0" applyNumberFormat="1" applyFont="1" applyFill="1" applyBorder="1"/>
    <xf numFmtId="1" fontId="1" fillId="4" borderId="53" xfId="0" applyNumberFormat="1" applyFont="1" applyFill="1" applyBorder="1"/>
    <xf numFmtId="1" fontId="3" fillId="4" borderId="165" xfId="0" applyNumberFormat="1" applyFont="1" applyFill="1" applyBorder="1"/>
    <xf numFmtId="1" fontId="1" fillId="6" borderId="46" xfId="0" applyNumberFormat="1" applyFont="1" applyFill="1" applyBorder="1"/>
    <xf numFmtId="1" fontId="1" fillId="6" borderId="14" xfId="0" applyNumberFormat="1" applyFont="1" applyFill="1" applyBorder="1"/>
    <xf numFmtId="1" fontId="3" fillId="6" borderId="109" xfId="0" applyNumberFormat="1" applyFont="1" applyFill="1" applyBorder="1"/>
    <xf numFmtId="1" fontId="3" fillId="6" borderId="89" xfId="0" applyNumberFormat="1" applyFont="1" applyFill="1" applyBorder="1"/>
    <xf numFmtId="1" fontId="1" fillId="6" borderId="70" xfId="0" applyNumberFormat="1" applyFont="1" applyFill="1" applyBorder="1" applyAlignment="1">
      <alignment horizontal="center"/>
    </xf>
    <xf numFmtId="1" fontId="1" fillId="6" borderId="12" xfId="0" applyNumberFormat="1" applyFont="1" applyFill="1" applyBorder="1" applyAlignment="1">
      <alignment horizontal="center"/>
    </xf>
    <xf numFmtId="1" fontId="1" fillId="6" borderId="70" xfId="0" applyNumberFormat="1" applyFont="1" applyFill="1" applyBorder="1"/>
    <xf numFmtId="10" fontId="1" fillId="6" borderId="46" xfId="2" applyFont="1" applyFill="1" applyBorder="1" applyAlignment="1">
      <alignment horizontal="center"/>
    </xf>
    <xf numFmtId="10" fontId="1" fillId="6" borderId="46" xfId="2" applyFont="1" applyFill="1" applyBorder="1" applyAlignment="1">
      <alignment horizontal="right"/>
    </xf>
    <xf numFmtId="10" fontId="1" fillId="6" borderId="39" xfId="2" applyFont="1" applyFill="1" applyBorder="1" applyAlignment="1">
      <alignment horizontal="right"/>
    </xf>
    <xf numFmtId="3" fontId="1" fillId="6" borderId="30" xfId="1" applyNumberFormat="1" applyFont="1" applyFill="1" applyBorder="1" applyAlignment="1">
      <alignment horizontal="right"/>
    </xf>
    <xf numFmtId="3" fontId="1" fillId="6" borderId="58" xfId="0" applyNumberFormat="1" applyFont="1" applyFill="1" applyBorder="1"/>
    <xf numFmtId="1" fontId="3" fillId="6" borderId="89" xfId="0" applyNumberFormat="1" applyFont="1" applyFill="1" applyBorder="1" applyAlignment="1">
      <alignment horizontal="right"/>
    </xf>
    <xf numFmtId="10" fontId="1" fillId="6" borderId="30" xfId="2" applyFont="1" applyFill="1" applyBorder="1" applyAlignment="1">
      <alignment horizontal="right"/>
    </xf>
    <xf numFmtId="3" fontId="3" fillId="6" borderId="85" xfId="0" applyNumberFormat="1" applyFont="1" applyFill="1" applyBorder="1"/>
    <xf numFmtId="1" fontId="3" fillId="0" borderId="111" xfId="0" applyNumberFormat="1" applyFont="1" applyFill="1" applyBorder="1" applyAlignment="1">
      <alignment horizontal="right"/>
    </xf>
    <xf numFmtId="3" fontId="1" fillId="0" borderId="48" xfId="6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" fontId="3" fillId="6" borderId="109" xfId="0" applyNumberFormat="1" applyFont="1" applyFill="1" applyBorder="1" applyAlignment="1">
      <alignment horizontal="right"/>
    </xf>
    <xf numFmtId="1" fontId="1" fillId="6" borderId="37" xfId="0" applyNumberFormat="1" applyFont="1" applyFill="1" applyBorder="1" applyAlignment="1">
      <alignment horizontal="right"/>
    </xf>
    <xf numFmtId="0" fontId="3" fillId="6" borderId="13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1" fontId="1" fillId="6" borderId="29" xfId="0" applyNumberFormat="1" applyFont="1" applyFill="1" applyBorder="1"/>
    <xf numFmtId="0" fontId="1" fillId="6" borderId="30" xfId="0" applyNumberFormat="1" applyFont="1" applyFill="1" applyBorder="1"/>
    <xf numFmtId="165" fontId="1" fillId="6" borderId="57" xfId="3" applyNumberFormat="1" applyFont="1" applyFill="1" applyBorder="1" applyAlignment="1"/>
    <xf numFmtId="1" fontId="1" fillId="6" borderId="58" xfId="0" applyNumberFormat="1" applyFont="1" applyFill="1" applyBorder="1"/>
    <xf numFmtId="1" fontId="1" fillId="6" borderId="176" xfId="0" applyNumberFormat="1" applyFont="1" applyFill="1" applyBorder="1"/>
    <xf numFmtId="4" fontId="1" fillId="6" borderId="58" xfId="0" applyNumberFormat="1" applyFont="1" applyFill="1" applyBorder="1"/>
    <xf numFmtId="0" fontId="3" fillId="6" borderId="181" xfId="0" applyFont="1" applyFill="1" applyBorder="1" applyAlignment="1">
      <alignment horizontal="center"/>
    </xf>
    <xf numFmtId="0" fontId="3" fillId="6" borderId="156" xfId="0" applyFont="1" applyFill="1" applyBorder="1" applyAlignment="1">
      <alignment horizontal="center"/>
    </xf>
    <xf numFmtId="0" fontId="1" fillId="6" borderId="133" xfId="0" applyFont="1" applyFill="1" applyBorder="1"/>
    <xf numFmtId="0" fontId="1" fillId="6" borderId="70" xfId="0" applyFont="1" applyFill="1" applyBorder="1"/>
    <xf numFmtId="165" fontId="1" fillId="6" borderId="71" xfId="0" applyNumberFormat="1" applyFont="1" applyFill="1" applyBorder="1"/>
    <xf numFmtId="1" fontId="1" fillId="6" borderId="70" xfId="0" applyNumberFormat="1" applyFont="1" applyFill="1" applyBorder="1" applyAlignment="1">
      <alignment horizontal="right"/>
    </xf>
    <xf numFmtId="165" fontId="1" fillId="6" borderId="121" xfId="0" applyNumberFormat="1" applyFont="1" applyFill="1" applyBorder="1"/>
    <xf numFmtId="1" fontId="1" fillId="6" borderId="75" xfId="0" applyNumberFormat="1" applyFont="1" applyFill="1" applyBorder="1" applyAlignment="1">
      <alignment horizontal="right"/>
    </xf>
    <xf numFmtId="165" fontId="3" fillId="6" borderId="178" xfId="0" applyNumberFormat="1" applyFont="1" applyFill="1" applyBorder="1"/>
    <xf numFmtId="1" fontId="3" fillId="6" borderId="163" xfId="0" applyNumberFormat="1" applyFont="1" applyFill="1" applyBorder="1" applyAlignment="1">
      <alignment horizontal="right"/>
    </xf>
    <xf numFmtId="0" fontId="3" fillId="6" borderId="164" xfId="0" applyFont="1" applyFill="1" applyBorder="1" applyAlignment="1">
      <alignment horizontal="center"/>
    </xf>
    <xf numFmtId="0" fontId="3" fillId="6" borderId="133" xfId="0" applyFont="1" applyFill="1" applyBorder="1" applyAlignment="1">
      <alignment horizontal="center"/>
    </xf>
    <xf numFmtId="0" fontId="3" fillId="6" borderId="70" xfId="0" applyFont="1" applyFill="1" applyBorder="1" applyAlignment="1">
      <alignment horizontal="center"/>
    </xf>
    <xf numFmtId="1" fontId="1" fillId="6" borderId="71" xfId="0" applyNumberFormat="1" applyFont="1" applyFill="1" applyBorder="1"/>
    <xf numFmtId="164" fontId="1" fillId="6" borderId="12" xfId="0" applyNumberFormat="1" applyFont="1" applyFill="1" applyBorder="1"/>
    <xf numFmtId="1" fontId="1" fillId="6" borderId="121" xfId="0" applyNumberFormat="1" applyFont="1" applyFill="1" applyBorder="1"/>
    <xf numFmtId="164" fontId="1" fillId="6" borderId="20" xfId="0" applyNumberFormat="1" applyFont="1" applyFill="1" applyBorder="1"/>
    <xf numFmtId="1" fontId="1" fillId="6" borderId="116" xfId="0" applyNumberFormat="1" applyFont="1" applyFill="1" applyBorder="1"/>
    <xf numFmtId="164" fontId="1" fillId="6" borderId="26" xfId="0" applyNumberFormat="1" applyFont="1" applyFill="1" applyBorder="1"/>
    <xf numFmtId="1" fontId="1" fillId="6" borderId="87" xfId="0" applyNumberFormat="1" applyFont="1" applyFill="1" applyBorder="1"/>
    <xf numFmtId="164" fontId="1" fillId="6" borderId="37" xfId="0" applyNumberFormat="1" applyFont="1" applyFill="1" applyBorder="1"/>
    <xf numFmtId="1" fontId="3" fillId="0" borderId="79" xfId="0" applyNumberFormat="1" applyFont="1" applyBorder="1" applyAlignment="1">
      <alignment horizontal="right"/>
    </xf>
    <xf numFmtId="0" fontId="1" fillId="0" borderId="48" xfId="0" applyFont="1" applyFill="1" applyBorder="1"/>
    <xf numFmtId="3" fontId="1" fillId="0" borderId="68" xfId="0" applyNumberFormat="1" applyFont="1" applyFill="1" applyBorder="1"/>
    <xf numFmtId="1" fontId="3" fillId="0" borderId="123" xfId="0" applyNumberFormat="1" applyFont="1" applyFill="1" applyBorder="1" applyAlignment="1">
      <alignment horizontal="right"/>
    </xf>
    <xf numFmtId="0" fontId="3" fillId="0" borderId="181" xfId="0" applyFont="1" applyBorder="1" applyAlignment="1">
      <alignment horizontal="center" wrapText="1"/>
    </xf>
    <xf numFmtId="0" fontId="3" fillId="0" borderId="137" xfId="0" applyFont="1" applyBorder="1" applyAlignment="1">
      <alignment horizontal="center" wrapText="1"/>
    </xf>
    <xf numFmtId="0" fontId="1" fillId="6" borderId="12" xfId="0" applyFont="1" applyFill="1" applyBorder="1"/>
    <xf numFmtId="1" fontId="1" fillId="6" borderId="90" xfId="0" applyNumberFormat="1" applyFont="1" applyFill="1" applyBorder="1" applyAlignment="1">
      <alignment horizontal="right"/>
    </xf>
    <xf numFmtId="1" fontId="3" fillId="6" borderId="26" xfId="0" applyNumberFormat="1" applyFont="1" applyFill="1" applyBorder="1" applyAlignment="1">
      <alignment horizontal="right"/>
    </xf>
    <xf numFmtId="1" fontId="1" fillId="6" borderId="114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" fontId="6" fillId="0" borderId="0" xfId="0" applyNumberFormat="1" applyFont="1"/>
    <xf numFmtId="9" fontId="1" fillId="6" borderId="46" xfId="0" applyNumberFormat="1" applyFont="1" applyFill="1" applyBorder="1" applyAlignment="1">
      <alignment horizontal="right"/>
    </xf>
    <xf numFmtId="9" fontId="1" fillId="6" borderId="39" xfId="0" applyNumberFormat="1" applyFont="1" applyFill="1" applyBorder="1" applyAlignment="1">
      <alignment horizontal="right"/>
    </xf>
    <xf numFmtId="0" fontId="1" fillId="6" borderId="46" xfId="0" applyFont="1" applyFill="1" applyBorder="1" applyAlignment="1">
      <alignment horizontal="right"/>
    </xf>
    <xf numFmtId="0" fontId="1" fillId="6" borderId="30" xfId="0" applyFont="1" applyFill="1" applyBorder="1" applyAlignment="1">
      <alignment horizontal="right"/>
    </xf>
    <xf numFmtId="10" fontId="0" fillId="6" borderId="48" xfId="0" applyNumberFormat="1" applyFill="1" applyBorder="1"/>
    <xf numFmtId="10" fontId="0" fillId="6" borderId="48" xfId="2" applyFont="1" applyFill="1" applyBorder="1"/>
    <xf numFmtId="0" fontId="3" fillId="0" borderId="129" xfId="0" applyFont="1" applyBorder="1" applyAlignment="1">
      <alignment horizontal="center" wrapText="1"/>
    </xf>
    <xf numFmtId="1" fontId="0" fillId="6" borderId="27" xfId="0" applyNumberFormat="1" applyFill="1" applyBorder="1"/>
    <xf numFmtId="1" fontId="0" fillId="6" borderId="46" xfId="0" applyNumberFormat="1" applyFill="1" applyBorder="1" applyAlignment="1">
      <alignment horizontal="center"/>
    </xf>
    <xf numFmtId="1" fontId="0" fillId="6" borderId="46" xfId="0" applyNumberFormat="1" applyFill="1" applyBorder="1"/>
    <xf numFmtId="0" fontId="0" fillId="6" borderId="30" xfId="0" applyFill="1" applyBorder="1"/>
    <xf numFmtId="1" fontId="0" fillId="0" borderId="45" xfId="0" applyNumberFormat="1" applyFill="1" applyBorder="1"/>
    <xf numFmtId="1" fontId="0" fillId="0" borderId="45" xfId="0" applyNumberFormat="1" applyFill="1" applyBorder="1" applyAlignment="1">
      <alignment horizontal="center"/>
    </xf>
    <xf numFmtId="1" fontId="4" fillId="4" borderId="28" xfId="0" applyNumberFormat="1" applyFont="1" applyFill="1" applyBorder="1" applyAlignment="1">
      <alignment horizontal="left"/>
    </xf>
    <xf numFmtId="1" fontId="4" fillId="0" borderId="61" xfId="0" applyNumberFormat="1" applyFont="1" applyFill="1" applyBorder="1"/>
    <xf numFmtId="1" fontId="1" fillId="0" borderId="132" xfId="0" applyNumberFormat="1" applyFont="1" applyFill="1" applyBorder="1" applyAlignment="1">
      <alignment horizontal="right"/>
    </xf>
    <xf numFmtId="1" fontId="1" fillId="0" borderId="129" xfId="0" applyNumberFormat="1" applyFont="1" applyFill="1" applyBorder="1" applyAlignment="1">
      <alignment horizontal="right"/>
    </xf>
    <xf numFmtId="1" fontId="1" fillId="0" borderId="131" xfId="0" applyNumberFormat="1" applyFont="1" applyFill="1" applyBorder="1" applyAlignment="1">
      <alignment horizontal="right"/>
    </xf>
    <xf numFmtId="1" fontId="1" fillId="6" borderId="130" xfId="0" applyNumberFormat="1" applyFont="1" applyFill="1" applyBorder="1" applyAlignment="1">
      <alignment horizontal="right"/>
    </xf>
    <xf numFmtId="1" fontId="1" fillId="0" borderId="46" xfId="0" applyNumberFormat="1" applyFont="1" applyBorder="1"/>
    <xf numFmtId="1" fontId="1" fillId="4" borderId="183" xfId="0" applyNumberFormat="1" applyFont="1" applyFill="1" applyBorder="1"/>
    <xf numFmtId="1" fontId="1" fillId="4" borderId="180" xfId="0" applyNumberFormat="1" applyFont="1" applyFill="1" applyBorder="1"/>
    <xf numFmtId="10" fontId="1" fillId="6" borderId="44" xfId="2" applyFont="1" applyFill="1" applyBorder="1" applyAlignment="1">
      <alignment horizontal="center"/>
    </xf>
    <xf numFmtId="10" fontId="1" fillId="6" borderId="44" xfId="2" applyFont="1" applyFill="1" applyBorder="1" applyAlignment="1">
      <alignment horizontal="right"/>
    </xf>
    <xf numFmtId="10" fontId="1" fillId="6" borderId="52" xfId="2" applyFont="1" applyFill="1" applyBorder="1" applyAlignment="1">
      <alignment horizontal="right"/>
    </xf>
    <xf numFmtId="1" fontId="3" fillId="0" borderId="74" xfId="0" applyNumberFormat="1" applyFont="1" applyBorder="1" applyAlignment="1">
      <alignment horizontal="right"/>
    </xf>
    <xf numFmtId="1" fontId="3" fillId="0" borderId="146" xfId="0" applyNumberFormat="1" applyFont="1" applyBorder="1" applyAlignment="1">
      <alignment horizontal="right"/>
    </xf>
    <xf numFmtId="1" fontId="3" fillId="0" borderId="122" xfId="0" applyNumberFormat="1" applyFont="1" applyBorder="1" applyAlignment="1">
      <alignment horizontal="right"/>
    </xf>
    <xf numFmtId="1" fontId="3" fillId="6" borderId="75" xfId="0" applyNumberFormat="1" applyFont="1" applyFill="1" applyBorder="1" applyAlignment="1">
      <alignment horizontal="right"/>
    </xf>
    <xf numFmtId="1" fontId="3" fillId="0" borderId="13" xfId="0" applyNumberFormat="1" applyFont="1" applyBorder="1"/>
    <xf numFmtId="1" fontId="3" fillId="0" borderId="124" xfId="0" applyNumberFormat="1" applyFont="1" applyFill="1" applyBorder="1"/>
    <xf numFmtId="1" fontId="0" fillId="0" borderId="25" xfId="0" applyNumberFormat="1" applyFill="1" applyBorder="1"/>
    <xf numFmtId="10" fontId="1" fillId="0" borderId="43" xfId="2" applyFont="1" applyFill="1" applyBorder="1" applyAlignment="1">
      <alignment horizontal="right"/>
    </xf>
    <xf numFmtId="10" fontId="1" fillId="0" borderId="51" xfId="2" applyFont="1" applyFill="1" applyBorder="1" applyAlignment="1">
      <alignment horizontal="right"/>
    </xf>
    <xf numFmtId="0" fontId="1" fillId="0" borderId="55" xfId="0" applyFont="1" applyFill="1" applyBorder="1" applyAlignment="1">
      <alignment horizontal="right"/>
    </xf>
    <xf numFmtId="0" fontId="1" fillId="0" borderId="51" xfId="0" applyFont="1" applyFill="1" applyBorder="1" applyAlignment="1">
      <alignment horizontal="right"/>
    </xf>
    <xf numFmtId="0" fontId="3" fillId="0" borderId="153" xfId="0" applyFont="1" applyFill="1" applyBorder="1" applyAlignment="1">
      <alignment horizontal="center"/>
    </xf>
    <xf numFmtId="165" fontId="3" fillId="0" borderId="161" xfId="0" applyNumberFormat="1" applyFont="1" applyFill="1" applyBorder="1" applyAlignment="1">
      <alignment horizontal="right"/>
    </xf>
    <xf numFmtId="0" fontId="3" fillId="0" borderId="136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165" fontId="1" fillId="0" borderId="58" xfId="0" applyNumberFormat="1" applyFont="1" applyFill="1" applyBorder="1" applyAlignment="1">
      <alignment horizontal="center"/>
    </xf>
    <xf numFmtId="165" fontId="1" fillId="0" borderId="39" xfId="0" applyNumberFormat="1" applyFont="1" applyFill="1" applyBorder="1" applyAlignment="1">
      <alignment horizontal="center"/>
    </xf>
    <xf numFmtId="3" fontId="1" fillId="0" borderId="58" xfId="0" applyNumberFormat="1" applyFont="1" applyFill="1" applyBorder="1"/>
    <xf numFmtId="3" fontId="3" fillId="0" borderId="39" xfId="0" applyNumberFormat="1" applyFont="1" applyFill="1" applyBorder="1"/>
    <xf numFmtId="3" fontId="0" fillId="6" borderId="27" xfId="0" applyNumberFormat="1" applyFill="1" applyBorder="1"/>
    <xf numFmtId="3" fontId="0" fillId="6" borderId="30" xfId="0" applyNumberFormat="1" applyFill="1" applyBorder="1"/>
    <xf numFmtId="3" fontId="0" fillId="6" borderId="180" xfId="0" applyNumberFormat="1" applyFill="1" applyBorder="1"/>
    <xf numFmtId="3" fontId="6" fillId="6" borderId="85" xfId="0" applyNumberFormat="1" applyFont="1" applyFill="1" applyBorder="1"/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120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4" borderId="41" xfId="0" applyFont="1" applyFill="1" applyBorder="1" applyAlignment="1">
      <alignment horizontal="center"/>
    </xf>
    <xf numFmtId="0" fontId="3" fillId="4" borderId="42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4" borderId="41" xfId="3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64" fontId="1" fillId="0" borderId="53" xfId="3" applyNumberFormat="1" applyFont="1" applyFill="1" applyBorder="1" applyAlignment="1"/>
    <xf numFmtId="164" fontId="1" fillId="0" borderId="39" xfId="3" applyNumberFormat="1" applyFont="1" applyFill="1" applyBorder="1" applyAlignment="1"/>
    <xf numFmtId="164" fontId="1" fillId="0" borderId="52" xfId="3" applyNumberFormat="1" applyFont="1" applyFill="1" applyBorder="1" applyAlignment="1"/>
    <xf numFmtId="164" fontId="1" fillId="0" borderId="38" xfId="3" applyNumberFormat="1" applyFont="1" applyBorder="1" applyAlignment="1"/>
    <xf numFmtId="164" fontId="1" fillId="0" borderId="39" xfId="3" applyNumberFormat="1" applyFont="1" applyBorder="1" applyAlignment="1"/>
    <xf numFmtId="164" fontId="1" fillId="0" borderId="51" xfId="3" applyNumberFormat="1" applyFont="1" applyBorder="1" applyAlignment="1"/>
    <xf numFmtId="164" fontId="1" fillId="0" borderId="52" xfId="3" applyNumberFormat="1" applyFont="1" applyBorder="1" applyAlignment="1"/>
    <xf numFmtId="164" fontId="1" fillId="0" borderId="53" xfId="3" applyNumberFormat="1" applyFont="1" applyBorder="1" applyAlignment="1"/>
    <xf numFmtId="0" fontId="1" fillId="4" borderId="42" xfId="0" applyFont="1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3" fillId="0" borderId="119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68" xfId="0" applyFont="1" applyBorder="1" applyAlignment="1">
      <alignment horizontal="center"/>
    </xf>
    <xf numFmtId="0" fontId="3" fillId="0" borderId="169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64" fontId="1" fillId="4" borderId="51" xfId="3" applyNumberFormat="1" applyFont="1" applyFill="1" applyBorder="1" applyAlignment="1"/>
    <xf numFmtId="164" fontId="1" fillId="4" borderId="52" xfId="3" applyNumberFormat="1" applyFont="1" applyFill="1" applyBorder="1" applyAlignment="1"/>
    <xf numFmtId="164" fontId="1" fillId="4" borderId="53" xfId="3" applyNumberFormat="1" applyFont="1" applyFill="1" applyBorder="1" applyAlignment="1"/>
    <xf numFmtId="164" fontId="1" fillId="4" borderId="39" xfId="3" applyNumberFormat="1" applyFont="1" applyFill="1" applyBorder="1" applyAlignment="1"/>
    <xf numFmtId="0" fontId="3" fillId="0" borderId="18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2" borderId="51" xfId="3" applyNumberFormat="1" applyFont="1" applyFill="1" applyBorder="1" applyAlignment="1"/>
    <xf numFmtId="164" fontId="1" fillId="2" borderId="52" xfId="3" applyNumberFormat="1" applyFont="1" applyFill="1" applyBorder="1" applyAlignment="1"/>
    <xf numFmtId="164" fontId="1" fillId="2" borderId="53" xfId="3" applyNumberFormat="1" applyFont="1" applyFill="1" applyBorder="1" applyAlignment="1"/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18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42" xfId="3" applyFont="1" applyFill="1" applyBorder="1" applyAlignment="1">
      <alignment horizontal="center"/>
    </xf>
    <xf numFmtId="0" fontId="3" fillId="4" borderId="120" xfId="3" applyFont="1" applyFill="1" applyBorder="1" applyAlignment="1">
      <alignment horizontal="center"/>
    </xf>
    <xf numFmtId="0" fontId="3" fillId="4" borderId="12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8">
    <cellStyle name="Comma" xfId="1" builtinId="3"/>
    <cellStyle name="Comma 3" xfId="6"/>
    <cellStyle name="Normal" xfId="0" builtinId="0"/>
    <cellStyle name="Normal 4" xfId="5"/>
    <cellStyle name="Normal 4 2" xfId="7"/>
    <cellStyle name="Normal_Accounting" xfId="3"/>
    <cellStyle name="Percent" xfId="2" builtinId="5"/>
    <cellStyle name="Percent_Accounting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5"/>
  <sheetViews>
    <sheetView view="pageBreakPreview" zoomScale="85" zoomScaleNormal="100" zoomScaleSheetLayoutView="85" workbookViewId="0">
      <pane xSplit="1" topLeftCell="T1" activePane="topRight" state="frozen"/>
      <selection activeCell="T36" sqref="T36:U36"/>
      <selection pane="topRight" activeCell="T36" sqref="T36:U36"/>
    </sheetView>
  </sheetViews>
  <sheetFormatPr defaultRowHeight="12.75" x14ac:dyDescent="0.2"/>
  <cols>
    <col min="1" max="1" width="41.7109375" customWidth="1"/>
    <col min="2" max="2" width="6.7109375" hidden="1" customWidth="1"/>
    <col min="3" max="3" width="10.7109375" hidden="1" customWidth="1"/>
    <col min="4" max="4" width="6.7109375" hidden="1" customWidth="1"/>
    <col min="5" max="5" width="10.7109375" hidden="1" customWidth="1"/>
    <col min="6" max="6" width="6.7109375" customWidth="1"/>
    <col min="7" max="7" width="10.7109375" customWidth="1"/>
    <col min="8" max="8" width="6.7109375" customWidth="1"/>
    <col min="9" max="9" width="10.7109375" customWidth="1"/>
    <col min="10" max="10" width="6.7109375" customWidth="1"/>
    <col min="11" max="11" width="10.7109375" customWidth="1"/>
    <col min="12" max="12" width="6.7109375" customWidth="1"/>
    <col min="13" max="13" width="10.7109375" customWidth="1"/>
    <col min="14" max="14" width="6.7109375" customWidth="1"/>
    <col min="15" max="15" width="10.7109375" customWidth="1"/>
    <col min="16" max="16" width="6.7109375" customWidth="1"/>
    <col min="17" max="17" width="10.7109375" customWidth="1"/>
    <col min="18" max="18" width="6.7109375" customWidth="1"/>
    <col min="19" max="19" width="10.7109375" customWidth="1"/>
    <col min="20" max="20" width="6.7109375" style="564" customWidth="1"/>
    <col min="21" max="21" width="10.7109375" customWidth="1"/>
    <col min="22" max="22" width="3.140625" customWidth="1"/>
    <col min="23" max="23" width="6.7109375" customWidth="1"/>
    <col min="24" max="24" width="10.7109375" customWidth="1"/>
  </cols>
  <sheetData>
    <row r="1" spans="1:26" ht="15.75" x14ac:dyDescent="0.25">
      <c r="A1" s="667" t="s">
        <v>240</v>
      </c>
    </row>
    <row r="2" spans="1:26" ht="15.75" x14ac:dyDescent="0.25">
      <c r="A2" s="667" t="s">
        <v>241</v>
      </c>
    </row>
    <row r="3" spans="1:26" ht="4.5" customHeight="1" x14ac:dyDescent="0.25">
      <c r="A3" s="667"/>
    </row>
    <row r="4" spans="1:26" ht="15.75" x14ac:dyDescent="0.25">
      <c r="A4" s="668" t="s">
        <v>261</v>
      </c>
    </row>
    <row r="5" spans="1:26" ht="6.75" customHeight="1" x14ac:dyDescent="0.2">
      <c r="A5" s="669"/>
    </row>
    <row r="6" spans="1:26" ht="16.5" customHeight="1" x14ac:dyDescent="0.2">
      <c r="A6" s="3" t="s">
        <v>169</v>
      </c>
    </row>
    <row r="7" spans="1:26" x14ac:dyDescent="0.2">
      <c r="A7" s="669"/>
    </row>
    <row r="8" spans="1:26" ht="13.5" thickBot="1" x14ac:dyDescent="0.25">
      <c r="A8" s="743"/>
    </row>
    <row r="9" spans="1:26" ht="15" customHeight="1" thickTop="1" x14ac:dyDescent="0.2">
      <c r="A9" s="551"/>
      <c r="B9" s="1401" t="s">
        <v>0</v>
      </c>
      <c r="C9" s="1397"/>
      <c r="D9" s="1401" t="s">
        <v>1</v>
      </c>
      <c r="E9" s="1398"/>
      <c r="F9" s="1397" t="s">
        <v>2</v>
      </c>
      <c r="G9" s="1398"/>
      <c r="H9" s="1397" t="s">
        <v>3</v>
      </c>
      <c r="I9" s="1398"/>
      <c r="J9" s="1397" t="s">
        <v>4</v>
      </c>
      <c r="K9" s="1398"/>
      <c r="L9" s="1397" t="s">
        <v>5</v>
      </c>
      <c r="M9" s="1398"/>
      <c r="N9" s="1397" t="s">
        <v>6</v>
      </c>
      <c r="O9" s="1398"/>
      <c r="P9" s="1397" t="s">
        <v>7</v>
      </c>
      <c r="Q9" s="1398"/>
      <c r="R9" s="1397" t="s">
        <v>8</v>
      </c>
      <c r="S9" s="1398"/>
      <c r="T9" s="1401" t="s">
        <v>301</v>
      </c>
      <c r="U9" s="1402"/>
      <c r="W9" s="1399" t="s">
        <v>9</v>
      </c>
      <c r="X9" s="1400"/>
    </row>
    <row r="10" spans="1:26" ht="15" customHeight="1" x14ac:dyDescent="0.2">
      <c r="A10" s="552"/>
      <c r="B10" s="68" t="s">
        <v>287</v>
      </c>
      <c r="C10" s="8" t="s">
        <v>10</v>
      </c>
      <c r="D10" s="68" t="s">
        <v>287</v>
      </c>
      <c r="E10" s="8" t="s">
        <v>10</v>
      </c>
      <c r="F10" s="68" t="s">
        <v>287</v>
      </c>
      <c r="G10" s="8" t="s">
        <v>10</v>
      </c>
      <c r="H10" s="68" t="s">
        <v>287</v>
      </c>
      <c r="I10" s="8" t="s">
        <v>10</v>
      </c>
      <c r="J10" s="68" t="s">
        <v>287</v>
      </c>
      <c r="K10" s="8" t="s">
        <v>10</v>
      </c>
      <c r="L10" s="68" t="s">
        <v>287</v>
      </c>
      <c r="M10" s="8" t="s">
        <v>10</v>
      </c>
      <c r="N10" s="68" t="s">
        <v>287</v>
      </c>
      <c r="O10" s="8" t="s">
        <v>10</v>
      </c>
      <c r="P10" s="68" t="s">
        <v>287</v>
      </c>
      <c r="Q10" s="8" t="s">
        <v>10</v>
      </c>
      <c r="R10" s="68" t="s">
        <v>287</v>
      </c>
      <c r="S10" s="8" t="s">
        <v>10</v>
      </c>
      <c r="T10" s="559" t="s">
        <v>287</v>
      </c>
      <c r="U10" s="560" t="s">
        <v>10</v>
      </c>
      <c r="W10" s="926" t="s">
        <v>287</v>
      </c>
      <c r="X10" s="927" t="s">
        <v>11</v>
      </c>
    </row>
    <row r="11" spans="1:26" ht="15" customHeight="1" thickBot="1" x14ac:dyDescent="0.25">
      <c r="A11" s="552"/>
      <c r="B11" s="69" t="s">
        <v>12</v>
      </c>
      <c r="C11" s="922" t="s">
        <v>13</v>
      </c>
      <c r="D11" s="69" t="s">
        <v>12</v>
      </c>
      <c r="E11" s="922" t="s">
        <v>13</v>
      </c>
      <c r="F11" s="69" t="s">
        <v>12</v>
      </c>
      <c r="G11" s="922" t="s">
        <v>13</v>
      </c>
      <c r="H11" s="69" t="s">
        <v>12</v>
      </c>
      <c r="I11" s="922" t="s">
        <v>13</v>
      </c>
      <c r="J11" s="69" t="s">
        <v>12</v>
      </c>
      <c r="K11" s="922" t="s">
        <v>13</v>
      </c>
      <c r="L11" s="69" t="s">
        <v>12</v>
      </c>
      <c r="M11" s="922" t="s">
        <v>13</v>
      </c>
      <c r="N11" s="69" t="s">
        <v>12</v>
      </c>
      <c r="O11" s="922" t="s">
        <v>13</v>
      </c>
      <c r="P11" s="69" t="s">
        <v>12</v>
      </c>
      <c r="Q11" s="923" t="s">
        <v>13</v>
      </c>
      <c r="R11" s="69" t="s">
        <v>12</v>
      </c>
      <c r="S11" s="923" t="s">
        <v>13</v>
      </c>
      <c r="T11" s="924" t="s">
        <v>12</v>
      </c>
      <c r="U11" s="925" t="s">
        <v>13</v>
      </c>
      <c r="V11" s="564"/>
      <c r="W11" s="9" t="s">
        <v>12</v>
      </c>
      <c r="X11" s="10" t="s">
        <v>13</v>
      </c>
    </row>
    <row r="12" spans="1:26" ht="15" customHeight="1" x14ac:dyDescent="0.2">
      <c r="A12" s="553" t="s">
        <v>170</v>
      </c>
      <c r="B12" s="439"/>
      <c r="C12" s="440"/>
      <c r="D12" s="439"/>
      <c r="E12" s="413"/>
      <c r="F12" s="441"/>
      <c r="G12" s="413"/>
      <c r="H12" s="441"/>
      <c r="I12" s="413"/>
      <c r="J12" s="441"/>
      <c r="K12" s="413"/>
      <c r="L12" s="441"/>
      <c r="M12" s="413"/>
      <c r="N12" s="441"/>
      <c r="O12" s="413"/>
      <c r="P12" s="441"/>
      <c r="Q12" s="413"/>
      <c r="R12" s="441"/>
      <c r="S12" s="413"/>
      <c r="T12" s="441"/>
      <c r="U12" s="565"/>
      <c r="V12" s="566"/>
      <c r="W12" s="567"/>
      <c r="X12" s="568"/>
    </row>
    <row r="13" spans="1:26" ht="15" customHeight="1" x14ac:dyDescent="0.2">
      <c r="A13" s="1337" t="s">
        <v>107</v>
      </c>
      <c r="B13" s="258"/>
      <c r="C13" s="259"/>
      <c r="D13" s="11"/>
      <c r="E13" s="12"/>
      <c r="F13" s="13"/>
      <c r="G13" s="12"/>
      <c r="H13" s="13"/>
      <c r="I13" s="12"/>
      <c r="J13" s="13"/>
      <c r="K13" s="12"/>
      <c r="L13" s="13"/>
      <c r="M13" s="12"/>
      <c r="N13" s="13"/>
      <c r="O13" s="12"/>
      <c r="P13" s="13"/>
      <c r="Q13" s="12"/>
      <c r="R13" s="13"/>
      <c r="S13" s="12"/>
      <c r="T13" s="11"/>
      <c r="U13" s="15"/>
      <c r="V13" s="564"/>
      <c r="W13" s="779"/>
      <c r="X13" s="491"/>
    </row>
    <row r="14" spans="1:26" s="23" customFormat="1" ht="15" customHeight="1" x14ac:dyDescent="0.2">
      <c r="A14" s="353" t="s">
        <v>20</v>
      </c>
      <c r="B14" s="86">
        <v>19</v>
      </c>
      <c r="C14" s="26">
        <v>12</v>
      </c>
      <c r="D14" s="86">
        <v>23</v>
      </c>
      <c r="E14" s="25">
        <v>12</v>
      </c>
      <c r="F14" s="29">
        <v>42</v>
      </c>
      <c r="G14" s="25">
        <v>29</v>
      </c>
      <c r="H14" s="29">
        <v>36</v>
      </c>
      <c r="I14" s="25">
        <v>14</v>
      </c>
      <c r="J14" s="29">
        <v>39</v>
      </c>
      <c r="K14" s="25">
        <v>23</v>
      </c>
      <c r="L14" s="29">
        <v>24</v>
      </c>
      <c r="M14" s="25">
        <v>14</v>
      </c>
      <c r="N14" s="29">
        <v>28</v>
      </c>
      <c r="O14" s="25">
        <v>12</v>
      </c>
      <c r="P14" s="29">
        <v>34</v>
      </c>
      <c r="Q14" s="25">
        <v>18</v>
      </c>
      <c r="R14" s="29">
        <v>21</v>
      </c>
      <c r="S14" s="25">
        <v>11</v>
      </c>
      <c r="T14" s="20">
        <v>19</v>
      </c>
      <c r="U14" s="152"/>
      <c r="V14" s="352"/>
      <c r="W14" s="347">
        <f>AVERAGE(N14,L14,R14,T14,P14)</f>
        <v>25.2</v>
      </c>
      <c r="X14" s="491">
        <f t="shared" ref="X14:X15" si="0">AVERAGE(O14,M14,K14,S14,Q14)</f>
        <v>15.6</v>
      </c>
      <c r="Z14" s="23" t="s">
        <v>19</v>
      </c>
    </row>
    <row r="15" spans="1:26" s="23" customFormat="1" ht="15" customHeight="1" thickBot="1" x14ac:dyDescent="0.25">
      <c r="A15" s="353" t="s">
        <v>90</v>
      </c>
      <c r="B15" s="31">
        <v>9</v>
      </c>
      <c r="C15" s="34">
        <v>0</v>
      </c>
      <c r="D15" s="31">
        <v>15</v>
      </c>
      <c r="E15" s="32">
        <v>0</v>
      </c>
      <c r="F15" s="1339">
        <v>21</v>
      </c>
      <c r="G15" s="1340">
        <v>0</v>
      </c>
      <c r="H15" s="1341">
        <v>24</v>
      </c>
      <c r="I15" s="1340">
        <v>1</v>
      </c>
      <c r="J15" s="1341">
        <v>26</v>
      </c>
      <c r="K15" s="1340">
        <v>2</v>
      </c>
      <c r="L15" s="1341">
        <v>30</v>
      </c>
      <c r="M15" s="1340">
        <v>4</v>
      </c>
      <c r="N15" s="1341">
        <v>24</v>
      </c>
      <c r="O15" s="1340">
        <v>1</v>
      </c>
      <c r="P15" s="1341">
        <v>23</v>
      </c>
      <c r="Q15" s="1340">
        <v>2</v>
      </c>
      <c r="R15" s="1341">
        <v>21</v>
      </c>
      <c r="S15" s="1340">
        <v>1</v>
      </c>
      <c r="T15" s="1341">
        <v>23</v>
      </c>
      <c r="U15" s="1342"/>
      <c r="V15" s="352"/>
      <c r="W15" s="1344">
        <f>AVERAGE(N15,L15,R15,T15,P15)</f>
        <v>24.2</v>
      </c>
      <c r="X15" s="1345">
        <f t="shared" si="0"/>
        <v>2</v>
      </c>
    </row>
    <row r="16" spans="1:26" ht="15" customHeight="1" thickTop="1" x14ac:dyDescent="0.2">
      <c r="A16" s="1338" t="s">
        <v>171</v>
      </c>
      <c r="B16" s="249"/>
      <c r="C16" s="451"/>
      <c r="D16" s="249"/>
      <c r="E16" s="413"/>
      <c r="F16" s="441"/>
      <c r="G16" s="452"/>
      <c r="H16" s="441"/>
      <c r="I16" s="452"/>
      <c r="J16" s="441"/>
      <c r="K16" s="452"/>
      <c r="L16" s="441"/>
      <c r="M16" s="452"/>
      <c r="N16" s="441"/>
      <c r="O16" s="452"/>
      <c r="P16" s="441"/>
      <c r="Q16" s="452"/>
      <c r="R16" s="441"/>
      <c r="S16" s="452"/>
      <c r="T16" s="441"/>
      <c r="U16" s="470"/>
      <c r="V16" s="566"/>
      <c r="W16" s="469"/>
      <c r="X16" s="1343"/>
    </row>
    <row r="17" spans="1:24" ht="15" customHeight="1" x14ac:dyDescent="0.2">
      <c r="A17" s="18" t="s">
        <v>15</v>
      </c>
      <c r="B17" s="249">
        <v>6</v>
      </c>
      <c r="C17" s="451"/>
      <c r="D17" s="249">
        <v>4</v>
      </c>
      <c r="E17" s="413"/>
      <c r="F17" s="252">
        <v>9</v>
      </c>
      <c r="G17" s="452"/>
      <c r="H17" s="252">
        <v>6</v>
      </c>
      <c r="I17" s="452"/>
      <c r="J17" s="252">
        <v>0</v>
      </c>
      <c r="K17" s="452"/>
      <c r="L17" s="252">
        <v>2</v>
      </c>
      <c r="M17" s="452"/>
      <c r="N17" s="252">
        <v>2</v>
      </c>
      <c r="O17" s="452"/>
      <c r="P17" s="252">
        <v>2</v>
      </c>
      <c r="Q17" s="452"/>
      <c r="R17" s="252">
        <v>5</v>
      </c>
      <c r="S17" s="452"/>
      <c r="T17" s="252">
        <v>4</v>
      </c>
      <c r="U17" s="1263"/>
      <c r="V17" s="566"/>
      <c r="W17" s="16">
        <f>AVERAGE(N17,L17,T17,R17,P17)</f>
        <v>3</v>
      </c>
      <c r="X17" s="24"/>
    </row>
    <row r="18" spans="1:24" ht="15" customHeight="1" thickBot="1" x14ac:dyDescent="0.25">
      <c r="A18" s="27" t="s">
        <v>16</v>
      </c>
      <c r="B18" s="603">
        <v>17</v>
      </c>
      <c r="C18" s="41"/>
      <c r="D18" s="603">
        <v>16</v>
      </c>
      <c r="E18" s="604"/>
      <c r="F18" s="605">
        <v>14</v>
      </c>
      <c r="G18" s="606"/>
      <c r="H18" s="605">
        <v>14</v>
      </c>
      <c r="I18" s="606"/>
      <c r="J18" s="605">
        <v>14</v>
      </c>
      <c r="K18" s="606"/>
      <c r="L18" s="605">
        <v>16</v>
      </c>
      <c r="M18" s="606"/>
      <c r="N18" s="605">
        <v>11</v>
      </c>
      <c r="O18" s="606"/>
      <c r="P18" s="605">
        <v>8</v>
      </c>
      <c r="Q18" s="606"/>
      <c r="R18" s="605">
        <v>11</v>
      </c>
      <c r="S18" s="606"/>
      <c r="T18" s="605">
        <v>11</v>
      </c>
      <c r="U18" s="1264"/>
      <c r="V18" s="566"/>
      <c r="W18" s="16">
        <f>AVERAGE(N18,L18,T18,R18,P18)</f>
        <v>11.4</v>
      </c>
      <c r="X18" s="174"/>
    </row>
    <row r="19" spans="1:24" ht="15" customHeight="1" thickBot="1" x14ac:dyDescent="0.25">
      <c r="A19" s="98" t="s">
        <v>17</v>
      </c>
      <c r="B19" s="607">
        <f>SUM(B17:B18)</f>
        <v>23</v>
      </c>
      <c r="C19" s="607">
        <v>7</v>
      </c>
      <c r="D19" s="607">
        <f t="shared" ref="D19:R19" si="1">SUM(D17:D18)</f>
        <v>20</v>
      </c>
      <c r="E19" s="608">
        <v>6</v>
      </c>
      <c r="F19" s="1203">
        <f t="shared" si="1"/>
        <v>23</v>
      </c>
      <c r="G19" s="1204">
        <v>9</v>
      </c>
      <c r="H19" s="1203">
        <f t="shared" si="1"/>
        <v>20</v>
      </c>
      <c r="I19" s="1205">
        <v>5</v>
      </c>
      <c r="J19" s="1203">
        <f t="shared" si="1"/>
        <v>14</v>
      </c>
      <c r="K19" s="1204">
        <v>7</v>
      </c>
      <c r="L19" s="607">
        <f t="shared" si="1"/>
        <v>18</v>
      </c>
      <c r="M19" s="608">
        <v>5</v>
      </c>
      <c r="N19" s="1203">
        <f t="shared" si="1"/>
        <v>13</v>
      </c>
      <c r="O19" s="1204">
        <v>10</v>
      </c>
      <c r="P19" s="607">
        <f t="shared" si="1"/>
        <v>10</v>
      </c>
      <c r="Q19" s="608">
        <v>2</v>
      </c>
      <c r="R19" s="607">
        <f t="shared" si="1"/>
        <v>16</v>
      </c>
      <c r="S19" s="608">
        <v>8</v>
      </c>
      <c r="T19" s="1203">
        <v>15</v>
      </c>
      <c r="U19" s="1265">
        <f t="shared" ref="U19" si="2">SUM(U17:U18)</f>
        <v>0</v>
      </c>
      <c r="V19" s="566"/>
      <c r="W19" s="482">
        <f>AVERAGE(N19,L19,T19,R19,P19)</f>
        <v>14.4</v>
      </c>
      <c r="X19" s="483">
        <f>AVERAGE(O19,M19,K19,S19,Q19)</f>
        <v>6.4</v>
      </c>
    </row>
    <row r="20" spans="1:24" ht="15" customHeight="1" x14ac:dyDescent="0.2">
      <c r="A20" s="557" t="s">
        <v>173</v>
      </c>
      <c r="B20" s="439"/>
      <c r="C20" s="451"/>
      <c r="D20" s="439"/>
      <c r="E20" s="413"/>
      <c r="F20" s="441"/>
      <c r="G20" s="452"/>
      <c r="H20" s="441"/>
      <c r="I20" s="452"/>
      <c r="J20" s="441"/>
      <c r="K20" s="452"/>
      <c r="L20" s="441"/>
      <c r="M20" s="452"/>
      <c r="N20" s="441"/>
      <c r="O20" s="452"/>
      <c r="P20" s="441"/>
      <c r="Q20" s="452"/>
      <c r="R20" s="441"/>
      <c r="S20" s="452"/>
      <c r="T20" s="441"/>
      <c r="U20" s="470"/>
      <c r="V20" s="566"/>
      <c r="W20" s="469"/>
      <c r="X20" s="470"/>
    </row>
    <row r="21" spans="1:24" ht="15" customHeight="1" x14ac:dyDescent="0.2">
      <c r="A21" s="18" t="s">
        <v>15</v>
      </c>
      <c r="B21" s="249">
        <v>33</v>
      </c>
      <c r="C21" s="451"/>
      <c r="D21" s="249">
        <v>353</v>
      </c>
      <c r="E21" s="413"/>
      <c r="F21" s="252">
        <v>345</v>
      </c>
      <c r="G21" s="452"/>
      <c r="H21" s="252">
        <v>415</v>
      </c>
      <c r="I21" s="452"/>
      <c r="J21" s="252">
        <v>423</v>
      </c>
      <c r="K21" s="452"/>
      <c r="L21" s="252">
        <v>293</v>
      </c>
      <c r="M21" s="452"/>
      <c r="N21" s="252">
        <v>186</v>
      </c>
      <c r="O21" s="452"/>
      <c r="P21" s="252">
        <v>140</v>
      </c>
      <c r="Q21" s="452"/>
      <c r="R21" s="252">
        <f>48+51</f>
        <v>99</v>
      </c>
      <c r="S21" s="452"/>
      <c r="T21" s="252">
        <v>100</v>
      </c>
      <c r="U21" s="1263"/>
      <c r="V21" s="566"/>
      <c r="W21" s="16">
        <f>AVERAGE(N21,L21,T21,R21,P21)</f>
        <v>163.6</v>
      </c>
      <c r="X21" s="24"/>
    </row>
    <row r="22" spans="1:24" ht="15" customHeight="1" thickBot="1" x14ac:dyDescent="0.25">
      <c r="A22" s="27" t="s">
        <v>16</v>
      </c>
      <c r="B22" s="603">
        <v>102</v>
      </c>
      <c r="C22" s="41"/>
      <c r="D22" s="603">
        <v>149</v>
      </c>
      <c r="E22" s="604"/>
      <c r="F22" s="605">
        <v>162</v>
      </c>
      <c r="G22" s="606"/>
      <c r="H22" s="605">
        <v>201</v>
      </c>
      <c r="I22" s="606"/>
      <c r="J22" s="605">
        <v>203</v>
      </c>
      <c r="K22" s="606"/>
      <c r="L22" s="605">
        <v>195</v>
      </c>
      <c r="M22" s="606"/>
      <c r="N22" s="605">
        <v>165</v>
      </c>
      <c r="O22" s="606"/>
      <c r="P22" s="605">
        <v>153</v>
      </c>
      <c r="Q22" s="606"/>
      <c r="R22" s="605">
        <f>57+79</f>
        <v>136</v>
      </c>
      <c r="S22" s="606"/>
      <c r="T22" s="605">
        <v>100</v>
      </c>
      <c r="U22" s="1264"/>
      <c r="V22" s="566"/>
      <c r="W22" s="16">
        <f>AVERAGE(N22,L22,T22,R22,P22)</f>
        <v>149.80000000000001</v>
      </c>
      <c r="X22" s="174"/>
    </row>
    <row r="23" spans="1:24" ht="15" customHeight="1" thickBot="1" x14ac:dyDescent="0.25">
      <c r="A23" s="98" t="s">
        <v>17</v>
      </c>
      <c r="B23" s="607">
        <f>SUM(B21:B22)</f>
        <v>135</v>
      </c>
      <c r="C23" s="607">
        <v>46</v>
      </c>
      <c r="D23" s="1203">
        <f t="shared" ref="D23:P23" si="3">SUM(D21:D22)</f>
        <v>502</v>
      </c>
      <c r="E23" s="1204">
        <v>53</v>
      </c>
      <c r="F23" s="607">
        <f t="shared" si="3"/>
        <v>507</v>
      </c>
      <c r="G23" s="608">
        <v>45</v>
      </c>
      <c r="H23" s="1203">
        <f t="shared" si="3"/>
        <v>616</v>
      </c>
      <c r="I23" s="1204">
        <v>52</v>
      </c>
      <c r="J23" s="607">
        <f t="shared" si="3"/>
        <v>626</v>
      </c>
      <c r="K23" s="608">
        <v>70</v>
      </c>
      <c r="L23" s="607">
        <f t="shared" si="3"/>
        <v>488</v>
      </c>
      <c r="M23" s="608">
        <v>74</v>
      </c>
      <c r="N23" s="1203">
        <f t="shared" si="3"/>
        <v>351</v>
      </c>
      <c r="O23" s="1204">
        <v>61</v>
      </c>
      <c r="P23" s="1203">
        <f t="shared" si="3"/>
        <v>293</v>
      </c>
      <c r="Q23" s="1204">
        <v>67</v>
      </c>
      <c r="R23" s="1203">
        <f>SUM(R21:R22)</f>
        <v>235</v>
      </c>
      <c r="S23" s="1204">
        <v>61</v>
      </c>
      <c r="T23" s="607">
        <v>200</v>
      </c>
      <c r="U23" s="1266"/>
      <c r="V23" s="566"/>
      <c r="W23" s="482">
        <f>AVERAGE(N23,L23,T23,R23,P23)</f>
        <v>313.39999999999998</v>
      </c>
      <c r="X23" s="483">
        <f>AVERAGE(O23,M23,K23,S23,Q23)</f>
        <v>66.599999999999994</v>
      </c>
    </row>
    <row r="24" spans="1:24" ht="15" customHeight="1" x14ac:dyDescent="0.2">
      <c r="A24" s="555" t="s">
        <v>174</v>
      </c>
      <c r="B24" s="439"/>
      <c r="C24" s="451"/>
      <c r="D24" s="439"/>
      <c r="E24" s="413"/>
      <c r="F24" s="441"/>
      <c r="G24" s="452"/>
      <c r="H24" s="441"/>
      <c r="I24" s="452"/>
      <c r="J24" s="441"/>
      <c r="K24" s="452"/>
      <c r="L24" s="441"/>
      <c r="M24" s="452"/>
      <c r="N24" s="441"/>
      <c r="O24" s="452"/>
      <c r="P24" s="441"/>
      <c r="Q24" s="452"/>
      <c r="R24" s="441"/>
      <c r="S24" s="452"/>
      <c r="T24" s="441"/>
      <c r="U24" s="470"/>
      <c r="V24" s="566"/>
      <c r="W24" s="469"/>
      <c r="X24" s="470"/>
    </row>
    <row r="25" spans="1:24" ht="15" customHeight="1" x14ac:dyDescent="0.2">
      <c r="A25" s="18" t="s">
        <v>15</v>
      </c>
      <c r="B25" s="249">
        <v>5</v>
      </c>
      <c r="C25" s="451"/>
      <c r="D25" s="249">
        <v>8</v>
      </c>
      <c r="E25" s="413"/>
      <c r="F25" s="252">
        <v>4</v>
      </c>
      <c r="G25" s="452"/>
      <c r="H25" s="252">
        <v>7</v>
      </c>
      <c r="I25" s="452"/>
      <c r="J25" s="252">
        <v>7</v>
      </c>
      <c r="K25" s="452"/>
      <c r="L25" s="252">
        <v>9</v>
      </c>
      <c r="M25" s="452"/>
      <c r="N25" s="252">
        <v>5</v>
      </c>
      <c r="O25" s="452"/>
      <c r="P25" s="252">
        <v>9</v>
      </c>
      <c r="Q25" s="452"/>
      <c r="R25" s="252">
        <v>7</v>
      </c>
      <c r="S25" s="452"/>
      <c r="T25" s="252">
        <v>10</v>
      </c>
      <c r="U25" s="1263"/>
      <c r="V25" s="566"/>
      <c r="W25" s="16">
        <f>AVERAGE(N25,L25,T25,R25,P25)</f>
        <v>8</v>
      </c>
      <c r="X25" s="24"/>
    </row>
    <row r="26" spans="1:24" ht="15" customHeight="1" thickBot="1" x14ac:dyDescent="0.25">
      <c r="A26" s="27" t="s">
        <v>16</v>
      </c>
      <c r="B26" s="603">
        <v>9</v>
      </c>
      <c r="C26" s="41"/>
      <c r="D26" s="603">
        <v>6</v>
      </c>
      <c r="E26" s="604"/>
      <c r="F26" s="605">
        <v>10</v>
      </c>
      <c r="G26" s="606"/>
      <c r="H26" s="605">
        <v>10</v>
      </c>
      <c r="I26" s="606"/>
      <c r="J26" s="605">
        <v>12</v>
      </c>
      <c r="K26" s="606"/>
      <c r="L26" s="605">
        <v>10</v>
      </c>
      <c r="M26" s="606"/>
      <c r="N26" s="605">
        <v>11</v>
      </c>
      <c r="O26" s="606"/>
      <c r="P26" s="605">
        <v>14</v>
      </c>
      <c r="Q26" s="606"/>
      <c r="R26" s="605">
        <v>10</v>
      </c>
      <c r="S26" s="606"/>
      <c r="T26" s="605">
        <v>10</v>
      </c>
      <c r="U26" s="1264"/>
      <c r="V26" s="566"/>
      <c r="W26" s="16">
        <f>AVERAGE(N26,L26,T26,R26,P26)</f>
        <v>11</v>
      </c>
      <c r="X26" s="174"/>
    </row>
    <row r="27" spans="1:24" ht="15" customHeight="1" thickBot="1" x14ac:dyDescent="0.25">
      <c r="A27" s="98" t="s">
        <v>17</v>
      </c>
      <c r="B27" s="607">
        <f>SUM(B25:B26)</f>
        <v>14</v>
      </c>
      <c r="C27" s="607">
        <v>3</v>
      </c>
      <c r="D27" s="1203">
        <f t="shared" ref="D27:R27" si="4">SUM(D25:D26)</f>
        <v>14</v>
      </c>
      <c r="E27" s="1204">
        <v>2</v>
      </c>
      <c r="F27" s="1203">
        <f t="shared" si="4"/>
        <v>14</v>
      </c>
      <c r="G27" s="1204">
        <v>2</v>
      </c>
      <c r="H27" s="607">
        <f t="shared" si="4"/>
        <v>17</v>
      </c>
      <c r="I27" s="608">
        <v>2</v>
      </c>
      <c r="J27" s="607">
        <f t="shared" si="4"/>
        <v>19</v>
      </c>
      <c r="K27" s="608">
        <v>1</v>
      </c>
      <c r="L27" s="607">
        <f t="shared" si="4"/>
        <v>19</v>
      </c>
      <c r="M27" s="608">
        <v>2</v>
      </c>
      <c r="N27" s="607">
        <f t="shared" si="4"/>
        <v>16</v>
      </c>
      <c r="O27" s="608">
        <v>3</v>
      </c>
      <c r="P27" s="1203">
        <f t="shared" si="4"/>
        <v>23</v>
      </c>
      <c r="Q27" s="1204">
        <v>1</v>
      </c>
      <c r="R27" s="1203">
        <f t="shared" si="4"/>
        <v>17</v>
      </c>
      <c r="S27" s="1204">
        <v>1</v>
      </c>
      <c r="T27" s="607">
        <v>20</v>
      </c>
      <c r="U27" s="1266"/>
      <c r="V27" s="566"/>
      <c r="W27" s="482">
        <f>AVERAGE(N27,L27,T27,R27,P27)</f>
        <v>19</v>
      </c>
      <c r="X27" s="483">
        <f>AVERAGE(O27,M27,K27,S27,Q27)</f>
        <v>1.6</v>
      </c>
    </row>
    <row r="28" spans="1:24" ht="15" customHeight="1" x14ac:dyDescent="0.2">
      <c r="A28" s="555" t="s">
        <v>175</v>
      </c>
      <c r="B28" s="439"/>
      <c r="C28" s="451"/>
      <c r="D28" s="439"/>
      <c r="E28" s="413"/>
      <c r="F28" s="441"/>
      <c r="G28" s="452"/>
      <c r="H28" s="441"/>
      <c r="I28" s="452"/>
      <c r="J28" s="441"/>
      <c r="K28" s="452"/>
      <c r="L28" s="441"/>
      <c r="M28" s="452"/>
      <c r="N28" s="441"/>
      <c r="O28" s="452"/>
      <c r="P28" s="441"/>
      <c r="Q28" s="452"/>
      <c r="R28" s="441"/>
      <c r="S28" s="452"/>
      <c r="T28" s="441"/>
      <c r="U28" s="470"/>
      <c r="V28" s="566"/>
      <c r="W28" s="469"/>
      <c r="X28" s="470"/>
    </row>
    <row r="29" spans="1:24" ht="15" customHeight="1" x14ac:dyDescent="0.2">
      <c r="A29" s="556" t="s">
        <v>172</v>
      </c>
      <c r="B29" s="439">
        <v>102</v>
      </c>
      <c r="C29" s="573" t="s">
        <v>203</v>
      </c>
      <c r="D29" s="439">
        <v>66</v>
      </c>
      <c r="E29" s="574" t="s">
        <v>203</v>
      </c>
      <c r="F29" s="441">
        <v>90</v>
      </c>
      <c r="G29" s="574" t="s">
        <v>203</v>
      </c>
      <c r="H29" s="441">
        <f>52+10</f>
        <v>62</v>
      </c>
      <c r="I29" s="574" t="s">
        <v>203</v>
      </c>
      <c r="J29" s="441">
        <v>40</v>
      </c>
      <c r="K29" s="574" t="s">
        <v>203</v>
      </c>
      <c r="L29" s="441">
        <v>94</v>
      </c>
      <c r="M29" s="574" t="s">
        <v>203</v>
      </c>
      <c r="N29" s="441">
        <v>122</v>
      </c>
      <c r="O29" s="574" t="s">
        <v>203</v>
      </c>
      <c r="P29" s="441">
        <v>120</v>
      </c>
      <c r="Q29" s="574" t="s">
        <v>203</v>
      </c>
      <c r="R29" s="441">
        <v>135</v>
      </c>
      <c r="S29" s="574" t="s">
        <v>203</v>
      </c>
      <c r="T29" s="441">
        <v>134</v>
      </c>
      <c r="U29" s="1267"/>
      <c r="V29" s="571"/>
      <c r="W29" s="16">
        <f>AVERAGE(N29,L29,T29,R29,P29)</f>
        <v>121</v>
      </c>
      <c r="X29" s="470"/>
    </row>
    <row r="30" spans="1:24" ht="15" customHeight="1" x14ac:dyDescent="0.2">
      <c r="A30" s="554" t="s">
        <v>176</v>
      </c>
      <c r="B30" s="249"/>
      <c r="C30" s="451"/>
      <c r="D30" s="249"/>
      <c r="E30" s="413"/>
      <c r="F30" s="252"/>
      <c r="G30" s="452"/>
      <c r="H30" s="252"/>
      <c r="I30" s="452"/>
      <c r="J30" s="252"/>
      <c r="K30" s="452"/>
      <c r="L30" s="252"/>
      <c r="M30" s="452"/>
      <c r="N30" s="252"/>
      <c r="O30" s="452"/>
      <c r="P30" s="252"/>
      <c r="Q30" s="452"/>
      <c r="R30" s="252"/>
      <c r="S30" s="452"/>
      <c r="T30" s="252"/>
      <c r="U30" s="1263"/>
      <c r="V30" s="566"/>
      <c r="W30" s="16"/>
      <c r="X30" s="24"/>
    </row>
    <row r="31" spans="1:24" ht="15" customHeight="1" x14ac:dyDescent="0.2">
      <c r="A31" s="18" t="s">
        <v>177</v>
      </c>
      <c r="B31" s="249">
        <v>45</v>
      </c>
      <c r="C31" s="569" t="s">
        <v>203</v>
      </c>
      <c r="D31" s="249">
        <v>37</v>
      </c>
      <c r="E31" s="570" t="s">
        <v>203</v>
      </c>
      <c r="F31" s="252">
        <v>56</v>
      </c>
      <c r="G31" s="570" t="s">
        <v>203</v>
      </c>
      <c r="H31" s="252">
        <v>32</v>
      </c>
      <c r="I31" s="570" t="s">
        <v>203</v>
      </c>
      <c r="J31" s="252">
        <v>21</v>
      </c>
      <c r="K31" s="570" t="s">
        <v>203</v>
      </c>
      <c r="L31" s="252">
        <v>97</v>
      </c>
      <c r="M31" s="570" t="s">
        <v>203</v>
      </c>
      <c r="N31" s="252">
        <v>140</v>
      </c>
      <c r="O31" s="570" t="s">
        <v>203</v>
      </c>
      <c r="P31" s="252">
        <v>83</v>
      </c>
      <c r="Q31" s="570" t="s">
        <v>203</v>
      </c>
      <c r="R31" s="252">
        <v>76</v>
      </c>
      <c r="S31" s="570" t="s">
        <v>203</v>
      </c>
      <c r="T31" s="252">
        <v>48</v>
      </c>
      <c r="U31" s="1268"/>
      <c r="V31" s="566"/>
      <c r="W31" s="16">
        <f>AVERAGE(N31,L31,T31,R31,P31)</f>
        <v>88.8</v>
      </c>
      <c r="X31" s="24"/>
    </row>
    <row r="32" spans="1:24" ht="15" customHeight="1" x14ac:dyDescent="0.2">
      <c r="A32" s="555" t="s">
        <v>178</v>
      </c>
      <c r="B32" s="249"/>
      <c r="C32" s="440"/>
      <c r="D32" s="249"/>
      <c r="E32" s="413"/>
      <c r="F32" s="252"/>
      <c r="G32" s="413"/>
      <c r="H32" s="252"/>
      <c r="I32" s="413"/>
      <c r="J32" s="252"/>
      <c r="K32" s="413"/>
      <c r="L32" s="252"/>
      <c r="M32" s="413"/>
      <c r="N32" s="252"/>
      <c r="O32" s="413"/>
      <c r="P32" s="252"/>
      <c r="Q32" s="413"/>
      <c r="R32" s="252"/>
      <c r="S32" s="413"/>
      <c r="T32" s="605"/>
      <c r="U32" s="1269"/>
      <c r="V32" s="566"/>
      <c r="W32" s="16"/>
      <c r="X32" s="24"/>
    </row>
    <row r="33" spans="1:24" ht="15" customHeight="1" x14ac:dyDescent="0.2">
      <c r="A33" s="556" t="s">
        <v>76</v>
      </c>
      <c r="B33" s="249">
        <v>0</v>
      </c>
      <c r="C33" s="440">
        <v>0</v>
      </c>
      <c r="D33" s="249">
        <v>0</v>
      </c>
      <c r="E33" s="413">
        <v>0</v>
      </c>
      <c r="F33" s="252">
        <v>0</v>
      </c>
      <c r="G33" s="413">
        <v>0</v>
      </c>
      <c r="H33" s="252">
        <v>0</v>
      </c>
      <c r="I33" s="413">
        <v>0</v>
      </c>
      <c r="J33" s="252">
        <v>0</v>
      </c>
      <c r="K33" s="413">
        <v>0</v>
      </c>
      <c r="L33" s="252">
        <v>0</v>
      </c>
      <c r="M33" s="413">
        <v>0</v>
      </c>
      <c r="N33" s="252">
        <v>0</v>
      </c>
      <c r="O33" s="413">
        <v>0</v>
      </c>
      <c r="P33" s="252">
        <v>0</v>
      </c>
      <c r="Q33" s="413">
        <v>0</v>
      </c>
      <c r="R33" s="252">
        <f>AVERAGE(K33,I33,G33,E33,M33)</f>
        <v>0</v>
      </c>
      <c r="S33" s="413">
        <v>0</v>
      </c>
      <c r="T33" s="249">
        <v>0</v>
      </c>
      <c r="U33" s="1263"/>
      <c r="V33" s="566"/>
      <c r="W33" s="16">
        <f>AVERAGE(N33,L33,T33,R33,P33)</f>
        <v>0</v>
      </c>
      <c r="X33" s="24">
        <f>AVERAGE(O33,M33,K33,S33,Q33)</f>
        <v>0</v>
      </c>
    </row>
    <row r="34" spans="1:24" ht="15" customHeight="1" x14ac:dyDescent="0.2">
      <c r="A34" s="554" t="s">
        <v>179</v>
      </c>
      <c r="B34" s="249"/>
      <c r="C34" s="440"/>
      <c r="D34" s="249"/>
      <c r="E34" s="413"/>
      <c r="F34" s="252"/>
      <c r="G34" s="413"/>
      <c r="H34" s="252"/>
      <c r="I34" s="413"/>
      <c r="J34" s="252"/>
      <c r="K34" s="413"/>
      <c r="L34" s="252"/>
      <c r="M34" s="413"/>
      <c r="N34" s="252"/>
      <c r="O34" s="413"/>
      <c r="P34" s="252"/>
      <c r="Q34" s="413"/>
      <c r="R34" s="252"/>
      <c r="S34" s="413"/>
      <c r="T34" s="441"/>
      <c r="U34" s="1269"/>
      <c r="V34" s="566"/>
      <c r="W34" s="16"/>
      <c r="X34" s="24"/>
    </row>
    <row r="35" spans="1:24" ht="15" customHeight="1" x14ac:dyDescent="0.2">
      <c r="A35" s="18" t="s">
        <v>180</v>
      </c>
      <c r="B35" s="249">
        <v>3</v>
      </c>
      <c r="C35" s="573" t="s">
        <v>203</v>
      </c>
      <c r="D35" s="249">
        <v>4</v>
      </c>
      <c r="E35" s="574" t="s">
        <v>203</v>
      </c>
      <c r="F35" s="252">
        <v>5</v>
      </c>
      <c r="G35" s="287">
        <v>2</v>
      </c>
      <c r="H35" s="20">
        <v>3</v>
      </c>
      <c r="I35" s="287">
        <v>0</v>
      </c>
      <c r="J35" s="20">
        <v>6</v>
      </c>
      <c r="K35" s="287">
        <v>4</v>
      </c>
      <c r="L35" s="20">
        <v>1</v>
      </c>
      <c r="M35" s="287">
        <v>0</v>
      </c>
      <c r="N35" s="20">
        <v>2</v>
      </c>
      <c r="O35" s="287">
        <v>0</v>
      </c>
      <c r="P35" s="252">
        <v>5</v>
      </c>
      <c r="Q35" s="287">
        <v>3</v>
      </c>
      <c r="R35" s="252">
        <v>1</v>
      </c>
      <c r="S35" s="287">
        <v>0</v>
      </c>
      <c r="T35" s="252">
        <v>1</v>
      </c>
      <c r="U35" s="1267"/>
      <c r="V35" s="566"/>
      <c r="W35" s="16">
        <f>AVERAGE(N35,L35,T35,R35,P35)</f>
        <v>2</v>
      </c>
      <c r="X35" s="24">
        <f>AVERAGE(O35,M35,K35,S35,Q35)</f>
        <v>1.4</v>
      </c>
    </row>
    <row r="36" spans="1:24" ht="15" customHeight="1" x14ac:dyDescent="0.2">
      <c r="A36" s="554" t="s">
        <v>181</v>
      </c>
      <c r="B36" s="249"/>
      <c r="C36" s="440"/>
      <c r="D36" s="249"/>
      <c r="E36" s="413"/>
      <c r="F36" s="252"/>
      <c r="G36" s="287"/>
      <c r="H36" s="20"/>
      <c r="I36" s="287"/>
      <c r="J36" s="20"/>
      <c r="K36" s="287"/>
      <c r="L36" s="20"/>
      <c r="M36" s="287"/>
      <c r="N36" s="20"/>
      <c r="O36" s="287"/>
      <c r="P36" s="252"/>
      <c r="Q36" s="287"/>
      <c r="R36" s="252"/>
      <c r="S36" s="287"/>
      <c r="T36" s="252"/>
      <c r="U36" s="1269"/>
      <c r="V36" s="566"/>
      <c r="W36" s="16"/>
      <c r="X36" s="24"/>
    </row>
    <row r="37" spans="1:24" ht="15" customHeight="1" x14ac:dyDescent="0.2">
      <c r="A37" s="18" t="s">
        <v>180</v>
      </c>
      <c r="B37" s="249">
        <v>71</v>
      </c>
      <c r="C37" s="573" t="s">
        <v>203</v>
      </c>
      <c r="D37" s="249">
        <v>61</v>
      </c>
      <c r="E37" s="574" t="s">
        <v>203</v>
      </c>
      <c r="F37" s="252">
        <v>67</v>
      </c>
      <c r="G37" s="287">
        <v>28</v>
      </c>
      <c r="H37" s="20">
        <v>59</v>
      </c>
      <c r="I37" s="287">
        <v>24</v>
      </c>
      <c r="J37" s="20">
        <v>61</v>
      </c>
      <c r="K37" s="287">
        <v>20</v>
      </c>
      <c r="L37" s="20">
        <v>48</v>
      </c>
      <c r="M37" s="287">
        <v>18</v>
      </c>
      <c r="N37" s="20">
        <v>43</v>
      </c>
      <c r="O37" s="287">
        <v>13</v>
      </c>
      <c r="P37" s="252">
        <v>46</v>
      </c>
      <c r="Q37" s="287">
        <v>12</v>
      </c>
      <c r="R37" s="252">
        <v>41</v>
      </c>
      <c r="S37" s="287">
        <v>17</v>
      </c>
      <c r="T37" s="252">
        <v>46</v>
      </c>
      <c r="U37" s="1267"/>
      <c r="V37" s="566"/>
      <c r="W37" s="16">
        <f>AVERAGE(N37,L37,T37,R37,P37)</f>
        <v>44.8</v>
      </c>
      <c r="X37" s="24">
        <f>AVERAGE(O37,M37,K37,S37,Q37)</f>
        <v>16</v>
      </c>
    </row>
    <row r="38" spans="1:24" ht="15" customHeight="1" x14ac:dyDescent="0.2">
      <c r="A38" s="554" t="s">
        <v>182</v>
      </c>
      <c r="B38" s="249"/>
      <c r="C38" s="451"/>
      <c r="D38" s="249"/>
      <c r="E38" s="413"/>
      <c r="F38" s="252"/>
      <c r="G38" s="452"/>
      <c r="H38" s="252"/>
      <c r="I38" s="452"/>
      <c r="J38" s="252"/>
      <c r="K38" s="452">
        <v>0</v>
      </c>
      <c r="L38" s="252"/>
      <c r="M38" s="452"/>
      <c r="N38" s="252"/>
      <c r="O38" s="452"/>
      <c r="P38" s="252"/>
      <c r="Q38" s="452"/>
      <c r="R38" s="252"/>
      <c r="S38" s="452"/>
      <c r="T38" s="252"/>
      <c r="U38" s="1263"/>
      <c r="V38" s="566"/>
      <c r="W38" s="16"/>
      <c r="X38" s="24"/>
    </row>
    <row r="39" spans="1:24" ht="15" customHeight="1" x14ac:dyDescent="0.2">
      <c r="A39" s="18" t="s">
        <v>15</v>
      </c>
      <c r="B39" s="249">
        <v>3</v>
      </c>
      <c r="C39" s="451"/>
      <c r="D39" s="249">
        <v>1</v>
      </c>
      <c r="E39" s="413"/>
      <c r="F39" s="252">
        <v>5</v>
      </c>
      <c r="G39" s="452"/>
      <c r="H39" s="252">
        <v>1</v>
      </c>
      <c r="I39" s="452"/>
      <c r="J39" s="252">
        <v>1</v>
      </c>
      <c r="K39" s="452"/>
      <c r="L39" s="252">
        <v>2</v>
      </c>
      <c r="M39" s="452"/>
      <c r="N39" s="252">
        <v>0</v>
      </c>
      <c r="O39" s="452"/>
      <c r="P39" s="252">
        <v>2</v>
      </c>
      <c r="Q39" s="452"/>
      <c r="R39" s="252">
        <v>3</v>
      </c>
      <c r="S39" s="452"/>
      <c r="T39" s="252">
        <v>3</v>
      </c>
      <c r="U39" s="1263"/>
      <c r="V39" s="566"/>
      <c r="W39" s="16">
        <f>AVERAGE(N39,L39,T39,R39,P39)</f>
        <v>2</v>
      </c>
      <c r="X39" s="24"/>
    </row>
    <row r="40" spans="1:24" ht="15" customHeight="1" thickBot="1" x14ac:dyDescent="0.25">
      <c r="A40" s="27" t="s">
        <v>16</v>
      </c>
      <c r="B40" s="603">
        <v>13</v>
      </c>
      <c r="C40" s="41"/>
      <c r="D40" s="603">
        <v>16</v>
      </c>
      <c r="E40" s="604"/>
      <c r="F40" s="605">
        <v>11</v>
      </c>
      <c r="G40" s="606"/>
      <c r="H40" s="605">
        <v>8</v>
      </c>
      <c r="I40" s="606"/>
      <c r="J40" s="605">
        <v>10</v>
      </c>
      <c r="K40" s="606"/>
      <c r="L40" s="605">
        <v>5</v>
      </c>
      <c r="M40" s="606"/>
      <c r="N40" s="605">
        <v>9</v>
      </c>
      <c r="O40" s="606"/>
      <c r="P40" s="605">
        <v>8</v>
      </c>
      <c r="Q40" s="606"/>
      <c r="R40" s="605">
        <v>13</v>
      </c>
      <c r="S40" s="606"/>
      <c r="T40" s="605">
        <v>13</v>
      </c>
      <c r="U40" s="1264"/>
      <c r="V40" s="566"/>
      <c r="W40" s="16">
        <f>AVERAGE(N40,L40,T40,R40,P40)</f>
        <v>9.6</v>
      </c>
      <c r="X40" s="174"/>
    </row>
    <row r="41" spans="1:24" ht="15" customHeight="1" thickBot="1" x14ac:dyDescent="0.25">
      <c r="A41" s="98" t="s">
        <v>17</v>
      </c>
      <c r="B41" s="607">
        <f>SUM(B39:B40)</f>
        <v>16</v>
      </c>
      <c r="C41" s="607">
        <v>6</v>
      </c>
      <c r="D41" s="1203">
        <f t="shared" ref="D41:R41" si="5">SUM(D39:D40)</f>
        <v>17</v>
      </c>
      <c r="E41" s="1204">
        <v>12</v>
      </c>
      <c r="F41" s="1203">
        <f t="shared" si="5"/>
        <v>16</v>
      </c>
      <c r="G41" s="1204">
        <v>8</v>
      </c>
      <c r="H41" s="1203">
        <f t="shared" si="5"/>
        <v>9</v>
      </c>
      <c r="I41" s="1204">
        <v>2</v>
      </c>
      <c r="J41" s="607">
        <f t="shared" si="5"/>
        <v>11</v>
      </c>
      <c r="K41" s="608">
        <v>3</v>
      </c>
      <c r="L41" s="607">
        <f t="shared" si="5"/>
        <v>7</v>
      </c>
      <c r="M41" s="608">
        <v>4</v>
      </c>
      <c r="N41" s="607">
        <f t="shared" si="5"/>
        <v>9</v>
      </c>
      <c r="O41" s="608">
        <v>2</v>
      </c>
      <c r="P41" s="1203">
        <f t="shared" si="5"/>
        <v>10</v>
      </c>
      <c r="Q41" s="1204">
        <v>3</v>
      </c>
      <c r="R41" s="1203">
        <f t="shared" si="5"/>
        <v>16</v>
      </c>
      <c r="S41" s="1204">
        <v>5</v>
      </c>
      <c r="T41" s="607">
        <v>16</v>
      </c>
      <c r="U41" s="1266"/>
      <c r="V41" s="566"/>
      <c r="W41" s="482">
        <f>AVERAGE(N41,L41,T41,R41,P41)</f>
        <v>11.6</v>
      </c>
      <c r="X41" s="483">
        <f>AVERAGE(O41,M41,K41,S41,Q41)</f>
        <v>3.4</v>
      </c>
    </row>
    <row r="42" spans="1:24" ht="15" customHeight="1" x14ac:dyDescent="0.2">
      <c r="A42" s="555" t="s">
        <v>183</v>
      </c>
      <c r="B42" s="439"/>
      <c r="C42" s="451"/>
      <c r="D42" s="439"/>
      <c r="E42" s="413"/>
      <c r="F42" s="441"/>
      <c r="G42" s="452"/>
      <c r="H42" s="441"/>
      <c r="I42" s="452"/>
      <c r="J42" s="441"/>
      <c r="K42" s="452"/>
      <c r="L42" s="441"/>
      <c r="M42" s="452"/>
      <c r="N42" s="441"/>
      <c r="O42" s="452"/>
      <c r="P42" s="441"/>
      <c r="Q42" s="452"/>
      <c r="R42" s="441"/>
      <c r="S42" s="452"/>
      <c r="T42" s="441"/>
      <c r="U42" s="1263"/>
      <c r="V42" s="566"/>
      <c r="W42" s="469"/>
      <c r="X42" s="470"/>
    </row>
    <row r="43" spans="1:24" ht="15" customHeight="1" x14ac:dyDescent="0.2">
      <c r="A43" s="18" t="s">
        <v>15</v>
      </c>
      <c r="B43" s="249">
        <v>37</v>
      </c>
      <c r="C43" s="451"/>
      <c r="D43" s="249">
        <v>53</v>
      </c>
      <c r="E43" s="413"/>
      <c r="F43" s="252">
        <v>31</v>
      </c>
      <c r="G43" s="452"/>
      <c r="H43" s="252">
        <v>18</v>
      </c>
      <c r="I43" s="452"/>
      <c r="J43" s="252">
        <v>50</v>
      </c>
      <c r="K43" s="452"/>
      <c r="L43" s="252">
        <v>26</v>
      </c>
      <c r="M43" s="452"/>
      <c r="N43" s="252">
        <v>37</v>
      </c>
      <c r="O43" s="452"/>
      <c r="P43" s="252">
        <v>34</v>
      </c>
      <c r="Q43" s="452"/>
      <c r="R43" s="252">
        <v>19</v>
      </c>
      <c r="S43" s="452"/>
      <c r="T43" s="252">
        <v>28</v>
      </c>
      <c r="U43" s="1263"/>
      <c r="V43" s="566"/>
      <c r="W43" s="16">
        <f>AVERAGE(N43,L43,T43,R43,P43)</f>
        <v>28.8</v>
      </c>
      <c r="X43" s="24"/>
    </row>
    <row r="44" spans="1:24" ht="15" customHeight="1" thickBot="1" x14ac:dyDescent="0.25">
      <c r="A44" s="27" t="s">
        <v>16</v>
      </c>
      <c r="B44" s="603">
        <v>358</v>
      </c>
      <c r="C44" s="41"/>
      <c r="D44" s="603">
        <v>348</v>
      </c>
      <c r="E44" s="604"/>
      <c r="F44" s="605">
        <v>345</v>
      </c>
      <c r="G44" s="606"/>
      <c r="H44" s="605">
        <v>319</v>
      </c>
      <c r="I44" s="606"/>
      <c r="J44" s="605">
        <v>274</v>
      </c>
      <c r="K44" s="606"/>
      <c r="L44" s="605">
        <v>294</v>
      </c>
      <c r="M44" s="606"/>
      <c r="N44" s="605">
        <v>281</v>
      </c>
      <c r="O44" s="606"/>
      <c r="P44" s="605">
        <v>262</v>
      </c>
      <c r="Q44" s="606"/>
      <c r="R44" s="605">
        <f>83+168</f>
        <v>251</v>
      </c>
      <c r="S44" s="606"/>
      <c r="T44" s="605">
        <v>217</v>
      </c>
      <c r="U44" s="1264"/>
      <c r="V44" s="566"/>
      <c r="W44" s="16">
        <f>AVERAGE(N44,L44,T44,R44,P44)</f>
        <v>261</v>
      </c>
      <c r="X44" s="174"/>
    </row>
    <row r="45" spans="1:24" ht="15" customHeight="1" thickBot="1" x14ac:dyDescent="0.25">
      <c r="A45" s="98" t="s">
        <v>17</v>
      </c>
      <c r="B45" s="608">
        <f>SUM(B43:B44)</f>
        <v>395</v>
      </c>
      <c r="C45" s="607">
        <v>118</v>
      </c>
      <c r="D45" s="1203">
        <f t="shared" ref="D45:R45" si="6">SUM(D43:D44)</f>
        <v>401</v>
      </c>
      <c r="E45" s="1204">
        <v>170</v>
      </c>
      <c r="F45" s="1203">
        <f t="shared" si="6"/>
        <v>376</v>
      </c>
      <c r="G45" s="1204">
        <v>152</v>
      </c>
      <c r="H45" s="607">
        <f t="shared" si="6"/>
        <v>337</v>
      </c>
      <c r="I45" s="608">
        <v>146</v>
      </c>
      <c r="J45" s="607">
        <f t="shared" si="6"/>
        <v>324</v>
      </c>
      <c r="K45" s="608">
        <v>139</v>
      </c>
      <c r="L45" s="607">
        <f t="shared" si="6"/>
        <v>320</v>
      </c>
      <c r="M45" s="608">
        <v>147</v>
      </c>
      <c r="N45" s="1203">
        <f t="shared" si="6"/>
        <v>318</v>
      </c>
      <c r="O45" s="1204">
        <v>125</v>
      </c>
      <c r="P45" s="1203">
        <f t="shared" si="6"/>
        <v>296</v>
      </c>
      <c r="Q45" s="1204">
        <v>128</v>
      </c>
      <c r="R45" s="1203">
        <f t="shared" si="6"/>
        <v>270</v>
      </c>
      <c r="S45" s="1204">
        <v>133</v>
      </c>
      <c r="T45" s="607">
        <v>245</v>
      </c>
      <c r="U45" s="1266"/>
      <c r="V45" s="566"/>
      <c r="W45" s="482">
        <f>AVERAGE(N45,L45,T45,R45,P45)</f>
        <v>289.8</v>
      </c>
      <c r="X45" s="483">
        <f>AVERAGE(O45,M45,K45,S45,Q45)</f>
        <v>134.4</v>
      </c>
    </row>
    <row r="46" spans="1:24" ht="15" customHeight="1" x14ac:dyDescent="0.2">
      <c r="A46" s="554" t="s">
        <v>184</v>
      </c>
      <c r="B46" s="439"/>
      <c r="C46" s="440"/>
      <c r="D46" s="439"/>
      <c r="E46" s="413"/>
      <c r="F46" s="441"/>
      <c r="G46" s="413"/>
      <c r="H46" s="441"/>
      <c r="I46" s="413"/>
      <c r="J46" s="441"/>
      <c r="K46" s="413"/>
      <c r="L46" s="441"/>
      <c r="M46" s="413"/>
      <c r="N46" s="441"/>
      <c r="O46" s="413"/>
      <c r="P46" s="441"/>
      <c r="Q46" s="413"/>
      <c r="R46" s="441"/>
      <c r="S46" s="413"/>
      <c r="T46" s="441"/>
      <c r="U46" s="565"/>
      <c r="V46" s="566"/>
      <c r="W46" s="469"/>
      <c r="X46" s="470"/>
    </row>
    <row r="47" spans="1:24" ht="15" customHeight="1" x14ac:dyDescent="0.2">
      <c r="A47" s="18" t="s">
        <v>177</v>
      </c>
      <c r="B47" s="249">
        <v>109</v>
      </c>
      <c r="C47" s="573" t="s">
        <v>203</v>
      </c>
      <c r="D47" s="249">
        <v>107</v>
      </c>
      <c r="E47" s="574" t="s">
        <v>203</v>
      </c>
      <c r="F47" s="252">
        <v>119</v>
      </c>
      <c r="G47" s="574" t="s">
        <v>203</v>
      </c>
      <c r="H47" s="252">
        <f>77+1</f>
        <v>78</v>
      </c>
      <c r="I47" s="574" t="s">
        <v>203</v>
      </c>
      <c r="J47" s="252">
        <v>53</v>
      </c>
      <c r="K47" s="574" t="s">
        <v>203</v>
      </c>
      <c r="L47" s="252">
        <v>120</v>
      </c>
      <c r="M47" s="574" t="s">
        <v>203</v>
      </c>
      <c r="N47" s="252">
        <v>131</v>
      </c>
      <c r="O47" s="574" t="s">
        <v>203</v>
      </c>
      <c r="P47" s="252">
        <v>112</v>
      </c>
      <c r="Q47" s="574" t="s">
        <v>203</v>
      </c>
      <c r="R47" s="252">
        <v>110</v>
      </c>
      <c r="S47" s="574" t="s">
        <v>203</v>
      </c>
      <c r="T47" s="252">
        <v>106</v>
      </c>
      <c r="U47" s="609" t="s">
        <v>203</v>
      </c>
      <c r="V47" s="566"/>
      <c r="W47" s="16">
        <f>AVERAGE(N47,L47,T47,R47,P47)</f>
        <v>115.8</v>
      </c>
      <c r="X47" s="572"/>
    </row>
    <row r="48" spans="1:24" ht="15" customHeight="1" x14ac:dyDescent="0.2">
      <c r="A48" s="554" t="s">
        <v>185</v>
      </c>
      <c r="B48" s="249"/>
      <c r="C48" s="440"/>
      <c r="D48" s="249"/>
      <c r="E48" s="413"/>
      <c r="F48" s="252"/>
      <c r="G48" s="413"/>
      <c r="H48" s="252"/>
      <c r="I48" s="413"/>
      <c r="J48" s="252"/>
      <c r="K48" s="413"/>
      <c r="L48" s="252"/>
      <c r="M48" s="413"/>
      <c r="N48" s="252"/>
      <c r="O48" s="413"/>
      <c r="P48" s="252"/>
      <c r="Q48" s="413"/>
      <c r="R48" s="252"/>
      <c r="S48" s="413"/>
      <c r="T48" s="252"/>
      <c r="U48" s="565"/>
      <c r="V48" s="566"/>
      <c r="W48" s="16"/>
      <c r="X48" s="24"/>
    </row>
    <row r="49" spans="1:24" ht="15" customHeight="1" x14ac:dyDescent="0.2">
      <c r="A49" s="18" t="s">
        <v>177</v>
      </c>
      <c r="B49" s="249">
        <v>401</v>
      </c>
      <c r="C49" s="569" t="s">
        <v>203</v>
      </c>
      <c r="D49" s="249">
        <v>346</v>
      </c>
      <c r="E49" s="570" t="s">
        <v>203</v>
      </c>
      <c r="F49" s="252">
        <v>388</v>
      </c>
      <c r="G49" s="570" t="s">
        <v>203</v>
      </c>
      <c r="H49" s="252">
        <v>356</v>
      </c>
      <c r="I49" s="570" t="s">
        <v>203</v>
      </c>
      <c r="J49" s="252">
        <v>401</v>
      </c>
      <c r="K49" s="570" t="s">
        <v>203</v>
      </c>
      <c r="L49" s="252">
        <v>530</v>
      </c>
      <c r="M49" s="574" t="s">
        <v>203</v>
      </c>
      <c r="N49" s="252">
        <v>532</v>
      </c>
      <c r="O49" s="574" t="s">
        <v>203</v>
      </c>
      <c r="P49" s="252">
        <v>491</v>
      </c>
      <c r="Q49" s="570" t="s">
        <v>203</v>
      </c>
      <c r="R49" s="252">
        <v>529</v>
      </c>
      <c r="S49" s="570" t="s">
        <v>203</v>
      </c>
      <c r="T49" s="252">
        <v>541</v>
      </c>
      <c r="U49" s="610" t="s">
        <v>203</v>
      </c>
      <c r="V49" s="571"/>
      <c r="W49" s="16">
        <f>AVERAGE(N49,L49,T49,R49,P49)</f>
        <v>524.6</v>
      </c>
      <c r="X49" s="572"/>
    </row>
    <row r="50" spans="1:24" ht="15" customHeight="1" x14ac:dyDescent="0.2">
      <c r="A50" s="557" t="s">
        <v>186</v>
      </c>
      <c r="B50" s="249"/>
      <c r="C50" s="440"/>
      <c r="D50" s="249"/>
      <c r="E50" s="251"/>
      <c r="F50" s="252"/>
      <c r="G50" s="413"/>
      <c r="H50" s="252"/>
      <c r="I50" s="413"/>
      <c r="J50" s="252"/>
      <c r="K50" s="413"/>
      <c r="L50" s="252"/>
      <c r="M50" s="413"/>
      <c r="N50" s="252"/>
      <c r="O50" s="413"/>
      <c r="P50" s="252"/>
      <c r="Q50" s="413"/>
      <c r="R50" s="252"/>
      <c r="S50" s="413"/>
      <c r="T50" s="252"/>
      <c r="U50" s="565"/>
      <c r="V50" s="566"/>
      <c r="W50" s="16"/>
      <c r="X50" s="24"/>
    </row>
    <row r="51" spans="1:24" ht="15" customHeight="1" x14ac:dyDescent="0.2">
      <c r="A51" s="18" t="s">
        <v>177</v>
      </c>
      <c r="B51" s="249">
        <v>48</v>
      </c>
      <c r="C51" s="573" t="s">
        <v>203</v>
      </c>
      <c r="D51" s="249">
        <v>40</v>
      </c>
      <c r="E51" s="574" t="s">
        <v>203</v>
      </c>
      <c r="F51" s="252">
        <v>41</v>
      </c>
      <c r="G51" s="574" t="s">
        <v>203</v>
      </c>
      <c r="H51" s="252">
        <v>35</v>
      </c>
      <c r="I51" s="574" t="s">
        <v>203</v>
      </c>
      <c r="J51" s="252">
        <v>16</v>
      </c>
      <c r="K51" s="574" t="s">
        <v>203</v>
      </c>
      <c r="L51" s="252">
        <v>37</v>
      </c>
      <c r="M51" s="574" t="s">
        <v>203</v>
      </c>
      <c r="N51" s="252">
        <v>43</v>
      </c>
      <c r="O51" s="574" t="s">
        <v>203</v>
      </c>
      <c r="P51" s="252">
        <v>51</v>
      </c>
      <c r="Q51" s="574" t="s">
        <v>203</v>
      </c>
      <c r="R51" s="252">
        <v>43</v>
      </c>
      <c r="S51" s="574" t="s">
        <v>203</v>
      </c>
      <c r="T51" s="252">
        <v>36</v>
      </c>
      <c r="U51" s="609" t="s">
        <v>203</v>
      </c>
      <c r="V51" s="566"/>
      <c r="W51" s="16">
        <f>AVERAGE(N51,L51,T51,R51,P51)</f>
        <v>42</v>
      </c>
      <c r="X51" s="572"/>
    </row>
    <row r="52" spans="1:24" ht="15" customHeight="1" x14ac:dyDescent="0.2">
      <c r="A52" s="554" t="s">
        <v>187</v>
      </c>
      <c r="B52" s="249"/>
      <c r="C52" s="440"/>
      <c r="D52" s="249"/>
      <c r="E52" s="413"/>
      <c r="F52" s="252"/>
      <c r="G52" s="413"/>
      <c r="H52" s="252"/>
      <c r="I52" s="413"/>
      <c r="J52" s="252"/>
      <c r="K52" s="413"/>
      <c r="L52" s="252"/>
      <c r="M52" s="413"/>
      <c r="N52" s="252"/>
      <c r="O52" s="413"/>
      <c r="P52" s="252"/>
      <c r="Q52" s="413"/>
      <c r="R52" s="252"/>
      <c r="S52" s="413"/>
      <c r="T52" s="252"/>
      <c r="U52" s="565"/>
      <c r="V52" s="566"/>
      <c r="W52" s="16"/>
      <c r="X52" s="24"/>
    </row>
    <row r="53" spans="1:24" ht="15" customHeight="1" x14ac:dyDescent="0.2">
      <c r="A53" s="18" t="s">
        <v>177</v>
      </c>
      <c r="B53" s="249">
        <v>74</v>
      </c>
      <c r="C53" s="573" t="s">
        <v>203</v>
      </c>
      <c r="D53" s="249">
        <v>84</v>
      </c>
      <c r="E53" s="574" t="s">
        <v>203</v>
      </c>
      <c r="F53" s="252">
        <v>79</v>
      </c>
      <c r="G53" s="574" t="s">
        <v>203</v>
      </c>
      <c r="H53" s="252">
        <v>51</v>
      </c>
      <c r="I53" s="574" t="s">
        <v>203</v>
      </c>
      <c r="J53" s="252">
        <v>22</v>
      </c>
      <c r="K53" s="574" t="s">
        <v>203</v>
      </c>
      <c r="L53" s="252">
        <v>67</v>
      </c>
      <c r="M53" s="574" t="s">
        <v>203</v>
      </c>
      <c r="N53" s="252">
        <v>87</v>
      </c>
      <c r="O53" s="574" t="s">
        <v>203</v>
      </c>
      <c r="P53" s="252">
        <v>90</v>
      </c>
      <c r="Q53" s="574" t="s">
        <v>203</v>
      </c>
      <c r="R53" s="252">
        <v>64</v>
      </c>
      <c r="S53" s="574" t="s">
        <v>203</v>
      </c>
      <c r="T53" s="252">
        <v>58</v>
      </c>
      <c r="U53" s="609" t="s">
        <v>203</v>
      </c>
      <c r="V53" s="566"/>
      <c r="W53" s="16">
        <f>AVERAGE(N53,L53,T53,R53,P53)</f>
        <v>73.2</v>
      </c>
      <c r="X53" s="572"/>
    </row>
    <row r="54" spans="1:24" ht="15" customHeight="1" x14ac:dyDescent="0.2">
      <c r="A54" s="554" t="s">
        <v>188</v>
      </c>
      <c r="B54" s="249"/>
      <c r="C54" s="440"/>
      <c r="D54" s="249"/>
      <c r="E54" s="413"/>
      <c r="F54" s="252"/>
      <c r="G54" s="413"/>
      <c r="H54" s="252"/>
      <c r="I54" s="413"/>
      <c r="J54" s="252"/>
      <c r="K54" s="413"/>
      <c r="L54" s="252"/>
      <c r="M54" s="413"/>
      <c r="N54" s="252"/>
      <c r="O54" s="413"/>
      <c r="P54" s="252"/>
      <c r="Q54" s="413"/>
      <c r="R54" s="252"/>
      <c r="S54" s="413"/>
      <c r="T54" s="252"/>
      <c r="U54" s="565"/>
      <c r="V54" s="566"/>
      <c r="W54" s="16"/>
      <c r="X54" s="24"/>
    </row>
    <row r="55" spans="1:24" ht="15" customHeight="1" x14ac:dyDescent="0.2">
      <c r="A55" s="18" t="s">
        <v>177</v>
      </c>
      <c r="B55" s="249">
        <v>157</v>
      </c>
      <c r="C55" s="573" t="s">
        <v>203</v>
      </c>
      <c r="D55" s="249">
        <v>169</v>
      </c>
      <c r="E55" s="574" t="s">
        <v>203</v>
      </c>
      <c r="F55" s="252">
        <v>213</v>
      </c>
      <c r="G55" s="574" t="s">
        <v>203</v>
      </c>
      <c r="H55" s="252">
        <v>208</v>
      </c>
      <c r="I55" s="574" t="s">
        <v>203</v>
      </c>
      <c r="J55" s="252">
        <v>74</v>
      </c>
      <c r="K55" s="574" t="s">
        <v>203</v>
      </c>
      <c r="L55" s="252">
        <v>238</v>
      </c>
      <c r="M55" s="574" t="s">
        <v>203</v>
      </c>
      <c r="N55" s="252">
        <v>244</v>
      </c>
      <c r="O55" s="574" t="s">
        <v>203</v>
      </c>
      <c r="P55" s="252">
        <v>216</v>
      </c>
      <c r="Q55" s="574" t="s">
        <v>203</v>
      </c>
      <c r="R55" s="252">
        <v>184</v>
      </c>
      <c r="S55" s="574" t="s">
        <v>203</v>
      </c>
      <c r="T55" s="252">
        <v>195</v>
      </c>
      <c r="U55" s="609" t="s">
        <v>203</v>
      </c>
      <c r="V55" s="566"/>
      <c r="W55" s="16">
        <f>AVERAGE(N55,L55,T55,R55,P55)</f>
        <v>215.4</v>
      </c>
      <c r="X55" s="572"/>
    </row>
    <row r="56" spans="1:24" ht="15" customHeight="1" x14ac:dyDescent="0.2">
      <c r="A56" s="554" t="s">
        <v>189</v>
      </c>
      <c r="B56" s="249"/>
      <c r="C56" s="440"/>
      <c r="D56" s="249"/>
      <c r="E56" s="413"/>
      <c r="F56" s="252"/>
      <c r="G56" s="413"/>
      <c r="H56" s="252"/>
      <c r="I56" s="413"/>
      <c r="J56" s="252"/>
      <c r="K56" s="413"/>
      <c r="L56" s="252"/>
      <c r="M56" s="413"/>
      <c r="N56" s="252"/>
      <c r="O56" s="413"/>
      <c r="P56" s="252"/>
      <c r="Q56" s="413"/>
      <c r="R56" s="252"/>
      <c r="S56" s="413"/>
      <c r="T56" s="252"/>
      <c r="U56" s="565"/>
      <c r="V56" s="566"/>
      <c r="W56" s="16"/>
      <c r="X56" s="24"/>
    </row>
    <row r="57" spans="1:24" ht="15" customHeight="1" x14ac:dyDescent="0.2">
      <c r="A57" s="18" t="s">
        <v>177</v>
      </c>
      <c r="B57" s="249">
        <v>1</v>
      </c>
      <c r="C57" s="570" t="s">
        <v>203</v>
      </c>
      <c r="D57" s="249">
        <v>2</v>
      </c>
      <c r="E57" s="570" t="s">
        <v>203</v>
      </c>
      <c r="F57" s="252">
        <v>1</v>
      </c>
      <c r="G57" s="570" t="s">
        <v>203</v>
      </c>
      <c r="H57" s="252">
        <v>0</v>
      </c>
      <c r="I57" s="570" t="s">
        <v>203</v>
      </c>
      <c r="J57" s="252">
        <v>0</v>
      </c>
      <c r="K57" s="570" t="s">
        <v>203</v>
      </c>
      <c r="L57" s="252">
        <v>0</v>
      </c>
      <c r="M57" s="570" t="s">
        <v>203</v>
      </c>
      <c r="N57" s="252">
        <v>0</v>
      </c>
      <c r="O57" s="574" t="s">
        <v>203</v>
      </c>
      <c r="P57" s="252">
        <v>0</v>
      </c>
      <c r="Q57" s="570" t="s">
        <v>203</v>
      </c>
      <c r="R57" s="252">
        <v>0</v>
      </c>
      <c r="S57" s="570" t="s">
        <v>203</v>
      </c>
      <c r="T57" s="252">
        <v>1</v>
      </c>
      <c r="U57" s="610" t="s">
        <v>203</v>
      </c>
      <c r="V57" s="566"/>
      <c r="W57" s="16">
        <f>AVERAGE(N57,L57,T57,R57,P57)</f>
        <v>0.2</v>
      </c>
      <c r="X57" s="572"/>
    </row>
    <row r="58" spans="1:24" ht="15" customHeight="1" x14ac:dyDescent="0.2">
      <c r="A58" s="555" t="s">
        <v>190</v>
      </c>
      <c r="B58" s="439"/>
      <c r="C58" s="440"/>
      <c r="D58" s="439"/>
      <c r="E58" s="413"/>
      <c r="F58" s="441"/>
      <c r="G58" s="413"/>
      <c r="H58" s="441"/>
      <c r="I58" s="413"/>
      <c r="J58" s="441"/>
      <c r="K58" s="413"/>
      <c r="L58" s="441"/>
      <c r="M58" s="413"/>
      <c r="N58" s="441"/>
      <c r="O58" s="413"/>
      <c r="P58" s="441"/>
      <c r="Q58" s="413"/>
      <c r="R58" s="441"/>
      <c r="S58" s="413"/>
      <c r="T58" s="441"/>
      <c r="U58" s="565"/>
      <c r="V58" s="23"/>
      <c r="W58" s="16"/>
      <c r="X58" s="24"/>
    </row>
    <row r="59" spans="1:24" ht="15" customHeight="1" x14ac:dyDescent="0.2">
      <c r="A59" s="18" t="s">
        <v>177</v>
      </c>
      <c r="B59" s="249">
        <v>21</v>
      </c>
      <c r="C59" s="573" t="s">
        <v>203</v>
      </c>
      <c r="D59" s="249">
        <v>24</v>
      </c>
      <c r="E59" s="574" t="s">
        <v>203</v>
      </c>
      <c r="F59" s="252">
        <v>32</v>
      </c>
      <c r="G59" s="574" t="s">
        <v>203</v>
      </c>
      <c r="H59" s="252">
        <v>31</v>
      </c>
      <c r="I59" s="574" t="s">
        <v>203</v>
      </c>
      <c r="J59" s="252">
        <v>26</v>
      </c>
      <c r="K59" s="574" t="s">
        <v>203</v>
      </c>
      <c r="L59" s="252">
        <v>72</v>
      </c>
      <c r="M59" s="574" t="s">
        <v>203</v>
      </c>
      <c r="N59" s="252">
        <v>86</v>
      </c>
      <c r="O59" s="574" t="s">
        <v>203</v>
      </c>
      <c r="P59" s="252">
        <v>87</v>
      </c>
      <c r="Q59" s="574" t="s">
        <v>203</v>
      </c>
      <c r="R59" s="252">
        <v>77</v>
      </c>
      <c r="S59" s="574" t="s">
        <v>203</v>
      </c>
      <c r="T59" s="252">
        <v>81</v>
      </c>
      <c r="U59" s="609" t="s">
        <v>203</v>
      </c>
      <c r="V59" s="23"/>
      <c r="W59" s="16">
        <f>AVERAGE(N59,L59,T59,R59,P59)</f>
        <v>80.599999999999994</v>
      </c>
      <c r="X59" s="572"/>
    </row>
    <row r="60" spans="1:24" ht="15" customHeight="1" x14ac:dyDescent="0.2">
      <c r="A60" s="554" t="s">
        <v>191</v>
      </c>
      <c r="B60" s="249"/>
      <c r="C60" s="573"/>
      <c r="D60" s="249"/>
      <c r="E60" s="574"/>
      <c r="F60" s="252"/>
      <c r="G60" s="574"/>
      <c r="H60" s="252"/>
      <c r="I60" s="574"/>
      <c r="J60" s="252"/>
      <c r="K60" s="574"/>
      <c r="L60" s="252"/>
      <c r="M60" s="574"/>
      <c r="N60" s="252"/>
      <c r="O60" s="413"/>
      <c r="P60" s="252"/>
      <c r="Q60" s="574"/>
      <c r="R60" s="252"/>
      <c r="S60" s="574"/>
      <c r="T60" s="252"/>
      <c r="U60" s="609"/>
      <c r="V60" s="23"/>
      <c r="W60" s="16"/>
      <c r="X60" s="24"/>
    </row>
    <row r="61" spans="1:24" ht="15" customHeight="1" x14ac:dyDescent="0.2">
      <c r="A61" s="18" t="s">
        <v>177</v>
      </c>
      <c r="B61" s="249">
        <v>2</v>
      </c>
      <c r="C61" s="573" t="s">
        <v>203</v>
      </c>
      <c r="D61" s="249">
        <v>1</v>
      </c>
      <c r="E61" s="574" t="s">
        <v>203</v>
      </c>
      <c r="F61" s="252">
        <v>3</v>
      </c>
      <c r="G61" s="574" t="s">
        <v>203</v>
      </c>
      <c r="H61" s="252">
        <v>1</v>
      </c>
      <c r="I61" s="574" t="s">
        <v>203</v>
      </c>
      <c r="J61" s="252">
        <v>1</v>
      </c>
      <c r="K61" s="574" t="s">
        <v>203</v>
      </c>
      <c r="L61" s="252">
        <v>5</v>
      </c>
      <c r="M61" s="574" t="s">
        <v>203</v>
      </c>
      <c r="N61" s="252">
        <v>3</v>
      </c>
      <c r="O61" s="574" t="s">
        <v>203</v>
      </c>
      <c r="P61" s="252">
        <v>4</v>
      </c>
      <c r="Q61" s="574" t="s">
        <v>203</v>
      </c>
      <c r="R61" s="252">
        <v>2</v>
      </c>
      <c r="S61" s="574" t="s">
        <v>203</v>
      </c>
      <c r="T61" s="252">
        <v>2</v>
      </c>
      <c r="U61" s="609" t="s">
        <v>203</v>
      </c>
      <c r="V61" s="23"/>
      <c r="W61" s="16">
        <f>AVERAGE(N61,L61,T61,R61,P61)</f>
        <v>3.2</v>
      </c>
      <c r="X61" s="572"/>
    </row>
    <row r="62" spans="1:24" ht="15" customHeight="1" x14ac:dyDescent="0.2">
      <c r="A62" s="554" t="s">
        <v>192</v>
      </c>
      <c r="B62" s="249"/>
      <c r="C62" s="569"/>
      <c r="D62" s="249"/>
      <c r="E62" s="570"/>
      <c r="F62" s="252"/>
      <c r="G62" s="570"/>
      <c r="H62" s="252"/>
      <c r="I62" s="570"/>
      <c r="J62" s="252"/>
      <c r="K62" s="570"/>
      <c r="L62" s="252"/>
      <c r="M62" s="570"/>
      <c r="N62" s="252"/>
      <c r="O62" s="413"/>
      <c r="P62" s="252"/>
      <c r="Q62" s="570"/>
      <c r="R62" s="252"/>
      <c r="S62" s="570"/>
      <c r="T62" s="252"/>
      <c r="U62" s="610"/>
      <c r="V62" s="23"/>
      <c r="W62" s="16"/>
      <c r="X62" s="24"/>
    </row>
    <row r="63" spans="1:24" ht="15" customHeight="1" x14ac:dyDescent="0.2">
      <c r="A63" s="18" t="s">
        <v>177</v>
      </c>
      <c r="B63" s="249">
        <f>74</f>
        <v>74</v>
      </c>
      <c r="C63" s="573" t="s">
        <v>203</v>
      </c>
      <c r="D63" s="249">
        <v>391</v>
      </c>
      <c r="E63" s="574" t="s">
        <v>203</v>
      </c>
      <c r="F63" s="252">
        <v>13</v>
      </c>
      <c r="G63" s="574" t="s">
        <v>203</v>
      </c>
      <c r="H63" s="252">
        <f>2+1</f>
        <v>3</v>
      </c>
      <c r="I63" s="574" t="s">
        <v>203</v>
      </c>
      <c r="J63" s="252">
        <v>2</v>
      </c>
      <c r="K63" s="574" t="s">
        <v>203</v>
      </c>
      <c r="L63" s="252">
        <v>0</v>
      </c>
      <c r="M63" s="574" t="s">
        <v>203</v>
      </c>
      <c r="N63" s="252">
        <v>1</v>
      </c>
      <c r="O63" s="574" t="s">
        <v>203</v>
      </c>
      <c r="P63" s="252">
        <v>0</v>
      </c>
      <c r="Q63" s="574" t="s">
        <v>203</v>
      </c>
      <c r="R63" s="252">
        <v>0</v>
      </c>
      <c r="S63" s="574" t="s">
        <v>203</v>
      </c>
      <c r="T63" s="252">
        <v>3</v>
      </c>
      <c r="U63" s="609" t="s">
        <v>203</v>
      </c>
      <c r="V63" s="23"/>
      <c r="W63" s="16">
        <f>AVERAGE(N63,L63,T63,R63,P63)</f>
        <v>0.8</v>
      </c>
      <c r="X63" s="572"/>
    </row>
    <row r="64" spans="1:24" ht="15" customHeight="1" x14ac:dyDescent="0.2">
      <c r="A64" s="554" t="s">
        <v>193</v>
      </c>
      <c r="B64" s="249"/>
      <c r="C64" s="573"/>
      <c r="D64" s="249"/>
      <c r="E64" s="574"/>
      <c r="F64" s="252"/>
      <c r="G64" s="574"/>
      <c r="H64" s="252"/>
      <c r="I64" s="574"/>
      <c r="J64" s="252"/>
      <c r="K64" s="574"/>
      <c r="L64" s="252"/>
      <c r="M64" s="574"/>
      <c r="N64" s="252"/>
      <c r="O64" s="413"/>
      <c r="P64" s="252"/>
      <c r="Q64" s="574"/>
      <c r="R64" s="252"/>
      <c r="S64" s="574"/>
      <c r="T64" s="252"/>
      <c r="U64" s="609"/>
      <c r="V64" s="23"/>
      <c r="W64" s="16"/>
      <c r="X64" s="24"/>
    </row>
    <row r="65" spans="1:24" ht="15" customHeight="1" x14ac:dyDescent="0.2">
      <c r="A65" s="18" t="s">
        <v>177</v>
      </c>
      <c r="B65" s="249">
        <v>19</v>
      </c>
      <c r="C65" s="573" t="s">
        <v>203</v>
      </c>
      <c r="D65" s="249">
        <v>15</v>
      </c>
      <c r="E65" s="574" t="s">
        <v>203</v>
      </c>
      <c r="F65" s="252">
        <v>31</v>
      </c>
      <c r="G65" s="574" t="s">
        <v>203</v>
      </c>
      <c r="H65" s="252">
        <v>23</v>
      </c>
      <c r="I65" s="574" t="s">
        <v>203</v>
      </c>
      <c r="J65" s="252">
        <v>17</v>
      </c>
      <c r="K65" s="574" t="s">
        <v>203</v>
      </c>
      <c r="L65" s="252">
        <v>35</v>
      </c>
      <c r="M65" s="574" t="s">
        <v>203</v>
      </c>
      <c r="N65" s="252">
        <v>38</v>
      </c>
      <c r="O65" s="574" t="s">
        <v>203</v>
      </c>
      <c r="P65" s="252">
        <v>31</v>
      </c>
      <c r="Q65" s="574" t="s">
        <v>203</v>
      </c>
      <c r="R65" s="252">
        <v>32</v>
      </c>
      <c r="S65" s="574" t="s">
        <v>203</v>
      </c>
      <c r="T65" s="252">
        <v>26</v>
      </c>
      <c r="U65" s="609" t="s">
        <v>203</v>
      </c>
      <c r="V65" s="23"/>
      <c r="W65" s="16">
        <f>AVERAGE(N65,L65,T65,R65,P65)</f>
        <v>32.4</v>
      </c>
      <c r="X65" s="572"/>
    </row>
    <row r="66" spans="1:24" ht="15" customHeight="1" x14ac:dyDescent="0.2">
      <c r="A66" s="554" t="s">
        <v>194</v>
      </c>
      <c r="B66" s="249"/>
      <c r="C66" s="573"/>
      <c r="D66" s="249"/>
      <c r="E66" s="574"/>
      <c r="F66" s="252"/>
      <c r="G66" s="574"/>
      <c r="H66" s="252"/>
      <c r="I66" s="574"/>
      <c r="J66" s="252"/>
      <c r="K66" s="574"/>
      <c r="L66" s="252"/>
      <c r="M66" s="574"/>
      <c r="N66" s="252"/>
      <c r="O66" s="413"/>
      <c r="P66" s="252"/>
      <c r="Q66" s="574"/>
      <c r="R66" s="252"/>
      <c r="S66" s="574"/>
      <c r="T66" s="252"/>
      <c r="U66" s="609"/>
      <c r="V66" s="23"/>
      <c r="W66" s="16"/>
      <c r="X66" s="24"/>
    </row>
    <row r="67" spans="1:24" ht="15" customHeight="1" x14ac:dyDescent="0.2">
      <c r="A67" s="18" t="s">
        <v>177</v>
      </c>
      <c r="B67" s="249">
        <v>58</v>
      </c>
      <c r="C67" s="573" t="s">
        <v>203</v>
      </c>
      <c r="D67" s="249">
        <v>63</v>
      </c>
      <c r="E67" s="574" t="s">
        <v>203</v>
      </c>
      <c r="F67" s="252">
        <v>83</v>
      </c>
      <c r="G67" s="574" t="s">
        <v>203</v>
      </c>
      <c r="H67" s="252">
        <v>75</v>
      </c>
      <c r="I67" s="574" t="s">
        <v>203</v>
      </c>
      <c r="J67" s="252">
        <v>59</v>
      </c>
      <c r="K67" s="574" t="s">
        <v>203</v>
      </c>
      <c r="L67" s="252">
        <v>106</v>
      </c>
      <c r="M67" s="574" t="s">
        <v>203</v>
      </c>
      <c r="N67" s="252">
        <v>112</v>
      </c>
      <c r="O67" s="574" t="s">
        <v>203</v>
      </c>
      <c r="P67" s="252">
        <v>115</v>
      </c>
      <c r="Q67" s="574" t="s">
        <v>203</v>
      </c>
      <c r="R67" s="252">
        <v>100</v>
      </c>
      <c r="S67" s="574" t="s">
        <v>203</v>
      </c>
      <c r="T67" s="252">
        <v>123</v>
      </c>
      <c r="U67" s="609" t="s">
        <v>203</v>
      </c>
      <c r="V67" s="23"/>
      <c r="W67" s="16">
        <f>AVERAGE(N67,L67,T67,R67,P67)</f>
        <v>111.2</v>
      </c>
      <c r="X67" s="572"/>
    </row>
    <row r="68" spans="1:24" ht="15" customHeight="1" x14ac:dyDescent="0.2">
      <c r="A68" s="554" t="s">
        <v>195</v>
      </c>
      <c r="B68" s="249"/>
      <c r="C68" s="573"/>
      <c r="D68" s="249"/>
      <c r="E68" s="574"/>
      <c r="F68" s="252"/>
      <c r="G68" s="574"/>
      <c r="H68" s="252"/>
      <c r="I68" s="574"/>
      <c r="J68" s="252"/>
      <c r="K68" s="574"/>
      <c r="L68" s="252"/>
      <c r="M68" s="574"/>
      <c r="N68" s="252"/>
      <c r="O68" s="574"/>
      <c r="P68" s="252"/>
      <c r="Q68" s="574"/>
      <c r="R68" s="252"/>
      <c r="S68" s="574"/>
      <c r="T68" s="252"/>
      <c r="U68" s="609"/>
      <c r="V68" s="23"/>
      <c r="W68" s="16"/>
      <c r="X68" s="24"/>
    </row>
    <row r="69" spans="1:24" ht="15" customHeight="1" x14ac:dyDescent="0.2">
      <c r="A69" s="18" t="s">
        <v>177</v>
      </c>
      <c r="B69" s="249">
        <v>131</v>
      </c>
      <c r="C69" s="573" t="s">
        <v>203</v>
      </c>
      <c r="D69" s="249">
        <v>118</v>
      </c>
      <c r="E69" s="574" t="s">
        <v>203</v>
      </c>
      <c r="F69" s="252">
        <v>141</v>
      </c>
      <c r="G69" s="574" t="s">
        <v>203</v>
      </c>
      <c r="H69" s="252">
        <v>132</v>
      </c>
      <c r="I69" s="574" t="s">
        <v>203</v>
      </c>
      <c r="J69" s="252">
        <v>134</v>
      </c>
      <c r="K69" s="574" t="s">
        <v>203</v>
      </c>
      <c r="L69" s="252">
        <v>193</v>
      </c>
      <c r="M69" s="574" t="s">
        <v>203</v>
      </c>
      <c r="N69" s="252">
        <v>245</v>
      </c>
      <c r="O69" s="574" t="s">
        <v>203</v>
      </c>
      <c r="P69" s="252">
        <v>196</v>
      </c>
      <c r="Q69" s="574" t="s">
        <v>203</v>
      </c>
      <c r="R69" s="252">
        <v>188</v>
      </c>
      <c r="S69" s="574" t="s">
        <v>203</v>
      </c>
      <c r="T69" s="252">
        <v>236</v>
      </c>
      <c r="U69" s="609" t="s">
        <v>203</v>
      </c>
      <c r="V69" s="23"/>
      <c r="W69" s="16">
        <f>AVERAGE(N69,L69,T69,R69,P69)</f>
        <v>211.6</v>
      </c>
      <c r="X69" s="572"/>
    </row>
    <row r="70" spans="1:24" ht="15" customHeight="1" x14ac:dyDescent="0.2">
      <c r="A70" s="554" t="s">
        <v>196</v>
      </c>
      <c r="B70" s="249"/>
      <c r="C70" s="573"/>
      <c r="D70" s="249"/>
      <c r="E70" s="574"/>
      <c r="F70" s="252"/>
      <c r="G70" s="574"/>
      <c r="H70" s="252"/>
      <c r="I70" s="574"/>
      <c r="J70" s="252"/>
      <c r="K70" s="574"/>
      <c r="L70" s="252"/>
      <c r="M70" s="574"/>
      <c r="N70" s="252"/>
      <c r="O70" s="413"/>
      <c r="P70" s="252"/>
      <c r="Q70" s="574"/>
      <c r="R70" s="252"/>
      <c r="S70" s="574"/>
      <c r="T70" s="252"/>
      <c r="U70" s="609"/>
      <c r="V70" s="23"/>
      <c r="W70" s="16"/>
      <c r="X70" s="24"/>
    </row>
    <row r="71" spans="1:24" ht="15" customHeight="1" x14ac:dyDescent="0.2">
      <c r="A71" s="18" t="s">
        <v>177</v>
      </c>
      <c r="B71" s="249">
        <v>269</v>
      </c>
      <c r="C71" s="573" t="s">
        <v>203</v>
      </c>
      <c r="D71" s="249">
        <v>205</v>
      </c>
      <c r="E71" s="574" t="s">
        <v>203</v>
      </c>
      <c r="F71" s="252">
        <v>239</v>
      </c>
      <c r="G71" s="574" t="s">
        <v>203</v>
      </c>
      <c r="H71" s="252">
        <v>257</v>
      </c>
      <c r="I71" s="574" t="s">
        <v>203</v>
      </c>
      <c r="J71" s="252">
        <v>272</v>
      </c>
      <c r="K71" s="574" t="s">
        <v>203</v>
      </c>
      <c r="L71" s="252">
        <v>327</v>
      </c>
      <c r="M71" s="574" t="s">
        <v>203</v>
      </c>
      <c r="N71" s="252">
        <v>333</v>
      </c>
      <c r="O71" s="574" t="s">
        <v>203</v>
      </c>
      <c r="P71" s="252">
        <v>288</v>
      </c>
      <c r="Q71" s="574" t="s">
        <v>203</v>
      </c>
      <c r="R71" s="252">
        <v>300</v>
      </c>
      <c r="S71" s="574" t="s">
        <v>203</v>
      </c>
      <c r="T71" s="252">
        <v>307</v>
      </c>
      <c r="U71" s="609" t="s">
        <v>203</v>
      </c>
      <c r="V71" s="23"/>
      <c r="W71" s="16">
        <f>AVERAGE(N71,L71,T71,R71,P71)</f>
        <v>311</v>
      </c>
      <c r="X71" s="572"/>
    </row>
    <row r="72" spans="1:24" ht="15" customHeight="1" x14ac:dyDescent="0.2">
      <c r="A72" s="555" t="s">
        <v>197</v>
      </c>
      <c r="B72" s="249"/>
      <c r="C72" s="573"/>
      <c r="D72" s="249"/>
      <c r="E72" s="574"/>
      <c r="F72" s="252"/>
      <c r="G72" s="574"/>
      <c r="H72" s="252"/>
      <c r="I72" s="574"/>
      <c r="J72" s="252"/>
      <c r="K72" s="574"/>
      <c r="L72" s="252"/>
      <c r="M72" s="574"/>
      <c r="N72" s="252"/>
      <c r="O72" s="574"/>
      <c r="P72" s="252"/>
      <c r="Q72" s="574"/>
      <c r="R72" s="252"/>
      <c r="S72" s="574"/>
      <c r="T72" s="252"/>
      <c r="U72" s="609"/>
      <c r="V72" s="23"/>
      <c r="W72" s="16"/>
      <c r="X72" s="24"/>
    </row>
    <row r="73" spans="1:24" ht="15" customHeight="1" x14ac:dyDescent="0.2">
      <c r="A73" s="556" t="s">
        <v>18</v>
      </c>
      <c r="B73" s="22">
        <v>0</v>
      </c>
      <c r="C73" s="288">
        <v>0</v>
      </c>
      <c r="D73" s="22">
        <v>0</v>
      </c>
      <c r="E73" s="287">
        <v>0</v>
      </c>
      <c r="F73" s="20">
        <v>0</v>
      </c>
      <c r="G73" s="287">
        <v>0</v>
      </c>
      <c r="H73" s="20">
        <v>0</v>
      </c>
      <c r="I73" s="287">
        <v>0</v>
      </c>
      <c r="J73" s="20">
        <v>0</v>
      </c>
      <c r="K73" s="287">
        <v>0</v>
      </c>
      <c r="L73" s="20">
        <v>0</v>
      </c>
      <c r="M73" s="287">
        <v>0</v>
      </c>
      <c r="N73" s="20">
        <v>2</v>
      </c>
      <c r="O73" s="287">
        <v>0</v>
      </c>
      <c r="P73" s="20">
        <v>2</v>
      </c>
      <c r="Q73" s="287">
        <v>5</v>
      </c>
      <c r="R73" s="20">
        <v>1</v>
      </c>
      <c r="S73" s="287">
        <v>7</v>
      </c>
      <c r="T73" s="20">
        <v>5</v>
      </c>
      <c r="U73" s="611"/>
      <c r="V73" s="23"/>
      <c r="W73" s="16">
        <f>AVERAGE(N73,L73,T73,R73,P73)</f>
        <v>2</v>
      </c>
      <c r="X73" s="24">
        <f>AVERAGE(O73,M73,K73,S73,Q73)</f>
        <v>2.4</v>
      </c>
    </row>
    <row r="74" spans="1:24" ht="15" customHeight="1" x14ac:dyDescent="0.2">
      <c r="A74" s="554" t="s">
        <v>198</v>
      </c>
      <c r="B74" s="22"/>
      <c r="C74" s="21"/>
      <c r="D74" s="22"/>
      <c r="E74" s="570"/>
      <c r="F74" s="20"/>
      <c r="G74" s="570"/>
      <c r="H74" s="22"/>
      <c r="I74" s="570"/>
      <c r="J74" s="20"/>
      <c r="K74" s="570"/>
      <c r="L74" s="20"/>
      <c r="M74" s="570"/>
      <c r="N74" s="20"/>
      <c r="O74" s="570"/>
      <c r="P74" s="20"/>
      <c r="Q74" s="570"/>
      <c r="R74" s="20"/>
      <c r="S74" s="570"/>
      <c r="T74" s="20"/>
      <c r="U74" s="610"/>
      <c r="V74" s="23"/>
      <c r="W74" s="16"/>
      <c r="X74" s="24"/>
    </row>
    <row r="75" spans="1:24" ht="15" customHeight="1" x14ac:dyDescent="0.2">
      <c r="A75" s="556" t="s">
        <v>199</v>
      </c>
      <c r="B75" s="22">
        <v>15</v>
      </c>
      <c r="C75" s="453">
        <v>2</v>
      </c>
      <c r="D75" s="22">
        <v>13</v>
      </c>
      <c r="E75" s="19">
        <v>1</v>
      </c>
      <c r="F75" s="20">
        <v>8</v>
      </c>
      <c r="G75" s="454">
        <v>6</v>
      </c>
      <c r="H75" s="22">
        <f>3+1</f>
        <v>4</v>
      </c>
      <c r="I75" s="454">
        <v>0</v>
      </c>
      <c r="J75" s="20">
        <v>0</v>
      </c>
      <c r="K75" s="454">
        <v>11</v>
      </c>
      <c r="L75" s="20">
        <v>0</v>
      </c>
      <c r="M75" s="454">
        <v>6</v>
      </c>
      <c r="N75" s="20">
        <v>0</v>
      </c>
      <c r="O75" s="19">
        <v>5</v>
      </c>
      <c r="P75" s="20">
        <v>0</v>
      </c>
      <c r="Q75" s="454">
        <v>8</v>
      </c>
      <c r="R75" s="20">
        <v>2</v>
      </c>
      <c r="S75" s="454">
        <v>13</v>
      </c>
      <c r="T75" s="20">
        <v>3</v>
      </c>
      <c r="U75" s="612"/>
      <c r="V75" s="23"/>
      <c r="W75" s="16">
        <f>AVERAGE(N75,L75,T75,R75,P75)</f>
        <v>1</v>
      </c>
      <c r="X75" s="24">
        <f>AVERAGE(O75,M75,K75,S75,Q75)</f>
        <v>8.6</v>
      </c>
    </row>
    <row r="76" spans="1:24" ht="15" customHeight="1" x14ac:dyDescent="0.2">
      <c r="A76" s="555" t="s">
        <v>200</v>
      </c>
      <c r="B76" s="22"/>
      <c r="C76" s="453"/>
      <c r="D76" s="22"/>
      <c r="E76" s="19"/>
      <c r="F76" s="20"/>
      <c r="G76" s="454"/>
      <c r="H76" s="20"/>
      <c r="I76" s="454"/>
      <c r="J76" s="20"/>
      <c r="K76" s="454"/>
      <c r="L76" s="20"/>
      <c r="M76" s="454"/>
      <c r="N76" s="20"/>
      <c r="O76" s="19"/>
      <c r="P76" s="20"/>
      <c r="Q76" s="454"/>
      <c r="R76" s="20"/>
      <c r="S76" s="454"/>
      <c r="T76" s="20"/>
      <c r="U76" s="612"/>
      <c r="V76" s="23"/>
      <c r="W76" s="16"/>
      <c r="X76" s="24"/>
    </row>
    <row r="77" spans="1:24" ht="15" customHeight="1" x14ac:dyDescent="0.2">
      <c r="A77" s="18" t="s">
        <v>311</v>
      </c>
      <c r="B77" s="22">
        <v>1302</v>
      </c>
      <c r="C77" s="573" t="s">
        <v>203</v>
      </c>
      <c r="D77" s="249">
        <v>1333</v>
      </c>
      <c r="E77" s="570" t="s">
        <v>203</v>
      </c>
      <c r="F77" s="252">
        <f>1205+40</f>
        <v>1245</v>
      </c>
      <c r="G77" s="574" t="s">
        <v>203</v>
      </c>
      <c r="H77" s="252">
        <v>1196</v>
      </c>
      <c r="I77" s="574" t="s">
        <v>203</v>
      </c>
      <c r="J77" s="252">
        <v>1164</v>
      </c>
      <c r="K77" s="574" t="s">
        <v>203</v>
      </c>
      <c r="L77" s="252">
        <f>72+1087</f>
        <v>1159</v>
      </c>
      <c r="M77" s="574" t="s">
        <v>203</v>
      </c>
      <c r="N77" s="252">
        <f>163+98+1135</f>
        <v>1396</v>
      </c>
      <c r="O77" s="574" t="s">
        <v>203</v>
      </c>
      <c r="P77" s="252">
        <f>981+63</f>
        <v>1044</v>
      </c>
      <c r="Q77" s="574" t="s">
        <v>203</v>
      </c>
      <c r="R77" s="252">
        <f>19+911</f>
        <v>930</v>
      </c>
      <c r="S77" s="574" t="s">
        <v>203</v>
      </c>
      <c r="T77" s="252">
        <v>891</v>
      </c>
      <c r="U77" s="609" t="s">
        <v>203</v>
      </c>
      <c r="V77" s="23"/>
      <c r="W77" s="16">
        <f>AVERAGE(N77,L77,T77,R77,P77)</f>
        <v>1084</v>
      </c>
      <c r="X77" s="572"/>
    </row>
    <row r="78" spans="1:24" ht="15" customHeight="1" x14ac:dyDescent="0.2">
      <c r="A78" s="18" t="s">
        <v>177</v>
      </c>
      <c r="B78" s="22">
        <v>2</v>
      </c>
      <c r="C78" s="569" t="s">
        <v>203</v>
      </c>
      <c r="D78" s="22">
        <v>7</v>
      </c>
      <c r="E78" s="19" t="s">
        <v>203</v>
      </c>
      <c r="F78" s="20">
        <v>55</v>
      </c>
      <c r="G78" s="19" t="s">
        <v>203</v>
      </c>
      <c r="H78" s="20">
        <v>17</v>
      </c>
      <c r="I78" s="19" t="s">
        <v>203</v>
      </c>
      <c r="J78" s="20">
        <f>49+6</f>
        <v>55</v>
      </c>
      <c r="K78" s="19" t="s">
        <v>203</v>
      </c>
      <c r="L78" s="20">
        <v>46</v>
      </c>
      <c r="M78" s="19" t="s">
        <v>203</v>
      </c>
      <c r="N78" s="20">
        <v>52</v>
      </c>
      <c r="O78" s="574" t="s">
        <v>203</v>
      </c>
      <c r="P78" s="20">
        <v>30</v>
      </c>
      <c r="Q78" s="19" t="s">
        <v>203</v>
      </c>
      <c r="R78" s="20">
        <v>49</v>
      </c>
      <c r="S78" s="19" t="s">
        <v>203</v>
      </c>
      <c r="T78" s="20">
        <v>36</v>
      </c>
      <c r="U78" s="613" t="s">
        <v>203</v>
      </c>
      <c r="V78" s="23"/>
      <c r="W78" s="16">
        <f>AVERAGE(N78,L78,T78,R78,P78)</f>
        <v>42.6</v>
      </c>
      <c r="X78" s="572"/>
    </row>
    <row r="79" spans="1:24" ht="15" customHeight="1" x14ac:dyDescent="0.2">
      <c r="A79" s="18" t="s">
        <v>201</v>
      </c>
      <c r="B79" s="575"/>
      <c r="C79" s="576"/>
      <c r="D79" s="22">
        <v>35</v>
      </c>
      <c r="E79" s="19" t="s">
        <v>203</v>
      </c>
      <c r="F79" s="20">
        <f>1+71</f>
        <v>72</v>
      </c>
      <c r="G79" s="19" t="s">
        <v>203</v>
      </c>
      <c r="H79" s="20">
        <f>43+15</f>
        <v>58</v>
      </c>
      <c r="I79" s="19" t="s">
        <v>203</v>
      </c>
      <c r="J79" s="20">
        <v>28</v>
      </c>
      <c r="K79" s="19" t="s">
        <v>203</v>
      </c>
      <c r="L79" s="20">
        <v>46</v>
      </c>
      <c r="M79" s="19" t="s">
        <v>203</v>
      </c>
      <c r="N79" s="20">
        <v>85</v>
      </c>
      <c r="O79" s="574" t="s">
        <v>203</v>
      </c>
      <c r="P79" s="20">
        <v>23</v>
      </c>
      <c r="Q79" s="19" t="s">
        <v>203</v>
      </c>
      <c r="R79" s="20">
        <v>13</v>
      </c>
      <c r="S79" s="19" t="s">
        <v>203</v>
      </c>
      <c r="T79" s="20">
        <v>15</v>
      </c>
      <c r="U79" s="613" t="s">
        <v>203</v>
      </c>
      <c r="V79" s="23"/>
      <c r="W79" s="16">
        <f>AVERAGE(N79,L79,T79,R79,P79)</f>
        <v>36.4</v>
      </c>
      <c r="X79" s="572"/>
    </row>
    <row r="80" spans="1:24" ht="15" customHeight="1" x14ac:dyDescent="0.2">
      <c r="A80" s="554" t="s">
        <v>202</v>
      </c>
      <c r="B80" s="22"/>
      <c r="C80" s="21"/>
      <c r="D80" s="22"/>
      <c r="E80" s="570"/>
      <c r="F80" s="20"/>
      <c r="G80" s="570"/>
      <c r="H80" s="20"/>
      <c r="I80" s="570"/>
      <c r="J80" s="20"/>
      <c r="K80" s="570"/>
      <c r="L80" s="20"/>
      <c r="M80" s="570"/>
      <c r="N80" s="20"/>
      <c r="O80" s="570"/>
      <c r="P80" s="20"/>
      <c r="Q80" s="570"/>
      <c r="R80" s="20"/>
      <c r="S80" s="570"/>
      <c r="T80" s="20"/>
      <c r="U80" s="610"/>
      <c r="V80" s="23"/>
      <c r="W80" s="16"/>
      <c r="X80" s="24"/>
    </row>
    <row r="81" spans="1:24" ht="15" customHeight="1" thickBot="1" x14ac:dyDescent="0.25">
      <c r="A81" s="558" t="s">
        <v>76</v>
      </c>
      <c r="B81" s="577"/>
      <c r="C81" s="578"/>
      <c r="D81" s="577"/>
      <c r="E81" s="579"/>
      <c r="F81" s="580"/>
      <c r="G81" s="579"/>
      <c r="H81" s="33">
        <v>0</v>
      </c>
      <c r="I81" s="32">
        <v>7</v>
      </c>
      <c r="J81" s="33">
        <v>0</v>
      </c>
      <c r="K81" s="32">
        <v>0</v>
      </c>
      <c r="L81" s="33">
        <v>0</v>
      </c>
      <c r="M81" s="32">
        <v>2</v>
      </c>
      <c r="N81" s="33">
        <v>0</v>
      </c>
      <c r="O81" s="32">
        <v>3</v>
      </c>
      <c r="P81" s="33">
        <v>0</v>
      </c>
      <c r="Q81" s="32">
        <v>2</v>
      </c>
      <c r="R81" s="33">
        <v>1</v>
      </c>
      <c r="S81" s="32">
        <v>1</v>
      </c>
      <c r="T81" s="33">
        <v>4</v>
      </c>
      <c r="U81" s="614"/>
      <c r="V81" s="23"/>
      <c r="W81" s="16">
        <f>AVERAGE(N81,L81,T81,R81,P81)</f>
        <v>1</v>
      </c>
      <c r="X81" s="24">
        <f>AVERAGE(O81,M81,K81,S81,Q81)</f>
        <v>1.6</v>
      </c>
    </row>
    <row r="82" spans="1:24" ht="15" customHeight="1" thickTop="1" thickBot="1" x14ac:dyDescent="0.25">
      <c r="A82" s="72" t="s">
        <v>71</v>
      </c>
      <c r="B82" s="1375"/>
      <c r="C82" s="1376"/>
      <c r="D82" s="1375"/>
      <c r="E82" s="1376"/>
      <c r="F82" s="1375"/>
      <c r="G82" s="1376"/>
      <c r="H82" s="1375"/>
      <c r="I82" s="1376"/>
      <c r="J82" s="1375"/>
      <c r="K82" s="1376"/>
      <c r="L82" s="1375"/>
      <c r="M82" s="1376"/>
      <c r="N82" s="1375"/>
      <c r="O82" s="1376"/>
      <c r="P82" s="1375"/>
      <c r="Q82" s="1376"/>
      <c r="R82" s="1375"/>
      <c r="S82" s="1376"/>
      <c r="T82" s="1375"/>
      <c r="U82" s="1384"/>
      <c r="W82" s="1378"/>
      <c r="X82" s="1379"/>
    </row>
    <row r="83" spans="1:24" ht="15" customHeight="1" x14ac:dyDescent="0.2">
      <c r="A83" s="1219" t="s">
        <v>79</v>
      </c>
      <c r="B83" s="103"/>
      <c r="C83" s="137"/>
      <c r="D83" s="468"/>
      <c r="E83" s="137"/>
      <c r="F83" s="468"/>
      <c r="G83" s="137"/>
      <c r="H83" s="468"/>
      <c r="I83" s="137"/>
      <c r="J83" s="468"/>
      <c r="K83" s="137"/>
      <c r="L83" s="468"/>
      <c r="M83" s="137"/>
      <c r="N83" s="468"/>
      <c r="O83" s="137"/>
      <c r="P83" s="468"/>
      <c r="Q83" s="137"/>
      <c r="R83" s="468"/>
      <c r="S83" s="137"/>
      <c r="T83" s="468"/>
      <c r="U83" s="138"/>
      <c r="V83" s="487"/>
      <c r="W83" s="527"/>
      <c r="X83" s="852"/>
    </row>
    <row r="84" spans="1:24" ht="15" customHeight="1" x14ac:dyDescent="0.2">
      <c r="A84" s="71" t="s">
        <v>216</v>
      </c>
      <c r="B84" s="620"/>
      <c r="C84" s="625">
        <v>0.6</v>
      </c>
      <c r="D84" s="626"/>
      <c r="E84" s="625">
        <v>0.67</v>
      </c>
      <c r="F84" s="626"/>
      <c r="G84" s="625">
        <v>0.43</v>
      </c>
      <c r="H84" s="626"/>
      <c r="I84" s="625">
        <v>1</v>
      </c>
      <c r="J84" s="627"/>
      <c r="K84" s="625">
        <v>0.4</v>
      </c>
      <c r="L84" s="626"/>
      <c r="M84" s="625">
        <v>1</v>
      </c>
      <c r="N84" s="626"/>
      <c r="O84" s="625">
        <v>0.56000000000000005</v>
      </c>
      <c r="P84" s="626"/>
      <c r="Q84" s="625">
        <v>0</v>
      </c>
      <c r="R84" s="626"/>
      <c r="S84" s="1346"/>
      <c r="T84" s="626"/>
      <c r="U84" s="1270"/>
      <c r="V84" s="487"/>
      <c r="W84" s="527"/>
      <c r="X84" s="1255">
        <f>AVERAGE(O84,M84,S84,U84,Q84)</f>
        <v>0.52</v>
      </c>
    </row>
    <row r="85" spans="1:24" ht="15" customHeight="1" x14ac:dyDescent="0.2">
      <c r="A85" s="71" t="s">
        <v>217</v>
      </c>
      <c r="B85" s="620"/>
      <c r="C85" s="625">
        <v>0.42</v>
      </c>
      <c r="D85" s="626"/>
      <c r="E85" s="625">
        <v>0.45</v>
      </c>
      <c r="F85" s="626"/>
      <c r="G85" s="625">
        <v>0.43</v>
      </c>
      <c r="H85" s="626"/>
      <c r="I85" s="625">
        <v>0.33</v>
      </c>
      <c r="J85" s="627"/>
      <c r="K85" s="625">
        <v>0.39</v>
      </c>
      <c r="L85" s="626"/>
      <c r="M85" s="625">
        <v>0.35</v>
      </c>
      <c r="N85" s="626"/>
      <c r="O85" s="625">
        <v>0.32</v>
      </c>
      <c r="P85" s="626"/>
      <c r="Q85" s="625">
        <v>0.41</v>
      </c>
      <c r="R85" s="626"/>
      <c r="S85" s="1346"/>
      <c r="T85" s="626"/>
      <c r="U85" s="1270"/>
      <c r="V85" s="487"/>
      <c r="W85" s="527"/>
      <c r="X85" s="1255">
        <f>AVERAGE(O85,M85,S85,U85,Q85)</f>
        <v>0.35999999999999993</v>
      </c>
    </row>
    <row r="86" spans="1:24" ht="15" customHeight="1" x14ac:dyDescent="0.2">
      <c r="A86" s="71" t="s">
        <v>218</v>
      </c>
      <c r="B86" s="620"/>
      <c r="C86" s="625">
        <v>1</v>
      </c>
      <c r="D86" s="626"/>
      <c r="E86" s="625">
        <v>1</v>
      </c>
      <c r="F86" s="626"/>
      <c r="G86" s="625">
        <v>1</v>
      </c>
      <c r="H86" s="626"/>
      <c r="I86" s="625">
        <v>1</v>
      </c>
      <c r="J86" s="627"/>
      <c r="K86" s="625">
        <v>1</v>
      </c>
      <c r="L86" s="626"/>
      <c r="M86" s="625">
        <v>1</v>
      </c>
      <c r="N86" s="626"/>
      <c r="O86" s="625">
        <v>1</v>
      </c>
      <c r="P86" s="626"/>
      <c r="Q86" s="625">
        <v>1</v>
      </c>
      <c r="R86" s="626"/>
      <c r="S86" s="1346"/>
      <c r="T86" s="626"/>
      <c r="U86" s="1270"/>
      <c r="V86" s="487"/>
      <c r="W86" s="527"/>
      <c r="X86" s="1255">
        <f>AVERAGE(O86,M86,S86,U86,Q86)</f>
        <v>1</v>
      </c>
    </row>
    <row r="87" spans="1:24" ht="15" customHeight="1" x14ac:dyDescent="0.2">
      <c r="A87" s="71" t="s">
        <v>220</v>
      </c>
      <c r="B87" s="620"/>
      <c r="C87" s="625">
        <v>0.43</v>
      </c>
      <c r="D87" s="626"/>
      <c r="E87" s="625">
        <v>0.63</v>
      </c>
      <c r="F87" s="626"/>
      <c r="G87" s="625">
        <v>0.33</v>
      </c>
      <c r="H87" s="626"/>
      <c r="I87" s="625">
        <v>1</v>
      </c>
      <c r="J87" s="627"/>
      <c r="K87" s="625">
        <v>0.5</v>
      </c>
      <c r="L87" s="626"/>
      <c r="M87" s="625">
        <v>0.5</v>
      </c>
      <c r="N87" s="626"/>
      <c r="O87" s="625">
        <v>1</v>
      </c>
      <c r="P87" s="626"/>
      <c r="Q87" s="625">
        <v>0.67</v>
      </c>
      <c r="R87" s="626"/>
      <c r="S87" s="1346"/>
      <c r="T87" s="626"/>
      <c r="U87" s="1270"/>
      <c r="V87" s="487"/>
      <c r="W87" s="527"/>
      <c r="X87" s="1255">
        <f>AVERAGE(O87,M87,U87,S87,Q87)</f>
        <v>0.72333333333333327</v>
      </c>
    </row>
    <row r="88" spans="1:24" ht="15" customHeight="1" x14ac:dyDescent="0.2">
      <c r="A88" s="71" t="s">
        <v>219</v>
      </c>
      <c r="B88" s="102"/>
      <c r="C88" s="135">
        <v>0.76</v>
      </c>
      <c r="D88" s="244"/>
      <c r="E88" s="135">
        <v>0.68</v>
      </c>
      <c r="F88" s="244"/>
      <c r="G88" s="135">
        <v>0.74</v>
      </c>
      <c r="H88" s="244"/>
      <c r="I88" s="135">
        <v>0.61</v>
      </c>
      <c r="J88" s="1220"/>
      <c r="K88" s="135">
        <v>0.69</v>
      </c>
      <c r="L88" s="244"/>
      <c r="M88" s="135">
        <v>0.73</v>
      </c>
      <c r="N88" s="244"/>
      <c r="O88" s="135">
        <v>0.77</v>
      </c>
      <c r="P88" s="244"/>
      <c r="Q88" s="135">
        <v>0.71</v>
      </c>
      <c r="R88" s="244"/>
      <c r="S88" s="1347"/>
      <c r="T88" s="1356"/>
      <c r="U88" s="1271"/>
      <c r="V88" s="487"/>
      <c r="W88" s="527"/>
      <c r="X88" s="1255">
        <f t="shared" ref="X88:X93" si="7">AVERAGE(O88,M88,U88,S88,Q88)</f>
        <v>0.73666666666666669</v>
      </c>
    </row>
    <row r="89" spans="1:24" ht="15" customHeight="1" x14ac:dyDescent="0.2">
      <c r="A89" s="44" t="s">
        <v>221</v>
      </c>
      <c r="B89" s="102"/>
      <c r="C89" s="135">
        <v>0.2</v>
      </c>
      <c r="D89" s="244"/>
      <c r="E89" s="135">
        <v>0</v>
      </c>
      <c r="F89" s="244"/>
      <c r="G89" s="135">
        <v>0</v>
      </c>
      <c r="H89" s="244"/>
      <c r="I89" s="135">
        <v>0</v>
      </c>
      <c r="J89" s="1221"/>
      <c r="K89" s="135">
        <v>0.4</v>
      </c>
      <c r="L89" s="244"/>
      <c r="M89" s="135">
        <v>0</v>
      </c>
      <c r="N89" s="244"/>
      <c r="O89" s="135">
        <v>0.11</v>
      </c>
      <c r="P89" s="244"/>
      <c r="Q89" s="135">
        <v>0.5</v>
      </c>
      <c r="R89" s="244"/>
      <c r="S89" s="1347"/>
      <c r="T89" s="1356"/>
      <c r="U89" s="1271"/>
      <c r="V89" s="487"/>
      <c r="W89" s="527"/>
      <c r="X89" s="1255">
        <f t="shared" si="7"/>
        <v>0.20333333333333334</v>
      </c>
    </row>
    <row r="90" spans="1:24" ht="15" customHeight="1" x14ac:dyDescent="0.2">
      <c r="A90" s="44" t="s">
        <v>222</v>
      </c>
      <c r="B90" s="102"/>
      <c r="C90" s="135">
        <v>0.52</v>
      </c>
      <c r="D90" s="244"/>
      <c r="E90" s="135">
        <v>0.45</v>
      </c>
      <c r="F90" s="244"/>
      <c r="G90" s="135">
        <v>0.48</v>
      </c>
      <c r="H90" s="244"/>
      <c r="I90" s="135">
        <v>0.63</v>
      </c>
      <c r="J90" s="1221"/>
      <c r="K90" s="135">
        <v>0.54</v>
      </c>
      <c r="L90" s="244"/>
      <c r="M90" s="135">
        <v>0.57999999999999996</v>
      </c>
      <c r="N90" s="244"/>
      <c r="O90" s="135">
        <v>0.64</v>
      </c>
      <c r="P90" s="244"/>
      <c r="Q90" s="135">
        <v>0.59</v>
      </c>
      <c r="R90" s="244"/>
      <c r="S90" s="1347"/>
      <c r="T90" s="1356"/>
      <c r="U90" s="1271"/>
      <c r="V90" s="487"/>
      <c r="W90" s="527"/>
      <c r="X90" s="1255">
        <f t="shared" si="7"/>
        <v>0.60333333333333339</v>
      </c>
    </row>
    <row r="91" spans="1:24" ht="15" customHeight="1" x14ac:dyDescent="0.2">
      <c r="A91" s="44" t="s">
        <v>223</v>
      </c>
      <c r="B91" s="102"/>
      <c r="C91" s="135">
        <v>0</v>
      </c>
      <c r="D91" s="244"/>
      <c r="E91" s="135">
        <v>0</v>
      </c>
      <c r="F91" s="244"/>
      <c r="G91" s="135">
        <v>0</v>
      </c>
      <c r="H91" s="244"/>
      <c r="I91" s="135">
        <v>0</v>
      </c>
      <c r="J91" s="1221"/>
      <c r="K91" s="135">
        <v>0</v>
      </c>
      <c r="L91" s="244"/>
      <c r="M91" s="135">
        <v>0</v>
      </c>
      <c r="N91" s="244"/>
      <c r="O91" s="135">
        <v>0</v>
      </c>
      <c r="P91" s="244"/>
      <c r="Q91" s="135">
        <v>0</v>
      </c>
      <c r="R91" s="244"/>
      <c r="S91" s="1347"/>
      <c r="T91" s="1356"/>
      <c r="U91" s="1271"/>
      <c r="V91" s="487"/>
      <c r="W91" s="527"/>
      <c r="X91" s="1255">
        <f t="shared" si="7"/>
        <v>0</v>
      </c>
    </row>
    <row r="92" spans="1:24" ht="15" customHeight="1" x14ac:dyDescent="0.2">
      <c r="A92" s="44" t="s">
        <v>224</v>
      </c>
      <c r="B92" s="102"/>
      <c r="C92" s="135">
        <v>0.56999999999999995</v>
      </c>
      <c r="D92" s="244"/>
      <c r="E92" s="135">
        <v>0.38</v>
      </c>
      <c r="F92" s="244"/>
      <c r="G92" s="135">
        <v>0.17</v>
      </c>
      <c r="H92" s="244"/>
      <c r="I92" s="135">
        <v>0</v>
      </c>
      <c r="J92" s="1221"/>
      <c r="K92" s="135">
        <v>0.5</v>
      </c>
      <c r="L92" s="244"/>
      <c r="M92" s="135">
        <v>0.25</v>
      </c>
      <c r="N92" s="244"/>
      <c r="O92" s="135">
        <v>0</v>
      </c>
      <c r="P92" s="244"/>
      <c r="Q92" s="135">
        <v>0.33</v>
      </c>
      <c r="R92" s="244"/>
      <c r="S92" s="1347"/>
      <c r="T92" s="1356"/>
      <c r="U92" s="1271"/>
      <c r="V92" s="487"/>
      <c r="W92" s="527"/>
      <c r="X92" s="1255">
        <f t="shared" si="7"/>
        <v>0.19333333333333336</v>
      </c>
    </row>
    <row r="93" spans="1:24" ht="15" customHeight="1" thickBot="1" x14ac:dyDescent="0.25">
      <c r="A93" s="621" t="s">
        <v>225</v>
      </c>
      <c r="B93" s="622"/>
      <c r="C93" s="623">
        <v>0.11</v>
      </c>
      <c r="D93" s="624"/>
      <c r="E93" s="623">
        <v>0.15</v>
      </c>
      <c r="F93" s="624"/>
      <c r="G93" s="623">
        <v>0.1</v>
      </c>
      <c r="H93" s="624"/>
      <c r="I93" s="623">
        <v>0.25</v>
      </c>
      <c r="J93" s="1222"/>
      <c r="K93" s="623">
        <v>0.12</v>
      </c>
      <c r="L93" s="624"/>
      <c r="M93" s="623">
        <v>0.13</v>
      </c>
      <c r="N93" s="624"/>
      <c r="O93" s="623">
        <v>0.16</v>
      </c>
      <c r="P93" s="624"/>
      <c r="Q93" s="623">
        <v>0.18</v>
      </c>
      <c r="R93" s="624"/>
      <c r="S93" s="1348"/>
      <c r="T93" s="1357"/>
      <c r="U93" s="1272"/>
      <c r="V93" s="487"/>
      <c r="W93" s="628"/>
      <c r="X93" s="1255">
        <f t="shared" si="7"/>
        <v>0.15666666666666668</v>
      </c>
    </row>
    <row r="94" spans="1:24" ht="15" customHeight="1" thickTop="1" thickBot="1" x14ac:dyDescent="0.25">
      <c r="A94" s="221" t="s">
        <v>78</v>
      </c>
      <c r="B94" s="1380"/>
      <c r="C94" s="1381"/>
      <c r="D94" s="1380"/>
      <c r="E94" s="1381"/>
      <c r="F94" s="1380"/>
      <c r="G94" s="1381"/>
      <c r="H94" s="1380"/>
      <c r="I94" s="1381"/>
      <c r="J94" s="1380"/>
      <c r="K94" s="1381"/>
      <c r="L94" s="1380"/>
      <c r="M94" s="1381"/>
      <c r="N94" s="1380"/>
      <c r="O94" s="1381"/>
      <c r="P94" s="1380"/>
      <c r="Q94" s="1381"/>
      <c r="R94" s="1380"/>
      <c r="S94" s="1381"/>
      <c r="T94" s="1380"/>
      <c r="U94" s="1383"/>
      <c r="V94" s="226"/>
      <c r="W94" s="1382"/>
      <c r="X94" s="1383"/>
    </row>
    <row r="95" spans="1:24" ht="15" customHeight="1" x14ac:dyDescent="0.2">
      <c r="A95" s="615" t="s">
        <v>211</v>
      </c>
      <c r="B95" s="616"/>
      <c r="C95" s="529">
        <v>23.6</v>
      </c>
      <c r="D95" s="616"/>
      <c r="E95" s="529">
        <v>23.2</v>
      </c>
      <c r="F95" s="616"/>
      <c r="G95" s="529">
        <v>25.5</v>
      </c>
      <c r="H95" s="616"/>
      <c r="I95" s="529">
        <v>25.2</v>
      </c>
      <c r="J95" s="616"/>
      <c r="K95" s="529">
        <v>23.9</v>
      </c>
      <c r="L95" s="616"/>
      <c r="M95" s="529">
        <v>25.8</v>
      </c>
      <c r="N95" s="616"/>
      <c r="O95" s="529">
        <v>23.9</v>
      </c>
      <c r="P95" s="616"/>
      <c r="Q95" s="529">
        <v>20.8</v>
      </c>
      <c r="R95" s="616"/>
      <c r="S95" s="529">
        <v>21.4</v>
      </c>
      <c r="T95" s="1358"/>
      <c r="U95" s="1364"/>
      <c r="V95" s="226"/>
      <c r="W95" s="1154"/>
      <c r="X95" s="1155">
        <f>AVERAGE(O95,M95,S95,U95,Q95)</f>
        <v>22.974999999999998</v>
      </c>
    </row>
    <row r="96" spans="1:24" ht="15" customHeight="1" x14ac:dyDescent="0.2">
      <c r="A96" s="512" t="s">
        <v>212</v>
      </c>
      <c r="B96" s="201"/>
      <c r="C96" s="508">
        <v>24.7</v>
      </c>
      <c r="D96" s="201"/>
      <c r="E96" s="508"/>
      <c r="F96" s="201"/>
      <c r="G96" s="1363">
        <v>23.9</v>
      </c>
      <c r="H96" s="201"/>
      <c r="I96" s="508">
        <v>24.4</v>
      </c>
      <c r="J96" s="201"/>
      <c r="K96" s="508">
        <v>24.4</v>
      </c>
      <c r="L96" s="201"/>
      <c r="M96" s="508">
        <v>24.4</v>
      </c>
      <c r="N96" s="201"/>
      <c r="O96" s="508">
        <v>24.7</v>
      </c>
      <c r="P96" s="201"/>
      <c r="Q96" s="508">
        <v>24.5</v>
      </c>
      <c r="R96" s="201"/>
      <c r="S96" s="508">
        <v>23.7</v>
      </c>
      <c r="T96" s="156"/>
      <c r="U96" s="1365"/>
      <c r="V96" s="226"/>
      <c r="W96" s="1156"/>
      <c r="X96" s="766">
        <f t="shared" ref="X96:X99" si="8">AVERAGE(O96,M96,S96,U96,Q96)</f>
        <v>24.324999999999999</v>
      </c>
    </row>
    <row r="97" spans="1:24" ht="15" customHeight="1" x14ac:dyDescent="0.2">
      <c r="A97" s="512" t="s">
        <v>213</v>
      </c>
      <c r="B97" s="190"/>
      <c r="C97" s="619">
        <v>24.1</v>
      </c>
      <c r="D97" s="190"/>
      <c r="E97" s="619">
        <v>23</v>
      </c>
      <c r="F97" s="190"/>
      <c r="G97" s="619">
        <v>24.1</v>
      </c>
      <c r="H97" s="190"/>
      <c r="I97" s="619">
        <v>23.7</v>
      </c>
      <c r="J97" s="190"/>
      <c r="K97" s="619">
        <v>23.4</v>
      </c>
      <c r="L97" s="190"/>
      <c r="M97" s="619">
        <v>24.1</v>
      </c>
      <c r="N97" s="190"/>
      <c r="O97" s="619">
        <v>23.9</v>
      </c>
      <c r="P97" s="190"/>
      <c r="Q97" s="619">
        <v>24.9</v>
      </c>
      <c r="R97" s="190"/>
      <c r="S97" s="619">
        <v>25.9</v>
      </c>
      <c r="T97" s="158"/>
      <c r="U97" s="1366"/>
      <c r="V97" s="226"/>
      <c r="W97" s="1156"/>
      <c r="X97" s="766">
        <f t="shared" si="8"/>
        <v>24.700000000000003</v>
      </c>
    </row>
    <row r="98" spans="1:24" ht="15" customHeight="1" x14ac:dyDescent="0.2">
      <c r="A98" s="512" t="s">
        <v>214</v>
      </c>
      <c r="B98" s="190"/>
      <c r="C98" s="619">
        <v>25.5</v>
      </c>
      <c r="D98" s="190"/>
      <c r="E98" s="619">
        <v>25.8</v>
      </c>
      <c r="F98" s="190"/>
      <c r="G98" s="619">
        <v>24.1</v>
      </c>
      <c r="H98" s="190"/>
      <c r="I98" s="619">
        <v>22.3</v>
      </c>
      <c r="J98" s="190"/>
      <c r="K98" s="619">
        <v>24.5</v>
      </c>
      <c r="L98" s="190"/>
      <c r="M98" s="619">
        <v>24.8</v>
      </c>
      <c r="N98" s="190"/>
      <c r="O98" s="619">
        <v>28.4</v>
      </c>
      <c r="P98" s="190"/>
      <c r="Q98" s="619">
        <v>27.7</v>
      </c>
      <c r="R98" s="190"/>
      <c r="S98" s="619">
        <v>26</v>
      </c>
      <c r="T98" s="158"/>
      <c r="U98" s="1367"/>
      <c r="V98" s="226"/>
      <c r="W98" s="1156"/>
      <c r="X98" s="766">
        <f t="shared" si="8"/>
        <v>26.725000000000001</v>
      </c>
    </row>
    <row r="99" spans="1:24" ht="15" customHeight="1" thickBot="1" x14ac:dyDescent="0.25">
      <c r="A99" s="618" t="s">
        <v>215</v>
      </c>
      <c r="B99" s="308"/>
      <c r="C99" s="309">
        <v>21</v>
      </c>
      <c r="D99" s="308"/>
      <c r="E99" s="309">
        <v>20.7</v>
      </c>
      <c r="F99" s="308"/>
      <c r="G99" s="309">
        <v>20.9</v>
      </c>
      <c r="H99" s="308"/>
      <c r="I99" s="309">
        <v>21</v>
      </c>
      <c r="J99" s="308"/>
      <c r="K99" s="309">
        <v>20.9</v>
      </c>
      <c r="L99" s="308"/>
      <c r="M99" s="309">
        <v>21.3</v>
      </c>
      <c r="N99" s="308"/>
      <c r="O99" s="309">
        <v>20.7</v>
      </c>
      <c r="P99" s="308"/>
      <c r="Q99" s="309">
        <v>21.3</v>
      </c>
      <c r="R99" s="308"/>
      <c r="S99" s="309">
        <v>21</v>
      </c>
      <c r="T99" s="1359"/>
      <c r="U99" s="1368"/>
      <c r="V99" s="226"/>
      <c r="W99" s="515"/>
      <c r="X99" s="648">
        <f t="shared" si="8"/>
        <v>21.074999999999999</v>
      </c>
    </row>
    <row r="100" spans="1:24" ht="15" customHeight="1" thickTop="1" x14ac:dyDescent="0.2">
      <c r="A100" s="64" t="s">
        <v>22</v>
      </c>
      <c r="B100" s="582"/>
      <c r="C100" s="583"/>
      <c r="D100" s="582"/>
      <c r="E100" s="584"/>
      <c r="F100" s="583"/>
      <c r="G100" s="584"/>
      <c r="H100" s="583"/>
      <c r="I100" s="584"/>
      <c r="J100" s="583"/>
      <c r="K100" s="584"/>
      <c r="L100" s="583"/>
      <c r="M100" s="584"/>
      <c r="N100" s="583"/>
      <c r="O100" s="584"/>
      <c r="P100" s="583"/>
      <c r="Q100" s="584"/>
      <c r="R100" s="583"/>
      <c r="S100" s="584"/>
      <c r="T100" s="583"/>
      <c r="U100" s="585"/>
      <c r="W100" s="42"/>
      <c r="X100" s="43"/>
    </row>
    <row r="101" spans="1:24" ht="15" customHeight="1" x14ac:dyDescent="0.2">
      <c r="A101" s="44" t="s">
        <v>24</v>
      </c>
      <c r="B101" s="45"/>
      <c r="C101" s="48">
        <f>8507+120+31+48+283</f>
        <v>8989</v>
      </c>
      <c r="D101" s="45"/>
      <c r="E101" s="47">
        <v>15117</v>
      </c>
      <c r="F101" s="46"/>
      <c r="G101" s="47">
        <v>18019</v>
      </c>
      <c r="H101" s="46"/>
      <c r="I101" s="47">
        <f>12601+151+50+304+34</f>
        <v>13140</v>
      </c>
      <c r="J101" s="46"/>
      <c r="K101" s="47">
        <f>SUM(11036+549)</f>
        <v>11585</v>
      </c>
      <c r="L101" s="46"/>
      <c r="M101" s="47">
        <f>17813+565</f>
        <v>18378</v>
      </c>
      <c r="N101" s="46"/>
      <c r="O101" s="47">
        <v>15330</v>
      </c>
      <c r="P101" s="46"/>
      <c r="Q101" s="47">
        <f>16462+551</f>
        <v>17013</v>
      </c>
      <c r="R101" s="46"/>
      <c r="S101" s="47">
        <v>12258</v>
      </c>
      <c r="T101" s="46"/>
      <c r="U101" s="49"/>
      <c r="W101" s="50"/>
      <c r="X101" s="51">
        <f>AVERAGE(O101,M101,S101,K101,Q101)</f>
        <v>14912.8</v>
      </c>
    </row>
    <row r="102" spans="1:24" ht="15" customHeight="1" x14ac:dyDescent="0.2">
      <c r="A102" s="44" t="s">
        <v>25</v>
      </c>
      <c r="B102" s="45"/>
      <c r="C102" s="48">
        <f>414+258+429</f>
        <v>1101</v>
      </c>
      <c r="D102" s="45"/>
      <c r="E102" s="47">
        <v>1276</v>
      </c>
      <c r="F102" s="46"/>
      <c r="G102" s="47">
        <v>1130</v>
      </c>
      <c r="H102" s="46"/>
      <c r="I102" s="47">
        <f>256+206+478</f>
        <v>940</v>
      </c>
      <c r="J102" s="46"/>
      <c r="K102" s="47">
        <f>SUM(300+622)</f>
        <v>922</v>
      </c>
      <c r="L102" s="46"/>
      <c r="M102" s="47">
        <f>222+538</f>
        <v>760</v>
      </c>
      <c r="N102" s="46"/>
      <c r="O102" s="47">
        <v>747</v>
      </c>
      <c r="P102" s="46"/>
      <c r="Q102" s="47">
        <f>320+566</f>
        <v>886</v>
      </c>
      <c r="R102" s="46"/>
      <c r="S102" s="47">
        <v>881</v>
      </c>
      <c r="T102" s="46"/>
      <c r="U102" s="49"/>
      <c r="W102" s="52"/>
      <c r="X102" s="51">
        <f t="shared" ref="X102:X105" si="9">AVERAGE(O102,M102,S102,K102,Q102)</f>
        <v>839.2</v>
      </c>
    </row>
    <row r="103" spans="1:24" ht="15" customHeight="1" x14ac:dyDescent="0.2">
      <c r="A103" s="44" t="s">
        <v>26</v>
      </c>
      <c r="B103" s="45"/>
      <c r="C103" s="48">
        <v>174</v>
      </c>
      <c r="D103" s="45"/>
      <c r="E103" s="47">
        <v>107</v>
      </c>
      <c r="F103" s="46"/>
      <c r="G103" s="47">
        <v>144</v>
      </c>
      <c r="H103" s="46"/>
      <c r="I103" s="47">
        <f>83+82</f>
        <v>165</v>
      </c>
      <c r="J103" s="46"/>
      <c r="K103" s="47">
        <v>84</v>
      </c>
      <c r="L103" s="46"/>
      <c r="M103" s="47">
        <v>129</v>
      </c>
      <c r="N103" s="46"/>
      <c r="O103" s="47">
        <v>84</v>
      </c>
      <c r="P103" s="46"/>
      <c r="Q103" s="47">
        <v>60</v>
      </c>
      <c r="R103" s="46"/>
      <c r="S103" s="47">
        <v>0</v>
      </c>
      <c r="T103" s="46"/>
      <c r="U103" s="49"/>
      <c r="W103" s="52"/>
      <c r="X103" s="51">
        <f t="shared" si="9"/>
        <v>71.400000000000006</v>
      </c>
    </row>
    <row r="104" spans="1:24" ht="15" customHeight="1" thickBot="1" x14ac:dyDescent="0.25">
      <c r="A104" s="44" t="s">
        <v>27</v>
      </c>
      <c r="B104" s="90"/>
      <c r="C104" s="586">
        <v>0</v>
      </c>
      <c r="D104" s="90"/>
      <c r="E104" s="91">
        <v>0</v>
      </c>
      <c r="F104" s="92"/>
      <c r="G104" s="91">
        <v>0</v>
      </c>
      <c r="H104" s="92"/>
      <c r="I104" s="91">
        <v>0</v>
      </c>
      <c r="J104" s="92"/>
      <c r="K104" s="91">
        <v>0</v>
      </c>
      <c r="L104" s="92"/>
      <c r="M104" s="91">
        <v>0</v>
      </c>
      <c r="N104" s="92"/>
      <c r="O104" s="91">
        <v>0</v>
      </c>
      <c r="P104" s="92"/>
      <c r="Q104" s="91">
        <v>0</v>
      </c>
      <c r="R104" s="92"/>
      <c r="S104" s="91">
        <v>0</v>
      </c>
      <c r="T104" s="92"/>
      <c r="U104" s="1369" t="s">
        <v>19</v>
      </c>
      <c r="W104" s="63"/>
      <c r="X104" s="484">
        <f t="shared" si="9"/>
        <v>0</v>
      </c>
    </row>
    <row r="105" spans="1:24" ht="15" customHeight="1" thickBot="1" x14ac:dyDescent="0.25">
      <c r="A105" s="55" t="s">
        <v>28</v>
      </c>
      <c r="B105" s="587"/>
      <c r="C105" s="588">
        <f>SUM(C101:C104)</f>
        <v>10264</v>
      </c>
      <c r="D105" s="587"/>
      <c r="E105" s="589">
        <f>SUM(E101:E104)</f>
        <v>16500</v>
      </c>
      <c r="F105" s="590"/>
      <c r="G105" s="589">
        <f>SUM(G101:G104)</f>
        <v>19293</v>
      </c>
      <c r="H105" s="590"/>
      <c r="I105" s="589">
        <f>SUM(I101:I104)</f>
        <v>14245</v>
      </c>
      <c r="J105" s="590"/>
      <c r="K105" s="589">
        <f>SUM(K101:K104)</f>
        <v>12591</v>
      </c>
      <c r="L105" s="590"/>
      <c r="M105" s="589">
        <f>SUM(M101:M104)</f>
        <v>19267</v>
      </c>
      <c r="N105" s="590"/>
      <c r="O105" s="589">
        <f>SUM(O101:O104)</f>
        <v>16161</v>
      </c>
      <c r="P105" s="590"/>
      <c r="Q105" s="589">
        <f>SUM(Q101:Q104)</f>
        <v>17959</v>
      </c>
      <c r="R105" s="590"/>
      <c r="S105" s="589">
        <f>SUM(S101:S104)</f>
        <v>13139</v>
      </c>
      <c r="T105" s="590"/>
      <c r="U105" s="1370"/>
      <c r="W105" s="485"/>
      <c r="X105" s="486">
        <f t="shared" si="9"/>
        <v>15823.4</v>
      </c>
    </row>
    <row r="106" spans="1:24" ht="15" customHeight="1" thickTop="1" thickBot="1" x14ac:dyDescent="0.25">
      <c r="A106" s="59"/>
      <c r="B106" s="60"/>
      <c r="C106" s="61"/>
      <c r="D106" s="60"/>
      <c r="E106" s="61"/>
      <c r="F106" s="60"/>
      <c r="G106" s="61"/>
      <c r="H106" s="60"/>
      <c r="I106" s="61"/>
      <c r="J106" s="60"/>
      <c r="K106" s="61"/>
      <c r="L106" s="60"/>
      <c r="M106" s="61"/>
      <c r="N106" s="60"/>
      <c r="O106" s="61"/>
      <c r="P106" s="60"/>
      <c r="Q106" s="61"/>
      <c r="R106" s="60"/>
      <c r="S106" s="61"/>
      <c r="T106" s="60"/>
      <c r="U106" s="61"/>
      <c r="W106" s="62"/>
      <c r="X106" s="629"/>
    </row>
    <row r="107" spans="1:24" ht="15" customHeight="1" thickTop="1" thickBot="1" x14ac:dyDescent="0.25">
      <c r="A107" s="1073" t="s">
        <v>29</v>
      </c>
      <c r="B107" s="1385" t="s">
        <v>30</v>
      </c>
      <c r="C107" s="1395"/>
      <c r="D107" s="1385" t="s">
        <v>31</v>
      </c>
      <c r="E107" s="1396"/>
      <c r="F107" s="1385" t="s">
        <v>32</v>
      </c>
      <c r="G107" s="1396"/>
      <c r="H107" s="1385" t="s">
        <v>33</v>
      </c>
      <c r="I107" s="1396"/>
      <c r="J107" s="1385" t="s">
        <v>34</v>
      </c>
      <c r="K107" s="1396"/>
      <c r="L107" s="1385" t="s">
        <v>35</v>
      </c>
      <c r="M107" s="1396"/>
      <c r="N107" s="1385" t="s">
        <v>36</v>
      </c>
      <c r="O107" s="1396"/>
      <c r="P107" s="1385" t="s">
        <v>37</v>
      </c>
      <c r="Q107" s="1396"/>
      <c r="R107" s="1385" t="s">
        <v>38</v>
      </c>
      <c r="S107" s="1396"/>
      <c r="T107" s="1385" t="s">
        <v>302</v>
      </c>
      <c r="U107" s="1386"/>
      <c r="V107" s="176"/>
      <c r="W107" s="1382" t="s">
        <v>9</v>
      </c>
      <c r="X107" s="1383"/>
    </row>
    <row r="108" spans="1:24" ht="15" customHeight="1" x14ac:dyDescent="0.2">
      <c r="A108" s="897" t="s">
        <v>244</v>
      </c>
      <c r="B108" s="591"/>
      <c r="C108" s="154">
        <v>0.09</v>
      </c>
      <c r="D108" s="281"/>
      <c r="E108" s="129">
        <v>0.372</v>
      </c>
      <c r="F108" s="282"/>
      <c r="G108" s="129">
        <v>9.9000000000000005E-2</v>
      </c>
      <c r="H108" s="128"/>
      <c r="I108" s="129">
        <v>0.124</v>
      </c>
      <c r="J108" s="128"/>
      <c r="K108" s="129">
        <v>0.16</v>
      </c>
      <c r="L108" s="128"/>
      <c r="M108" s="129">
        <v>0.27900000000000003</v>
      </c>
      <c r="N108" s="128"/>
      <c r="O108" s="129">
        <v>0.28899999999999998</v>
      </c>
      <c r="P108" s="128"/>
      <c r="Q108" s="129">
        <v>0.16700000000000001</v>
      </c>
      <c r="R108" s="128"/>
      <c r="S108" s="129">
        <v>0.26</v>
      </c>
      <c r="T108" s="128"/>
      <c r="U108" s="592">
        <v>0.27400000000000002</v>
      </c>
      <c r="V108" s="593"/>
      <c r="W108" s="469"/>
      <c r="X108" s="594">
        <f>AVERAGE(Q108,O108,M108,U108,S108)</f>
        <v>0.25379999999999997</v>
      </c>
    </row>
    <row r="109" spans="1:24" ht="15" customHeight="1" x14ac:dyDescent="0.2">
      <c r="A109" s="898" t="s">
        <v>245</v>
      </c>
      <c r="B109" s="283"/>
      <c r="C109" s="155">
        <v>0</v>
      </c>
      <c r="D109" s="283"/>
      <c r="E109" s="131">
        <v>0</v>
      </c>
      <c r="F109" s="284"/>
      <c r="G109" s="131">
        <v>0</v>
      </c>
      <c r="H109" s="130"/>
      <c r="I109" s="131">
        <v>0</v>
      </c>
      <c r="J109" s="130"/>
      <c r="K109" s="131">
        <v>0</v>
      </c>
      <c r="L109" s="130"/>
      <c r="M109" s="131">
        <v>0</v>
      </c>
      <c r="N109" s="130"/>
      <c r="O109" s="131">
        <v>0</v>
      </c>
      <c r="P109" s="130"/>
      <c r="Q109" s="131">
        <v>0</v>
      </c>
      <c r="R109" s="130"/>
      <c r="S109" s="131">
        <v>0</v>
      </c>
      <c r="T109" s="130"/>
      <c r="U109" s="595">
        <v>0</v>
      </c>
      <c r="V109" s="593"/>
      <c r="W109" s="469"/>
      <c r="X109" s="594">
        <f>AVERAGE(Q109,O109,M109,U109,S109)</f>
        <v>0</v>
      </c>
    </row>
    <row r="110" spans="1:24" ht="15" customHeight="1" thickBot="1" x14ac:dyDescent="0.25">
      <c r="A110" s="581" t="s">
        <v>243</v>
      </c>
      <c r="B110" s="1392">
        <f>1-C108-C109</f>
        <v>0.91</v>
      </c>
      <c r="C110" s="1393"/>
      <c r="D110" s="1392">
        <f>1-E108-E109</f>
        <v>0.628</v>
      </c>
      <c r="E110" s="1393"/>
      <c r="F110" s="1394">
        <f>1-G108-G109</f>
        <v>0.90100000000000002</v>
      </c>
      <c r="G110" s="1393"/>
      <c r="H110" s="1387">
        <f>1-I108-I109</f>
        <v>0.876</v>
      </c>
      <c r="I110" s="1389"/>
      <c r="J110" s="1387">
        <f>1-K108-K109</f>
        <v>0.84</v>
      </c>
      <c r="K110" s="1389"/>
      <c r="L110" s="1387">
        <f>1-M108-M109</f>
        <v>0.72099999999999997</v>
      </c>
      <c r="M110" s="1389"/>
      <c r="N110" s="1387">
        <f>1-O108-O109</f>
        <v>0.71100000000000008</v>
      </c>
      <c r="O110" s="1389"/>
      <c r="P110" s="1387">
        <f>1-Q108-Q109</f>
        <v>0.83299999999999996</v>
      </c>
      <c r="Q110" s="1389"/>
      <c r="R110" s="1387">
        <f>1-S108-S109</f>
        <v>0.74</v>
      </c>
      <c r="S110" s="1389"/>
      <c r="T110" s="1387">
        <f>1-U108-U109</f>
        <v>0.72599999999999998</v>
      </c>
      <c r="U110" s="1388"/>
      <c r="V110" s="593"/>
      <c r="W110" s="1390">
        <f>1-X108-X109</f>
        <v>0.74619999999999997</v>
      </c>
      <c r="X110" s="1391"/>
    </row>
    <row r="111" spans="1:24" ht="15" customHeight="1" thickTop="1" x14ac:dyDescent="0.2">
      <c r="A111" s="37" t="s">
        <v>288</v>
      </c>
    </row>
    <row r="112" spans="1:24" ht="15" customHeight="1" x14ac:dyDescent="0.2">
      <c r="A112" s="37"/>
    </row>
    <row r="113" spans="1:24" ht="15" customHeight="1" thickBot="1" x14ac:dyDescent="0.25">
      <c r="A113" s="37"/>
    </row>
    <row r="114" spans="1:24" ht="15" customHeight="1" thickTop="1" thickBot="1" x14ac:dyDescent="0.25">
      <c r="A114" s="175" t="s">
        <v>251</v>
      </c>
      <c r="B114" s="1375" t="s">
        <v>0</v>
      </c>
      <c r="C114" s="1377"/>
      <c r="D114" s="1375" t="s">
        <v>1</v>
      </c>
      <c r="E114" s="1376"/>
      <c r="F114" s="1377" t="s">
        <v>2</v>
      </c>
      <c r="G114" s="1376"/>
      <c r="H114" s="1377" t="s">
        <v>3</v>
      </c>
      <c r="I114" s="1376"/>
      <c r="J114" s="1377" t="s">
        <v>4</v>
      </c>
      <c r="K114" s="1376"/>
      <c r="L114" s="1377" t="s">
        <v>5</v>
      </c>
      <c r="M114" s="1376"/>
      <c r="N114" s="1377" t="s">
        <v>6</v>
      </c>
      <c r="O114" s="1376"/>
      <c r="P114" s="1377" t="s">
        <v>7</v>
      </c>
      <c r="Q114" s="1376"/>
      <c r="R114" s="1377" t="s">
        <v>8</v>
      </c>
      <c r="S114" s="1376"/>
      <c r="T114" s="1385" t="s">
        <v>302</v>
      </c>
      <c r="U114" s="1386"/>
      <c r="V114" s="1"/>
      <c r="W114" s="1378" t="s">
        <v>9</v>
      </c>
      <c r="X114" s="1379"/>
    </row>
    <row r="115" spans="1:24" ht="15" customHeight="1" thickBot="1" x14ac:dyDescent="0.25">
      <c r="A115" s="795" t="s">
        <v>264</v>
      </c>
      <c r="B115" s="799" t="s">
        <v>285</v>
      </c>
      <c r="C115" s="800" t="s">
        <v>286</v>
      </c>
      <c r="D115" s="799" t="s">
        <v>40</v>
      </c>
      <c r="E115" s="800" t="s">
        <v>41</v>
      </c>
      <c r="F115" s="797" t="s">
        <v>40</v>
      </c>
      <c r="G115" s="798" t="s">
        <v>41</v>
      </c>
      <c r="H115" s="799" t="s">
        <v>40</v>
      </c>
      <c r="I115" s="800" t="s">
        <v>41</v>
      </c>
      <c r="J115" s="797" t="s">
        <v>40</v>
      </c>
      <c r="K115" s="798" t="s">
        <v>41</v>
      </c>
      <c r="L115" s="799" t="s">
        <v>40</v>
      </c>
      <c r="M115" s="800" t="s">
        <v>41</v>
      </c>
      <c r="N115" s="797" t="s">
        <v>40</v>
      </c>
      <c r="O115" s="798" t="s">
        <v>41</v>
      </c>
      <c r="P115" s="799" t="s">
        <v>40</v>
      </c>
      <c r="Q115" s="800" t="s">
        <v>41</v>
      </c>
      <c r="R115" s="799" t="s">
        <v>40</v>
      </c>
      <c r="S115" s="800" t="s">
        <v>41</v>
      </c>
      <c r="T115" s="1360" t="s">
        <v>40</v>
      </c>
      <c r="U115" s="802" t="s">
        <v>41</v>
      </c>
      <c r="V115" s="1"/>
      <c r="W115" s="920" t="s">
        <v>40</v>
      </c>
      <c r="X115" s="921" t="s">
        <v>286</v>
      </c>
    </row>
    <row r="116" spans="1:24" ht="15" customHeight="1" x14ac:dyDescent="0.2">
      <c r="A116" s="680" t="s">
        <v>42</v>
      </c>
      <c r="B116" s="45"/>
      <c r="C116" s="48"/>
      <c r="D116" s="45"/>
      <c r="E116" s="47"/>
      <c r="F116" s="46"/>
      <c r="G116" s="47"/>
      <c r="H116" s="46"/>
      <c r="I116" s="47"/>
      <c r="J116" s="46"/>
      <c r="K116" s="47"/>
      <c r="L116" s="46"/>
      <c r="M116" s="47"/>
      <c r="N116" s="46"/>
      <c r="O116" s="47"/>
      <c r="P116" s="46"/>
      <c r="Q116" s="47"/>
      <c r="R116" s="46"/>
      <c r="S116" s="47"/>
      <c r="T116" s="46"/>
      <c r="U116" s="49"/>
      <c r="V116" s="1"/>
      <c r="W116" s="935"/>
      <c r="X116" s="1245"/>
    </row>
    <row r="117" spans="1:24" ht="15" customHeight="1" x14ac:dyDescent="0.2">
      <c r="A117" s="678" t="s">
        <v>43</v>
      </c>
      <c r="B117" s="156"/>
      <c r="C117" s="48">
        <v>3</v>
      </c>
      <c r="D117" s="156"/>
      <c r="E117" s="47">
        <v>4</v>
      </c>
      <c r="F117" s="160"/>
      <c r="G117" s="47">
        <v>2</v>
      </c>
      <c r="H117" s="160"/>
      <c r="I117" s="47">
        <v>2</v>
      </c>
      <c r="J117" s="160"/>
      <c r="K117" s="47">
        <v>3</v>
      </c>
      <c r="L117" s="160"/>
      <c r="M117" s="47">
        <v>0</v>
      </c>
      <c r="N117" s="160"/>
      <c r="O117" s="47">
        <v>0</v>
      </c>
      <c r="P117" s="160"/>
      <c r="Q117" s="47">
        <v>0</v>
      </c>
      <c r="R117" s="160"/>
      <c r="S117" s="47">
        <v>0</v>
      </c>
      <c r="T117" s="160"/>
      <c r="U117" s="49"/>
      <c r="V117" s="596"/>
      <c r="W117" s="1246"/>
      <c r="X117" s="1247">
        <f>AVERAGE(O117,M117,S117,U117,Q117)</f>
        <v>0</v>
      </c>
    </row>
    <row r="118" spans="1:24" ht="15" customHeight="1" x14ac:dyDescent="0.2">
      <c r="A118" s="678" t="s">
        <v>44</v>
      </c>
      <c r="B118" s="156"/>
      <c r="C118" s="48">
        <v>0</v>
      </c>
      <c r="D118" s="156"/>
      <c r="E118" s="47">
        <v>0</v>
      </c>
      <c r="F118" s="160"/>
      <c r="G118" s="47">
        <v>0</v>
      </c>
      <c r="H118" s="160"/>
      <c r="I118" s="47">
        <v>0</v>
      </c>
      <c r="J118" s="160"/>
      <c r="K118" s="47">
        <v>0</v>
      </c>
      <c r="L118" s="160"/>
      <c r="M118" s="47">
        <v>0</v>
      </c>
      <c r="N118" s="160"/>
      <c r="O118" s="47">
        <v>0</v>
      </c>
      <c r="P118" s="160"/>
      <c r="Q118" s="47">
        <v>0</v>
      </c>
      <c r="R118" s="160"/>
      <c r="S118" s="47">
        <v>0</v>
      </c>
      <c r="T118" s="160"/>
      <c r="U118" s="49"/>
      <c r="V118" s="596"/>
      <c r="W118" s="1246"/>
      <c r="X118" s="1247">
        <f t="shared" ref="X118:X121" si="10">AVERAGE(O118,M118,S118,U118,Q118)</f>
        <v>0</v>
      </c>
    </row>
    <row r="119" spans="1:24" ht="15" customHeight="1" x14ac:dyDescent="0.2">
      <c r="A119" s="676" t="s">
        <v>45</v>
      </c>
      <c r="B119" s="156"/>
      <c r="C119" s="597"/>
      <c r="D119" s="156"/>
      <c r="E119" s="115"/>
      <c r="F119" s="160"/>
      <c r="G119" s="115"/>
      <c r="H119" s="160"/>
      <c r="I119" s="115"/>
      <c r="J119" s="160"/>
      <c r="K119" s="115"/>
      <c r="L119" s="160"/>
      <c r="M119" s="115"/>
      <c r="N119" s="160"/>
      <c r="O119" s="115"/>
      <c r="P119" s="160"/>
      <c r="Q119" s="115"/>
      <c r="R119" s="160"/>
      <c r="S119" s="115"/>
      <c r="T119" s="160"/>
      <c r="U119" s="598"/>
      <c r="V119" s="596"/>
      <c r="W119" s="1246"/>
      <c r="X119" s="1247"/>
    </row>
    <row r="120" spans="1:24" ht="15" customHeight="1" x14ac:dyDescent="0.2">
      <c r="A120" s="678" t="s">
        <v>43</v>
      </c>
      <c r="B120" s="156"/>
      <c r="C120" s="597">
        <v>0</v>
      </c>
      <c r="D120" s="156"/>
      <c r="E120" s="115">
        <v>0</v>
      </c>
      <c r="F120" s="160"/>
      <c r="G120" s="115">
        <v>0</v>
      </c>
      <c r="H120" s="160"/>
      <c r="I120" s="115">
        <v>0</v>
      </c>
      <c r="J120" s="160"/>
      <c r="K120" s="115">
        <v>0</v>
      </c>
      <c r="L120" s="160"/>
      <c r="M120" s="115">
        <v>0</v>
      </c>
      <c r="N120" s="160"/>
      <c r="O120" s="115">
        <v>0</v>
      </c>
      <c r="P120" s="160"/>
      <c r="Q120" s="115">
        <v>0</v>
      </c>
      <c r="R120" s="160"/>
      <c r="S120" s="115">
        <v>0</v>
      </c>
      <c r="T120" s="160"/>
      <c r="U120" s="598"/>
      <c r="V120" s="596"/>
      <c r="W120" s="1246"/>
      <c r="X120" s="1247">
        <f>AVERAGE(O120,M120,S120,U120,Q120)</f>
        <v>0</v>
      </c>
    </row>
    <row r="121" spans="1:24" ht="15" customHeight="1" thickBot="1" x14ac:dyDescent="0.25">
      <c r="A121" s="679" t="s">
        <v>44</v>
      </c>
      <c r="B121" s="156"/>
      <c r="C121" s="597">
        <v>0</v>
      </c>
      <c r="D121" s="156"/>
      <c r="E121" s="115">
        <v>0</v>
      </c>
      <c r="F121" s="160"/>
      <c r="G121" s="115">
        <v>0</v>
      </c>
      <c r="H121" s="160"/>
      <c r="I121" s="115">
        <v>0</v>
      </c>
      <c r="J121" s="160"/>
      <c r="K121" s="115">
        <v>0</v>
      </c>
      <c r="L121" s="160"/>
      <c r="M121" s="115">
        <v>0</v>
      </c>
      <c r="N121" s="160"/>
      <c r="O121" s="115">
        <v>0</v>
      </c>
      <c r="P121" s="160"/>
      <c r="Q121" s="115">
        <v>0</v>
      </c>
      <c r="R121" s="160"/>
      <c r="S121" s="115">
        <v>0</v>
      </c>
      <c r="T121" s="160"/>
      <c r="U121" s="598"/>
      <c r="V121" s="596"/>
      <c r="W121" s="1246"/>
      <c r="X121" s="1247">
        <f t="shared" si="10"/>
        <v>0</v>
      </c>
    </row>
    <row r="122" spans="1:24" ht="15" customHeight="1" thickBot="1" x14ac:dyDescent="0.25">
      <c r="A122" s="796" t="s">
        <v>28</v>
      </c>
      <c r="B122" s="823"/>
      <c r="C122" s="825">
        <f>SUM(C117:C121)</f>
        <v>3</v>
      </c>
      <c r="D122" s="823"/>
      <c r="E122" s="825">
        <f>SUM(E117:E121)</f>
        <v>4</v>
      </c>
      <c r="F122" s="823"/>
      <c r="G122" s="826">
        <f>SUM(G117:G121)</f>
        <v>2</v>
      </c>
      <c r="H122" s="823"/>
      <c r="I122" s="825">
        <v>2</v>
      </c>
      <c r="J122" s="906"/>
      <c r="K122" s="826">
        <v>3</v>
      </c>
      <c r="L122" s="906"/>
      <c r="M122" s="825">
        <f>SUM(M117:M121)</f>
        <v>0</v>
      </c>
      <c r="N122" s="907"/>
      <c r="O122" s="826">
        <f>SUM(O117:O121)</f>
        <v>0</v>
      </c>
      <c r="P122" s="906"/>
      <c r="Q122" s="825">
        <v>0</v>
      </c>
      <c r="R122" s="906"/>
      <c r="S122" s="825">
        <f>SUM(S117:S121)</f>
        <v>0</v>
      </c>
      <c r="T122" s="1361"/>
      <c r="U122" s="828">
        <f>SUM(U117:U121)</f>
        <v>0</v>
      </c>
      <c r="V122" s="596"/>
      <c r="W122" s="1248" t="e">
        <f>AVERAGE(N122,L122,R122,T122,P122)</f>
        <v>#DIV/0!</v>
      </c>
      <c r="X122" s="1249">
        <f>AVERAGE(O122,M122,S122,U122,Q122)</f>
        <v>0</v>
      </c>
    </row>
    <row r="123" spans="1:24" ht="15" customHeight="1" thickBot="1" x14ac:dyDescent="0.25">
      <c r="A123" s="795" t="s">
        <v>253</v>
      </c>
      <c r="B123" s="829" t="s">
        <v>39</v>
      </c>
      <c r="C123" s="708" t="s">
        <v>46</v>
      </c>
      <c r="D123" s="344" t="s">
        <v>39</v>
      </c>
      <c r="E123" s="708" t="s">
        <v>46</v>
      </c>
      <c r="F123" s="829" t="s">
        <v>39</v>
      </c>
      <c r="G123" s="708" t="s">
        <v>46</v>
      </c>
      <c r="H123" s="709" t="s">
        <v>39</v>
      </c>
      <c r="I123" s="830" t="s">
        <v>46</v>
      </c>
      <c r="J123" s="829" t="s">
        <v>39</v>
      </c>
      <c r="K123" s="708" t="s">
        <v>46</v>
      </c>
      <c r="L123" s="709" t="s">
        <v>39</v>
      </c>
      <c r="M123" s="830" t="s">
        <v>46</v>
      </c>
      <c r="N123" s="829" t="s">
        <v>39</v>
      </c>
      <c r="O123" s="708" t="s">
        <v>46</v>
      </c>
      <c r="P123" s="709" t="s">
        <v>39</v>
      </c>
      <c r="Q123" s="830" t="s">
        <v>46</v>
      </c>
      <c r="R123" s="709" t="s">
        <v>39</v>
      </c>
      <c r="S123" s="830" t="s">
        <v>46</v>
      </c>
      <c r="T123" s="1362" t="s">
        <v>39</v>
      </c>
      <c r="U123" s="710" t="s">
        <v>46</v>
      </c>
      <c r="V123" s="599"/>
      <c r="W123" s="803" t="s">
        <v>39</v>
      </c>
      <c r="X123" s="804" t="s">
        <v>46</v>
      </c>
    </row>
    <row r="124" spans="1:24" ht="15" customHeight="1" x14ac:dyDescent="0.2">
      <c r="A124" s="848" t="s">
        <v>265</v>
      </c>
      <c r="B124" s="620"/>
      <c r="C124" s="561"/>
      <c r="D124" s="620"/>
      <c r="E124" s="562"/>
      <c r="F124" s="905"/>
      <c r="G124" s="562"/>
      <c r="H124" s="905"/>
      <c r="I124" s="562"/>
      <c r="J124" s="905"/>
      <c r="K124" s="562"/>
      <c r="L124" s="905"/>
      <c r="M124" s="562"/>
      <c r="N124" s="905"/>
      <c r="O124" s="562"/>
      <c r="P124" s="905"/>
      <c r="Q124" s="562"/>
      <c r="R124" s="905"/>
      <c r="S124" s="562"/>
      <c r="T124" s="905"/>
      <c r="U124" s="563"/>
      <c r="V124" s="599"/>
      <c r="W124" s="1250"/>
      <c r="X124" s="833"/>
    </row>
    <row r="125" spans="1:24" ht="15" customHeight="1" x14ac:dyDescent="0.2">
      <c r="A125" s="706" t="s">
        <v>47</v>
      </c>
      <c r="B125" s="156">
        <v>2</v>
      </c>
      <c r="C125" s="600">
        <f t="shared" ref="C125:C144" si="11">B125/C$122</f>
        <v>0.66666666666666663</v>
      </c>
      <c r="D125" s="156">
        <v>3</v>
      </c>
      <c r="E125" s="600">
        <f>D125/E$122</f>
        <v>0.75</v>
      </c>
      <c r="F125" s="160">
        <v>1</v>
      </c>
      <c r="G125" s="600">
        <f>F125/G$122</f>
        <v>0.5</v>
      </c>
      <c r="H125" s="160">
        <v>1</v>
      </c>
      <c r="I125" s="600">
        <f>H125/I$122</f>
        <v>0.5</v>
      </c>
      <c r="J125" s="160">
        <v>2</v>
      </c>
      <c r="K125" s="600">
        <f>J125/K$122</f>
        <v>0.66666666666666663</v>
      </c>
      <c r="L125" s="160">
        <v>0</v>
      </c>
      <c r="M125" s="600"/>
      <c r="N125" s="160">
        <v>0</v>
      </c>
      <c r="O125" s="600"/>
      <c r="P125" s="160">
        <v>0</v>
      </c>
      <c r="Q125" s="600"/>
      <c r="R125" s="160">
        <v>0</v>
      </c>
      <c r="S125" s="600"/>
      <c r="T125" s="160">
        <v>0</v>
      </c>
      <c r="U125" s="601"/>
      <c r="V125" s="1"/>
      <c r="W125" s="1246">
        <f t="shared" ref="W125:W144" si="12">AVERAGE(N125,L125,R125,T125,P125)</f>
        <v>0</v>
      </c>
      <c r="X125" s="206" t="e">
        <f>AVERAGE(O125,M125,U125,S125,Q125)</f>
        <v>#DIV/0!</v>
      </c>
    </row>
    <row r="126" spans="1:24" ht="15" customHeight="1" x14ac:dyDescent="0.2">
      <c r="A126" s="207" t="s">
        <v>48</v>
      </c>
      <c r="B126" s="156">
        <v>1</v>
      </c>
      <c r="C126" s="600">
        <f t="shared" si="11"/>
        <v>0.33333333333333331</v>
      </c>
      <c r="D126" s="156">
        <v>1</v>
      </c>
      <c r="E126" s="600">
        <f t="shared" ref="E126" si="13">D126/E$122</f>
        <v>0.25</v>
      </c>
      <c r="F126" s="160">
        <v>1</v>
      </c>
      <c r="G126" s="600">
        <f t="shared" ref="G126" si="14">F126/G$122</f>
        <v>0.5</v>
      </c>
      <c r="H126" s="160">
        <v>1</v>
      </c>
      <c r="I126" s="600">
        <f t="shared" ref="I126" si="15">H126/I$122</f>
        <v>0.5</v>
      </c>
      <c r="J126" s="160">
        <v>1</v>
      </c>
      <c r="K126" s="600">
        <f t="shared" ref="K126" si="16">J126/K$122</f>
        <v>0.33333333333333331</v>
      </c>
      <c r="L126" s="160">
        <v>0</v>
      </c>
      <c r="M126" s="600"/>
      <c r="N126" s="160">
        <v>0</v>
      </c>
      <c r="O126" s="600"/>
      <c r="P126" s="160">
        <v>0</v>
      </c>
      <c r="Q126" s="600"/>
      <c r="R126" s="160">
        <v>0</v>
      </c>
      <c r="S126" s="600"/>
      <c r="T126" s="160">
        <v>0</v>
      </c>
      <c r="U126" s="601"/>
      <c r="V126" s="1"/>
      <c r="W126" s="1246">
        <f t="shared" si="12"/>
        <v>0</v>
      </c>
      <c r="X126" s="206" t="e">
        <f t="shared" ref="X126:X144" si="17">AVERAGE(O126,M126,U126,S126,Q126)</f>
        <v>#DIV/0!</v>
      </c>
    </row>
    <row r="127" spans="1:24" ht="15" customHeight="1" x14ac:dyDescent="0.2">
      <c r="A127" s="207" t="s">
        <v>49</v>
      </c>
      <c r="B127" s="156">
        <v>0</v>
      </c>
      <c r="C127" s="600">
        <f t="shared" si="11"/>
        <v>0</v>
      </c>
      <c r="D127" s="156">
        <v>0</v>
      </c>
      <c r="E127" s="600">
        <f t="shared" ref="E127" si="18">D127/E$122</f>
        <v>0</v>
      </c>
      <c r="F127" s="160">
        <v>0</v>
      </c>
      <c r="G127" s="600">
        <f t="shared" ref="G127" si="19">F127/G$122</f>
        <v>0</v>
      </c>
      <c r="H127" s="160">
        <v>0</v>
      </c>
      <c r="I127" s="600">
        <f t="shared" ref="I127" si="20">H127/I$122</f>
        <v>0</v>
      </c>
      <c r="J127" s="160">
        <v>0</v>
      </c>
      <c r="K127" s="600">
        <f t="shared" ref="K127" si="21">J127/K$122</f>
        <v>0</v>
      </c>
      <c r="L127" s="160">
        <v>0</v>
      </c>
      <c r="M127" s="600"/>
      <c r="N127" s="160">
        <v>0</v>
      </c>
      <c r="O127" s="600"/>
      <c r="P127" s="160">
        <v>0</v>
      </c>
      <c r="Q127" s="600"/>
      <c r="R127" s="160">
        <v>0</v>
      </c>
      <c r="S127" s="600"/>
      <c r="T127" s="160">
        <v>0</v>
      </c>
      <c r="U127" s="601"/>
      <c r="V127" s="1"/>
      <c r="W127" s="1246">
        <f t="shared" si="12"/>
        <v>0</v>
      </c>
      <c r="X127" s="206" t="e">
        <f t="shared" si="17"/>
        <v>#DIV/0!</v>
      </c>
    </row>
    <row r="128" spans="1:24" ht="15" customHeight="1" x14ac:dyDescent="0.2">
      <c r="A128" s="207" t="s">
        <v>50</v>
      </c>
      <c r="B128" s="156">
        <v>0</v>
      </c>
      <c r="C128" s="600">
        <f t="shared" si="11"/>
        <v>0</v>
      </c>
      <c r="D128" s="156">
        <v>0</v>
      </c>
      <c r="E128" s="600">
        <f t="shared" ref="E128" si="22">D128/E$122</f>
        <v>0</v>
      </c>
      <c r="F128" s="160">
        <v>0</v>
      </c>
      <c r="G128" s="600">
        <f t="shared" ref="G128" si="23">F128/G$122</f>
        <v>0</v>
      </c>
      <c r="H128" s="160">
        <v>0</v>
      </c>
      <c r="I128" s="600">
        <f t="shared" ref="I128" si="24">H128/I$122</f>
        <v>0</v>
      </c>
      <c r="J128" s="160">
        <v>0</v>
      </c>
      <c r="K128" s="600">
        <f t="shared" ref="K128" si="25">J128/K$122</f>
        <v>0</v>
      </c>
      <c r="L128" s="160">
        <v>0</v>
      </c>
      <c r="M128" s="600"/>
      <c r="N128" s="160">
        <v>0</v>
      </c>
      <c r="O128" s="600"/>
      <c r="P128" s="160">
        <v>0</v>
      </c>
      <c r="Q128" s="600"/>
      <c r="R128" s="160">
        <v>0</v>
      </c>
      <c r="S128" s="600"/>
      <c r="T128" s="160">
        <v>0</v>
      </c>
      <c r="U128" s="601"/>
      <c r="V128" s="1"/>
      <c r="W128" s="1246">
        <f t="shared" si="12"/>
        <v>0</v>
      </c>
      <c r="X128" s="206" t="e">
        <f t="shared" si="17"/>
        <v>#DIV/0!</v>
      </c>
    </row>
    <row r="129" spans="1:25" ht="15" customHeight="1" x14ac:dyDescent="0.2">
      <c r="A129" s="207" t="s">
        <v>51</v>
      </c>
      <c r="B129" s="156">
        <v>0</v>
      </c>
      <c r="C129" s="600">
        <f t="shared" si="11"/>
        <v>0</v>
      </c>
      <c r="D129" s="156">
        <v>0</v>
      </c>
      <c r="E129" s="600">
        <f t="shared" ref="E129" si="26">D129/E$122</f>
        <v>0</v>
      </c>
      <c r="F129" s="160">
        <v>0</v>
      </c>
      <c r="G129" s="600">
        <f t="shared" ref="G129" si="27">F129/G$122</f>
        <v>0</v>
      </c>
      <c r="H129" s="160">
        <v>0</v>
      </c>
      <c r="I129" s="600">
        <f t="shared" ref="I129" si="28">H129/I$122</f>
        <v>0</v>
      </c>
      <c r="J129" s="160">
        <v>0</v>
      </c>
      <c r="K129" s="600">
        <f t="shared" ref="K129" si="29">J129/K$122</f>
        <v>0</v>
      </c>
      <c r="L129" s="160">
        <v>0</v>
      </c>
      <c r="M129" s="600"/>
      <c r="N129" s="160">
        <v>0</v>
      </c>
      <c r="O129" s="600"/>
      <c r="P129" s="160">
        <v>0</v>
      </c>
      <c r="Q129" s="600"/>
      <c r="R129" s="160">
        <v>0</v>
      </c>
      <c r="S129" s="600"/>
      <c r="T129" s="160">
        <v>0</v>
      </c>
      <c r="U129" s="601"/>
      <c r="V129" s="1"/>
      <c r="W129" s="1246">
        <f t="shared" si="12"/>
        <v>0</v>
      </c>
      <c r="X129" s="206" t="e">
        <f t="shared" si="17"/>
        <v>#DIV/0!</v>
      </c>
    </row>
    <row r="130" spans="1:25" ht="15" customHeight="1" x14ac:dyDescent="0.2">
      <c r="A130" s="207" t="s">
        <v>52</v>
      </c>
      <c r="B130" s="156">
        <v>0</v>
      </c>
      <c r="C130" s="600">
        <f t="shared" si="11"/>
        <v>0</v>
      </c>
      <c r="D130" s="156">
        <v>0</v>
      </c>
      <c r="E130" s="600">
        <f t="shared" ref="E130" si="30">D130/E$122</f>
        <v>0</v>
      </c>
      <c r="F130" s="160">
        <v>0</v>
      </c>
      <c r="G130" s="600">
        <f t="shared" ref="G130" si="31">F130/G$122</f>
        <v>0</v>
      </c>
      <c r="H130" s="160">
        <v>0</v>
      </c>
      <c r="I130" s="600">
        <f t="shared" ref="I130" si="32">H130/I$122</f>
        <v>0</v>
      </c>
      <c r="J130" s="160">
        <v>0</v>
      </c>
      <c r="K130" s="600">
        <f t="shared" ref="K130" si="33">J130/K$122</f>
        <v>0</v>
      </c>
      <c r="L130" s="160">
        <v>0</v>
      </c>
      <c r="M130" s="600"/>
      <c r="N130" s="160">
        <v>0</v>
      </c>
      <c r="O130" s="600"/>
      <c r="P130" s="160">
        <v>0</v>
      </c>
      <c r="Q130" s="600"/>
      <c r="R130" s="160">
        <v>0</v>
      </c>
      <c r="S130" s="600"/>
      <c r="T130" s="160">
        <v>0</v>
      </c>
      <c r="U130" s="601"/>
      <c r="V130" s="1"/>
      <c r="W130" s="1246">
        <f t="shared" si="12"/>
        <v>0</v>
      </c>
      <c r="X130" s="206" t="e">
        <f t="shared" si="17"/>
        <v>#DIV/0!</v>
      </c>
    </row>
    <row r="131" spans="1:25" ht="15" customHeight="1" x14ac:dyDescent="0.2">
      <c r="A131" s="207" t="s">
        <v>53</v>
      </c>
      <c r="B131" s="157"/>
      <c r="C131" s="600">
        <f t="shared" si="11"/>
        <v>0</v>
      </c>
      <c r="D131" s="1223"/>
      <c r="E131" s="1224"/>
      <c r="F131" s="1225"/>
      <c r="G131" s="1224"/>
      <c r="H131" s="162">
        <v>0</v>
      </c>
      <c r="I131" s="600">
        <f t="shared" ref="I131" si="34">H131/I$122</f>
        <v>0</v>
      </c>
      <c r="J131" s="162">
        <v>0</v>
      </c>
      <c r="K131" s="600">
        <f t="shared" ref="K131" si="35">J131/K$122</f>
        <v>0</v>
      </c>
      <c r="L131" s="162">
        <v>0</v>
      </c>
      <c r="M131" s="600"/>
      <c r="N131" s="162">
        <v>0</v>
      </c>
      <c r="O131" s="600"/>
      <c r="P131" s="162">
        <v>0</v>
      </c>
      <c r="Q131" s="600"/>
      <c r="R131" s="162">
        <v>0</v>
      </c>
      <c r="S131" s="600"/>
      <c r="T131" s="160">
        <v>0</v>
      </c>
      <c r="U131" s="601"/>
      <c r="V131" s="1"/>
      <c r="W131" s="1246">
        <f t="shared" si="12"/>
        <v>0</v>
      </c>
      <c r="X131" s="206" t="e">
        <f t="shared" si="17"/>
        <v>#DIV/0!</v>
      </c>
    </row>
    <row r="132" spans="1:25" ht="15" customHeight="1" thickBot="1" x14ac:dyDescent="0.25">
      <c r="A132" s="696" t="s">
        <v>54</v>
      </c>
      <c r="B132" s="158">
        <v>0</v>
      </c>
      <c r="C132" s="908">
        <f t="shared" si="11"/>
        <v>0</v>
      </c>
      <c r="D132" s="158">
        <v>0</v>
      </c>
      <c r="E132" s="908">
        <f t="shared" ref="E132" si="36">D132/E$122</f>
        <v>0</v>
      </c>
      <c r="F132" s="162">
        <v>0</v>
      </c>
      <c r="G132" s="908">
        <f t="shared" ref="G132" si="37">F132/G$122</f>
        <v>0</v>
      </c>
      <c r="H132" s="162">
        <v>0</v>
      </c>
      <c r="I132" s="908">
        <f t="shared" ref="I132" si="38">H132/I$122</f>
        <v>0</v>
      </c>
      <c r="J132" s="162">
        <v>0</v>
      </c>
      <c r="K132" s="908">
        <f t="shared" ref="K132" si="39">J132/K$122</f>
        <v>0</v>
      </c>
      <c r="L132" s="162">
        <v>0</v>
      </c>
      <c r="M132" s="908"/>
      <c r="N132" s="162">
        <v>0</v>
      </c>
      <c r="O132" s="908"/>
      <c r="P132" s="162">
        <v>0</v>
      </c>
      <c r="Q132" s="908"/>
      <c r="R132" s="162">
        <v>0</v>
      </c>
      <c r="S132" s="908"/>
      <c r="T132" s="162">
        <v>0</v>
      </c>
      <c r="U132" s="909"/>
      <c r="V132" s="1"/>
      <c r="W132" s="1246">
        <f t="shared" si="12"/>
        <v>0</v>
      </c>
      <c r="X132" s="206" t="e">
        <f t="shared" si="17"/>
        <v>#DIV/0!</v>
      </c>
    </row>
    <row r="133" spans="1:25" ht="15" customHeight="1" x14ac:dyDescent="0.2">
      <c r="A133" s="680" t="s">
        <v>55</v>
      </c>
      <c r="B133" s="912"/>
      <c r="C133" s="913">
        <f t="shared" si="11"/>
        <v>0</v>
      </c>
      <c r="D133" s="912"/>
      <c r="E133" s="913">
        <f t="shared" ref="E133" si="40">D133/E$122</f>
        <v>0</v>
      </c>
      <c r="F133" s="914"/>
      <c r="G133" s="913"/>
      <c r="H133" s="914"/>
      <c r="I133" s="913"/>
      <c r="J133" s="914"/>
      <c r="K133" s="913"/>
      <c r="L133" s="914"/>
      <c r="M133" s="913"/>
      <c r="N133" s="914"/>
      <c r="O133" s="913"/>
      <c r="P133" s="914"/>
      <c r="Q133" s="913"/>
      <c r="R133" s="914"/>
      <c r="S133" s="913"/>
      <c r="T133" s="915"/>
      <c r="U133" s="916"/>
      <c r="V133" s="1"/>
      <c r="W133" s="1246"/>
      <c r="X133" s="206"/>
    </row>
    <row r="134" spans="1:25" ht="15" customHeight="1" x14ac:dyDescent="0.2">
      <c r="A134" s="200" t="s">
        <v>56</v>
      </c>
      <c r="B134" s="132">
        <v>1</v>
      </c>
      <c r="C134" s="600">
        <f t="shared" si="11"/>
        <v>0.33333333333333331</v>
      </c>
      <c r="D134" s="132">
        <v>2</v>
      </c>
      <c r="E134" s="600">
        <f t="shared" ref="E134" si="41">D134/E$122</f>
        <v>0.5</v>
      </c>
      <c r="F134" s="48">
        <v>0</v>
      </c>
      <c r="G134" s="600">
        <f t="shared" ref="G134" si="42">F134/G$122</f>
        <v>0</v>
      </c>
      <c r="H134" s="48">
        <v>0</v>
      </c>
      <c r="I134" s="600">
        <f t="shared" ref="I134" si="43">H134/I$122</f>
        <v>0</v>
      </c>
      <c r="J134" s="48">
        <v>1</v>
      </c>
      <c r="K134" s="600">
        <f t="shared" ref="K134" si="44">J134/K$122</f>
        <v>0.33333333333333331</v>
      </c>
      <c r="L134" s="48">
        <v>0</v>
      </c>
      <c r="M134" s="600"/>
      <c r="N134" s="48">
        <v>0</v>
      </c>
      <c r="O134" s="600"/>
      <c r="P134" s="48">
        <v>0</v>
      </c>
      <c r="Q134" s="600"/>
      <c r="R134" s="48">
        <v>0</v>
      </c>
      <c r="S134" s="600"/>
      <c r="T134" s="160">
        <v>0</v>
      </c>
      <c r="U134" s="601"/>
      <c r="V134" s="1"/>
      <c r="W134" s="1246">
        <f t="shared" si="12"/>
        <v>0</v>
      </c>
      <c r="X134" s="206" t="e">
        <f t="shared" si="17"/>
        <v>#DIV/0!</v>
      </c>
    </row>
    <row r="135" spans="1:25" ht="15" customHeight="1" thickBot="1" x14ac:dyDescent="0.25">
      <c r="A135" s="696" t="s">
        <v>57</v>
      </c>
      <c r="B135" s="910">
        <v>2</v>
      </c>
      <c r="C135" s="908">
        <f t="shared" si="11"/>
        <v>0.66666666666666663</v>
      </c>
      <c r="D135" s="910">
        <v>2</v>
      </c>
      <c r="E135" s="908">
        <f t="shared" ref="E135" si="45">D135/E$122</f>
        <v>0.5</v>
      </c>
      <c r="F135" s="911">
        <v>2</v>
      </c>
      <c r="G135" s="908">
        <f t="shared" ref="G135" si="46">F135/G$122</f>
        <v>1</v>
      </c>
      <c r="H135" s="911">
        <v>2</v>
      </c>
      <c r="I135" s="908">
        <f t="shared" ref="I135" si="47">H135/I$122</f>
        <v>1</v>
      </c>
      <c r="J135" s="911">
        <v>2</v>
      </c>
      <c r="K135" s="908">
        <f t="shared" ref="K135" si="48">J135/K$122</f>
        <v>0.66666666666666663</v>
      </c>
      <c r="L135" s="911">
        <v>0</v>
      </c>
      <c r="M135" s="908"/>
      <c r="N135" s="911">
        <v>0</v>
      </c>
      <c r="O135" s="908"/>
      <c r="P135" s="911">
        <v>0</v>
      </c>
      <c r="Q135" s="908"/>
      <c r="R135" s="911">
        <v>0</v>
      </c>
      <c r="S135" s="908"/>
      <c r="T135" s="162">
        <v>0</v>
      </c>
      <c r="U135" s="909"/>
      <c r="V135" s="1"/>
      <c r="W135" s="1246">
        <f t="shared" si="12"/>
        <v>0</v>
      </c>
      <c r="X135" s="206" t="e">
        <f t="shared" si="17"/>
        <v>#DIV/0!</v>
      </c>
      <c r="Y135" s="919"/>
    </row>
    <row r="136" spans="1:25" ht="15" customHeight="1" x14ac:dyDescent="0.2">
      <c r="A136" s="680" t="s">
        <v>58</v>
      </c>
      <c r="B136" s="917"/>
      <c r="C136" s="913">
        <f t="shared" si="11"/>
        <v>0</v>
      </c>
      <c r="D136" s="917"/>
      <c r="E136" s="913">
        <f t="shared" ref="E136" si="49">D136/E$122</f>
        <v>0</v>
      </c>
      <c r="F136" s="918"/>
      <c r="G136" s="913"/>
      <c r="H136" s="918"/>
      <c r="I136" s="913"/>
      <c r="J136" s="918"/>
      <c r="K136" s="913"/>
      <c r="L136" s="918"/>
      <c r="M136" s="913"/>
      <c r="N136" s="918"/>
      <c r="O136" s="913"/>
      <c r="P136" s="918"/>
      <c r="Q136" s="913"/>
      <c r="R136" s="918"/>
      <c r="S136" s="913"/>
      <c r="T136" s="915"/>
      <c r="U136" s="916"/>
      <c r="V136" s="1"/>
      <c r="W136" s="1246"/>
      <c r="X136" s="206"/>
      <c r="Y136" s="85"/>
    </row>
    <row r="137" spans="1:25" ht="15" customHeight="1" x14ac:dyDescent="0.2">
      <c r="A137" s="200" t="s">
        <v>59</v>
      </c>
      <c r="B137" s="133">
        <v>2</v>
      </c>
      <c r="C137" s="600">
        <f t="shared" si="11"/>
        <v>0.66666666666666663</v>
      </c>
      <c r="D137" s="133">
        <v>3</v>
      </c>
      <c r="E137" s="600">
        <f t="shared" ref="E137" si="50">D137/E$122</f>
        <v>0.75</v>
      </c>
      <c r="F137" s="134">
        <v>2</v>
      </c>
      <c r="G137" s="600">
        <f t="shared" ref="G137" si="51">F137/G$122</f>
        <v>1</v>
      </c>
      <c r="H137" s="134">
        <v>2</v>
      </c>
      <c r="I137" s="600">
        <f t="shared" ref="I137" si="52">H137/I$122</f>
        <v>1</v>
      </c>
      <c r="J137" s="134">
        <v>3</v>
      </c>
      <c r="K137" s="600">
        <f t="shared" ref="K137" si="53">J137/K$122</f>
        <v>1</v>
      </c>
      <c r="L137" s="134">
        <v>0</v>
      </c>
      <c r="M137" s="600"/>
      <c r="N137" s="134">
        <v>0</v>
      </c>
      <c r="O137" s="600"/>
      <c r="P137" s="134">
        <v>0</v>
      </c>
      <c r="Q137" s="600"/>
      <c r="R137" s="134">
        <v>0</v>
      </c>
      <c r="S137" s="600"/>
      <c r="T137" s="160">
        <v>0</v>
      </c>
      <c r="U137" s="601"/>
      <c r="V137" s="1"/>
      <c r="W137" s="1246">
        <f t="shared" si="12"/>
        <v>0</v>
      </c>
      <c r="X137" s="206" t="e">
        <f t="shared" si="17"/>
        <v>#DIV/0!</v>
      </c>
    </row>
    <row r="138" spans="1:25" ht="15" customHeight="1" x14ac:dyDescent="0.2">
      <c r="A138" s="200" t="s">
        <v>60</v>
      </c>
      <c r="B138" s="133">
        <v>0</v>
      </c>
      <c r="C138" s="600">
        <f t="shared" si="11"/>
        <v>0</v>
      </c>
      <c r="D138" s="133">
        <v>0</v>
      </c>
      <c r="E138" s="600">
        <f t="shared" ref="E138" si="54">D138/E$122</f>
        <v>0</v>
      </c>
      <c r="F138" s="134">
        <v>0</v>
      </c>
      <c r="G138" s="600">
        <f t="shared" ref="G138" si="55">F138/G$122</f>
        <v>0</v>
      </c>
      <c r="H138" s="134">
        <v>0</v>
      </c>
      <c r="I138" s="600">
        <f t="shared" ref="I138" si="56">H138/I$122</f>
        <v>0</v>
      </c>
      <c r="J138" s="134">
        <v>0</v>
      </c>
      <c r="K138" s="600">
        <f t="shared" ref="K138" si="57">J138/K$122</f>
        <v>0</v>
      </c>
      <c r="L138" s="134">
        <v>0</v>
      </c>
      <c r="M138" s="600"/>
      <c r="N138" s="134">
        <v>0</v>
      </c>
      <c r="O138" s="600"/>
      <c r="P138" s="134">
        <v>0</v>
      </c>
      <c r="Q138" s="600"/>
      <c r="R138" s="134">
        <v>0</v>
      </c>
      <c r="S138" s="600"/>
      <c r="T138" s="160">
        <v>0</v>
      </c>
      <c r="U138" s="601"/>
      <c r="V138" s="1"/>
      <c r="W138" s="1246">
        <f t="shared" si="12"/>
        <v>0</v>
      </c>
      <c r="X138" s="206" t="e">
        <f t="shared" si="17"/>
        <v>#DIV/0!</v>
      </c>
    </row>
    <row r="139" spans="1:25" ht="15" customHeight="1" thickBot="1" x14ac:dyDescent="0.25">
      <c r="A139" s="696" t="s">
        <v>61</v>
      </c>
      <c r="B139" s="910">
        <v>1</v>
      </c>
      <c r="C139" s="908">
        <f t="shared" si="11"/>
        <v>0.33333333333333331</v>
      </c>
      <c r="D139" s="910">
        <v>1</v>
      </c>
      <c r="E139" s="908">
        <f t="shared" ref="E139" si="58">D139/E$122</f>
        <v>0.25</v>
      </c>
      <c r="F139" s="911">
        <v>0</v>
      </c>
      <c r="G139" s="908">
        <f t="shared" ref="G139" si="59">F139/G$122</f>
        <v>0</v>
      </c>
      <c r="H139" s="911">
        <v>0</v>
      </c>
      <c r="I139" s="908">
        <f t="shared" ref="I139" si="60">H139/I$122</f>
        <v>0</v>
      </c>
      <c r="J139" s="911">
        <v>0</v>
      </c>
      <c r="K139" s="908">
        <f t="shared" ref="K139" si="61">J139/K$122</f>
        <v>0</v>
      </c>
      <c r="L139" s="911">
        <v>0</v>
      </c>
      <c r="M139" s="908"/>
      <c r="N139" s="911">
        <v>0</v>
      </c>
      <c r="O139" s="908"/>
      <c r="P139" s="911">
        <v>0</v>
      </c>
      <c r="Q139" s="908"/>
      <c r="R139" s="911">
        <v>0</v>
      </c>
      <c r="S139" s="908"/>
      <c r="T139" s="162">
        <v>0</v>
      </c>
      <c r="U139" s="909"/>
      <c r="V139" s="1"/>
      <c r="W139" s="1246">
        <f t="shared" si="12"/>
        <v>0</v>
      </c>
      <c r="X139" s="206" t="e">
        <f t="shared" si="17"/>
        <v>#DIV/0!</v>
      </c>
    </row>
    <row r="140" spans="1:25" ht="15" customHeight="1" x14ac:dyDescent="0.2">
      <c r="A140" s="680" t="s">
        <v>62</v>
      </c>
      <c r="B140" s="917"/>
      <c r="C140" s="913">
        <f t="shared" si="11"/>
        <v>0</v>
      </c>
      <c r="D140" s="917"/>
      <c r="E140" s="913">
        <f t="shared" ref="E140" si="62">D140/E$122</f>
        <v>0</v>
      </c>
      <c r="F140" s="918"/>
      <c r="G140" s="913"/>
      <c r="H140" s="918"/>
      <c r="I140" s="913"/>
      <c r="J140" s="918"/>
      <c r="K140" s="913"/>
      <c r="L140" s="918"/>
      <c r="M140" s="913"/>
      <c r="N140" s="918"/>
      <c r="O140" s="913"/>
      <c r="P140" s="918"/>
      <c r="Q140" s="913"/>
      <c r="R140" s="918"/>
      <c r="S140" s="913"/>
      <c r="T140" s="915"/>
      <c r="U140" s="916"/>
      <c r="V140" s="1"/>
      <c r="W140" s="1246"/>
      <c r="X140" s="206"/>
    </row>
    <row r="141" spans="1:25" ht="15" customHeight="1" x14ac:dyDescent="0.2">
      <c r="A141" s="200" t="s">
        <v>63</v>
      </c>
      <c r="B141" s="133">
        <v>2</v>
      </c>
      <c r="C141" s="600">
        <f t="shared" si="11"/>
        <v>0.66666666666666663</v>
      </c>
      <c r="D141" s="133">
        <v>2</v>
      </c>
      <c r="E141" s="600">
        <f t="shared" ref="E141" si="63">D141/E$122</f>
        <v>0.5</v>
      </c>
      <c r="F141" s="134">
        <v>2</v>
      </c>
      <c r="G141" s="600">
        <f t="shared" ref="G141" si="64">F141/G$122</f>
        <v>1</v>
      </c>
      <c r="H141" s="134">
        <v>2</v>
      </c>
      <c r="I141" s="600">
        <f t="shared" ref="I141" si="65">H141/I$122</f>
        <v>1</v>
      </c>
      <c r="J141" s="134">
        <v>3</v>
      </c>
      <c r="K141" s="600">
        <f t="shared" ref="K141" si="66">J141/K$122</f>
        <v>1</v>
      </c>
      <c r="L141" s="134">
        <v>0</v>
      </c>
      <c r="M141" s="600"/>
      <c r="N141" s="134">
        <v>0</v>
      </c>
      <c r="O141" s="600"/>
      <c r="P141" s="134">
        <v>0</v>
      </c>
      <c r="Q141" s="600"/>
      <c r="R141" s="134">
        <v>0</v>
      </c>
      <c r="S141" s="600"/>
      <c r="T141" s="160">
        <v>0</v>
      </c>
      <c r="U141" s="601"/>
      <c r="V141" s="1"/>
      <c r="W141" s="1246">
        <f t="shared" si="12"/>
        <v>0</v>
      </c>
      <c r="X141" s="206" t="e">
        <f t="shared" si="17"/>
        <v>#DIV/0!</v>
      </c>
    </row>
    <row r="142" spans="1:25" ht="15" customHeight="1" x14ac:dyDescent="0.2">
      <c r="A142" s="200" t="s">
        <v>64</v>
      </c>
      <c r="B142" s="133">
        <v>0</v>
      </c>
      <c r="C142" s="600">
        <f t="shared" si="11"/>
        <v>0</v>
      </c>
      <c r="D142" s="133">
        <v>1</v>
      </c>
      <c r="E142" s="600">
        <f t="shared" ref="E142" si="67">D142/E$122</f>
        <v>0.25</v>
      </c>
      <c r="F142" s="134">
        <v>0</v>
      </c>
      <c r="G142" s="600">
        <f t="shared" ref="G142" si="68">F142/G$122</f>
        <v>0</v>
      </c>
      <c r="H142" s="134">
        <v>0</v>
      </c>
      <c r="I142" s="600">
        <f t="shared" ref="I142" si="69">H142/I$122</f>
        <v>0</v>
      </c>
      <c r="J142" s="134">
        <v>0</v>
      </c>
      <c r="K142" s="600">
        <f t="shared" ref="K142" si="70">J142/K$122</f>
        <v>0</v>
      </c>
      <c r="L142" s="134">
        <v>0</v>
      </c>
      <c r="M142" s="600"/>
      <c r="N142" s="134">
        <v>0</v>
      </c>
      <c r="O142" s="600"/>
      <c r="P142" s="134">
        <v>0</v>
      </c>
      <c r="Q142" s="600"/>
      <c r="R142" s="134">
        <v>0</v>
      </c>
      <c r="S142" s="600"/>
      <c r="T142" s="160">
        <v>0</v>
      </c>
      <c r="U142" s="601"/>
      <c r="V142" s="1"/>
      <c r="W142" s="1246">
        <f t="shared" si="12"/>
        <v>0</v>
      </c>
      <c r="X142" s="206" t="e">
        <f t="shared" si="17"/>
        <v>#DIV/0!</v>
      </c>
    </row>
    <row r="143" spans="1:25" ht="15" customHeight="1" x14ac:dyDescent="0.2">
      <c r="A143" s="200" t="s">
        <v>65</v>
      </c>
      <c r="B143" s="133">
        <v>1</v>
      </c>
      <c r="C143" s="600">
        <f t="shared" si="11"/>
        <v>0.33333333333333331</v>
      </c>
      <c r="D143" s="133">
        <v>1</v>
      </c>
      <c r="E143" s="600">
        <f t="shared" ref="E143" si="71">D143/E$122</f>
        <v>0.25</v>
      </c>
      <c r="F143" s="134">
        <v>0</v>
      </c>
      <c r="G143" s="600">
        <f t="shared" ref="G143" si="72">F143/G$122</f>
        <v>0</v>
      </c>
      <c r="H143" s="134">
        <v>0</v>
      </c>
      <c r="I143" s="600">
        <f t="shared" ref="I143" si="73">H143/I$122</f>
        <v>0</v>
      </c>
      <c r="J143" s="134">
        <v>0</v>
      </c>
      <c r="K143" s="600">
        <f t="shared" ref="K143" si="74">J143/K$122</f>
        <v>0</v>
      </c>
      <c r="L143" s="134">
        <v>0</v>
      </c>
      <c r="M143" s="600"/>
      <c r="N143" s="134">
        <v>0</v>
      </c>
      <c r="O143" s="600"/>
      <c r="P143" s="134">
        <v>0</v>
      </c>
      <c r="Q143" s="600"/>
      <c r="R143" s="134">
        <v>0</v>
      </c>
      <c r="S143" s="600"/>
      <c r="T143" s="160">
        <v>0</v>
      </c>
      <c r="U143" s="601"/>
      <c r="V143" s="43"/>
      <c r="W143" s="1246">
        <f t="shared" si="12"/>
        <v>0</v>
      </c>
      <c r="X143" s="206" t="e">
        <f t="shared" si="17"/>
        <v>#DIV/0!</v>
      </c>
    </row>
    <row r="144" spans="1:25" ht="15" customHeight="1" thickBot="1" x14ac:dyDescent="0.25">
      <c r="A144" s="212" t="s">
        <v>66</v>
      </c>
      <c r="B144" s="159">
        <v>0</v>
      </c>
      <c r="C144" s="602">
        <f t="shared" si="11"/>
        <v>0</v>
      </c>
      <c r="D144" s="159">
        <v>0</v>
      </c>
      <c r="E144" s="602">
        <f t="shared" ref="E144" si="75">D144/E$122</f>
        <v>0</v>
      </c>
      <c r="F144" s="163">
        <v>0</v>
      </c>
      <c r="G144" s="602">
        <f t="shared" ref="G144" si="76">F144/G$122</f>
        <v>0</v>
      </c>
      <c r="H144" s="163">
        <v>0</v>
      </c>
      <c r="I144" s="602">
        <f t="shared" ref="I144" si="77">H144/I$122</f>
        <v>0</v>
      </c>
      <c r="J144" s="163">
        <v>0</v>
      </c>
      <c r="K144" s="602">
        <f t="shared" ref="K144" si="78">J144/K$122</f>
        <v>0</v>
      </c>
      <c r="L144" s="163">
        <v>0</v>
      </c>
      <c r="M144" s="602"/>
      <c r="N144" s="163">
        <v>0</v>
      </c>
      <c r="O144" s="602"/>
      <c r="P144" s="163">
        <v>0</v>
      </c>
      <c r="Q144" s="602"/>
      <c r="R144" s="163">
        <v>0</v>
      </c>
      <c r="S144" s="602"/>
      <c r="T144" s="163">
        <v>0</v>
      </c>
      <c r="U144" s="630"/>
      <c r="V144" s="1"/>
      <c r="W144" s="1251">
        <f t="shared" si="12"/>
        <v>0</v>
      </c>
      <c r="X144" s="220" t="e">
        <f t="shared" si="17"/>
        <v>#DIV/0!</v>
      </c>
    </row>
    <row r="145" spans="1:1" ht="15" customHeight="1" thickTop="1" x14ac:dyDescent="0.2">
      <c r="A145" s="743" t="s">
        <v>248</v>
      </c>
    </row>
  </sheetData>
  <mergeCells count="66">
    <mergeCell ref="N9:O9"/>
    <mergeCell ref="P9:Q9"/>
    <mergeCell ref="R9:S9"/>
    <mergeCell ref="W9:X9"/>
    <mergeCell ref="B9:C9"/>
    <mergeCell ref="D9:E9"/>
    <mergeCell ref="F9:G9"/>
    <mergeCell ref="H9:I9"/>
    <mergeCell ref="J9:K9"/>
    <mergeCell ref="L9:M9"/>
    <mergeCell ref="T9:U9"/>
    <mergeCell ref="L107:M107"/>
    <mergeCell ref="N107:O107"/>
    <mergeCell ref="P107:Q107"/>
    <mergeCell ref="R107:S107"/>
    <mergeCell ref="W107:X107"/>
    <mergeCell ref="B107:C107"/>
    <mergeCell ref="D107:E107"/>
    <mergeCell ref="F107:G107"/>
    <mergeCell ref="H107:I107"/>
    <mergeCell ref="J107:K107"/>
    <mergeCell ref="B110:C110"/>
    <mergeCell ref="D110:E110"/>
    <mergeCell ref="F110:G110"/>
    <mergeCell ref="H110:I110"/>
    <mergeCell ref="J110:K110"/>
    <mergeCell ref="L110:M110"/>
    <mergeCell ref="N110:O110"/>
    <mergeCell ref="P110:Q110"/>
    <mergeCell ref="R110:S110"/>
    <mergeCell ref="W110:X110"/>
    <mergeCell ref="B114:C114"/>
    <mergeCell ref="D114:E114"/>
    <mergeCell ref="R114:S114"/>
    <mergeCell ref="W114:X114"/>
    <mergeCell ref="B94:C94"/>
    <mergeCell ref="D94:E94"/>
    <mergeCell ref="F94:G94"/>
    <mergeCell ref="H94:I94"/>
    <mergeCell ref="J94:K94"/>
    <mergeCell ref="L94:M94"/>
    <mergeCell ref="N94:O94"/>
    <mergeCell ref="P94:Q94"/>
    <mergeCell ref="F114:G114"/>
    <mergeCell ref="H114:I114"/>
    <mergeCell ref="J114:K114"/>
    <mergeCell ref="L114:M114"/>
    <mergeCell ref="N114:O114"/>
    <mergeCell ref="P114:Q114"/>
    <mergeCell ref="R82:S82"/>
    <mergeCell ref="W82:X82"/>
    <mergeCell ref="R94:S94"/>
    <mergeCell ref="W94:X94"/>
    <mergeCell ref="T82:U82"/>
    <mergeCell ref="T94:U94"/>
    <mergeCell ref="T107:U107"/>
    <mergeCell ref="T110:U110"/>
    <mergeCell ref="T114:U114"/>
    <mergeCell ref="L82:M82"/>
    <mergeCell ref="N82:O82"/>
    <mergeCell ref="P82:Q82"/>
    <mergeCell ref="B82:C82"/>
    <mergeCell ref="D82:E82"/>
    <mergeCell ref="F82:G82"/>
    <mergeCell ref="H82:I82"/>
    <mergeCell ref="J82:K82"/>
  </mergeCells>
  <pageMargins left="0.7" right="0.7" top="0.5" bottom="0.5" header="0.3" footer="0.3"/>
  <pageSetup scale="56" orientation="landscape" r:id="rId1"/>
  <headerFooter>
    <oddFooter>&amp;LPrepared by Planning and Analysis&amp;C&amp;P of &amp;N&amp;RUpdated &amp;D</oddFooter>
  </headerFooter>
  <rowBreaks count="3" manualBreakCount="3">
    <brk id="45" max="21" man="1"/>
    <brk id="81" max="21" man="1"/>
    <brk id="111" max="21" man="1"/>
  </rowBreaks>
  <colBreaks count="1" manualBreakCount="1">
    <brk id="21" min="8" max="14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AA421"/>
  <sheetViews>
    <sheetView view="pageBreakPreview" zoomScaleNormal="85" zoomScaleSheetLayoutView="100" workbookViewId="0">
      <pane xSplit="1" ySplit="1" topLeftCell="T2" activePane="bottomRight" state="frozen"/>
      <selection activeCell="T36" sqref="T36:U36"/>
      <selection pane="topRight" activeCell="T36" sqref="T36:U36"/>
      <selection pane="bottomLeft" activeCell="T36" sqref="T36:U36"/>
      <selection pane="bottomRight" activeCell="T36" sqref="T36:U36"/>
    </sheetView>
  </sheetViews>
  <sheetFormatPr defaultColWidth="10.28515625" defaultRowHeight="12.75" x14ac:dyDescent="0.2"/>
  <cols>
    <col min="1" max="1" width="33.5703125" customWidth="1"/>
    <col min="2" max="2" width="6.7109375" hidden="1" customWidth="1"/>
    <col min="3" max="3" width="10.7109375" hidden="1" customWidth="1"/>
    <col min="4" max="4" width="6.7109375" hidden="1" customWidth="1"/>
    <col min="5" max="5" width="10.7109375" hidden="1" customWidth="1"/>
    <col min="6" max="6" width="6.7109375" customWidth="1"/>
    <col min="7" max="7" width="10.7109375" customWidth="1"/>
    <col min="8" max="8" width="6.7109375" customWidth="1"/>
    <col min="9" max="9" width="10.7109375" customWidth="1"/>
    <col min="10" max="10" width="6.7109375" customWidth="1"/>
    <col min="11" max="11" width="10.7109375" customWidth="1"/>
    <col min="12" max="12" width="6.7109375" customWidth="1"/>
    <col min="13" max="13" width="10.7109375" customWidth="1"/>
    <col min="14" max="14" width="6.7109375" customWidth="1"/>
    <col min="15" max="15" width="10.7109375" customWidth="1"/>
    <col min="16" max="16" width="6.7109375" customWidth="1"/>
    <col min="17" max="17" width="10.7109375" customWidth="1"/>
    <col min="18" max="18" width="6.7109375" customWidth="1"/>
    <col min="19" max="19" width="10.7109375" customWidth="1"/>
    <col min="20" max="20" width="6.7109375" customWidth="1"/>
    <col min="21" max="21" width="10.7109375" customWidth="1"/>
    <col min="22" max="22" width="3.28515625" customWidth="1"/>
    <col min="23" max="23" width="6.7109375" customWidth="1"/>
    <col min="24" max="24" width="10.7109375" customWidth="1"/>
    <col min="25" max="25" width="1.5703125" customWidth="1"/>
  </cols>
  <sheetData>
    <row r="1" spans="1:26" ht="15.75" x14ac:dyDescent="0.25">
      <c r="A1" s="667" t="s">
        <v>240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</row>
    <row r="2" spans="1:26" ht="15.75" x14ac:dyDescent="0.25">
      <c r="A2" s="667" t="s">
        <v>241</v>
      </c>
    </row>
    <row r="3" spans="1:26" ht="15.75" x14ac:dyDescent="0.25">
      <c r="A3" s="667"/>
    </row>
    <row r="4" spans="1:26" ht="15.75" x14ac:dyDescent="0.25">
      <c r="A4" s="668" t="s">
        <v>261</v>
      </c>
    </row>
    <row r="5" spans="1:26" ht="15.75" x14ac:dyDescent="0.25">
      <c r="A5" s="668"/>
    </row>
    <row r="6" spans="1:26" x14ac:dyDescent="0.2">
      <c r="A6" s="3" t="s">
        <v>270</v>
      </c>
    </row>
    <row r="7" spans="1:26" x14ac:dyDescent="0.2">
      <c r="A7" s="720">
        <v>3670020300</v>
      </c>
      <c r="R7" s="65" t="s">
        <v>19</v>
      </c>
    </row>
    <row r="8" spans="1:26" ht="13.5" thickBot="1" x14ac:dyDescent="0.25">
      <c r="A8" s="1"/>
    </row>
    <row r="9" spans="1:26" ht="15" customHeight="1" thickTop="1" x14ac:dyDescent="0.2">
      <c r="A9" s="4"/>
      <c r="B9" s="1401" t="s">
        <v>0</v>
      </c>
      <c r="C9" s="1398"/>
      <c r="D9" s="1401" t="s">
        <v>1</v>
      </c>
      <c r="E9" s="1398"/>
      <c r="F9" s="1401" t="s">
        <v>2</v>
      </c>
      <c r="G9" s="1398"/>
      <c r="H9" s="1401" t="s">
        <v>3</v>
      </c>
      <c r="I9" s="1398"/>
      <c r="J9" s="1401" t="s">
        <v>4</v>
      </c>
      <c r="K9" s="1398"/>
      <c r="L9" s="1401" t="s">
        <v>5</v>
      </c>
      <c r="M9" s="1398"/>
      <c r="N9" s="1401" t="s">
        <v>6</v>
      </c>
      <c r="O9" s="1398"/>
      <c r="P9" s="1401" t="s">
        <v>7</v>
      </c>
      <c r="Q9" s="1398"/>
      <c r="R9" s="1401" t="s">
        <v>8</v>
      </c>
      <c r="S9" s="1398"/>
      <c r="T9" s="1401" t="s">
        <v>301</v>
      </c>
      <c r="U9" s="1402"/>
      <c r="W9" s="1407" t="s">
        <v>9</v>
      </c>
      <c r="X9" s="1408"/>
    </row>
    <row r="10" spans="1:26" ht="15" customHeight="1" x14ac:dyDescent="0.2">
      <c r="A10" s="5"/>
      <c r="B10" s="68" t="s">
        <v>287</v>
      </c>
      <c r="C10" s="8" t="s">
        <v>10</v>
      </c>
      <c r="D10" s="68" t="s">
        <v>287</v>
      </c>
      <c r="E10" s="8" t="s">
        <v>10</v>
      </c>
      <c r="F10" s="68" t="s">
        <v>287</v>
      </c>
      <c r="G10" s="8" t="s">
        <v>10</v>
      </c>
      <c r="H10" s="68" t="s">
        <v>287</v>
      </c>
      <c r="I10" s="8" t="s">
        <v>10</v>
      </c>
      <c r="J10" s="68" t="s">
        <v>287</v>
      </c>
      <c r="K10" s="8" t="s">
        <v>10</v>
      </c>
      <c r="L10" s="68" t="s">
        <v>287</v>
      </c>
      <c r="M10" s="8" t="s">
        <v>10</v>
      </c>
      <c r="N10" s="68" t="s">
        <v>287</v>
      </c>
      <c r="O10" s="8" t="s">
        <v>10</v>
      </c>
      <c r="P10" s="68" t="s">
        <v>287</v>
      </c>
      <c r="Q10" s="8" t="s">
        <v>10</v>
      </c>
      <c r="R10" s="68" t="s">
        <v>287</v>
      </c>
      <c r="S10" s="8" t="s">
        <v>10</v>
      </c>
      <c r="T10" s="68" t="s">
        <v>287</v>
      </c>
      <c r="U10" s="97" t="s">
        <v>10</v>
      </c>
      <c r="W10" s="6" t="s">
        <v>287</v>
      </c>
      <c r="X10" s="7" t="s">
        <v>11</v>
      </c>
    </row>
    <row r="11" spans="1:26" ht="15" customHeight="1" thickBot="1" x14ac:dyDescent="0.25">
      <c r="A11" s="70" t="s">
        <v>77</v>
      </c>
      <c r="B11" s="69" t="s">
        <v>12</v>
      </c>
      <c r="C11" s="922" t="s">
        <v>13</v>
      </c>
      <c r="D11" s="69" t="s">
        <v>12</v>
      </c>
      <c r="E11" s="922" t="s">
        <v>13</v>
      </c>
      <c r="F11" s="69" t="s">
        <v>12</v>
      </c>
      <c r="G11" s="922" t="s">
        <v>13</v>
      </c>
      <c r="H11" s="69" t="s">
        <v>12</v>
      </c>
      <c r="I11" s="922" t="s">
        <v>13</v>
      </c>
      <c r="J11" s="69" t="s">
        <v>12</v>
      </c>
      <c r="K11" s="922" t="s">
        <v>13</v>
      </c>
      <c r="L11" s="69" t="s">
        <v>12</v>
      </c>
      <c r="M11" s="922" t="s">
        <v>13</v>
      </c>
      <c r="N11" s="69" t="s">
        <v>12</v>
      </c>
      <c r="O11" s="922" t="s">
        <v>13</v>
      </c>
      <c r="P11" s="69" t="s">
        <v>12</v>
      </c>
      <c r="Q11" s="922" t="s">
        <v>13</v>
      </c>
      <c r="R11" s="69" t="s">
        <v>12</v>
      </c>
      <c r="S11" s="922" t="s">
        <v>13</v>
      </c>
      <c r="T11" s="69" t="s">
        <v>12</v>
      </c>
      <c r="U11" s="10" t="s">
        <v>13</v>
      </c>
      <c r="W11" s="9" t="s">
        <v>12</v>
      </c>
      <c r="X11" s="10" t="s">
        <v>13</v>
      </c>
    </row>
    <row r="12" spans="1:26" ht="15" customHeight="1" x14ac:dyDescent="0.2">
      <c r="A12" s="445" t="s">
        <v>309</v>
      </c>
      <c r="B12" s="258"/>
      <c r="C12" s="259"/>
      <c r="D12" s="11"/>
      <c r="E12" s="12"/>
      <c r="F12" s="13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5"/>
      <c r="V12" s="564"/>
      <c r="W12" s="779"/>
      <c r="X12" s="24"/>
    </row>
    <row r="13" spans="1:26" s="23" customFormat="1" ht="15" customHeight="1" x14ac:dyDescent="0.2">
      <c r="A13" s="18" t="s">
        <v>15</v>
      </c>
      <c r="B13" s="20">
        <v>6</v>
      </c>
      <c r="C13" s="262"/>
      <c r="D13" s="22">
        <v>4</v>
      </c>
      <c r="E13" s="264"/>
      <c r="F13" s="20">
        <v>7</v>
      </c>
      <c r="G13" s="264"/>
      <c r="H13" s="20">
        <v>5</v>
      </c>
      <c r="I13" s="264"/>
      <c r="J13" s="20">
        <v>4</v>
      </c>
      <c r="K13" s="264"/>
      <c r="L13" s="20">
        <v>3</v>
      </c>
      <c r="M13" s="264"/>
      <c r="N13" s="20">
        <v>10</v>
      </c>
      <c r="O13" s="264"/>
      <c r="P13" s="20">
        <v>9</v>
      </c>
      <c r="Q13" s="264"/>
      <c r="R13" s="20">
        <v>8</v>
      </c>
      <c r="S13" s="264"/>
      <c r="T13" s="20">
        <v>13</v>
      </c>
      <c r="U13" s="266"/>
      <c r="W13" s="16">
        <f>AVERAGE(N13,L13,R13,T13,P13)</f>
        <v>8.6</v>
      </c>
      <c r="X13" s="496"/>
    </row>
    <row r="14" spans="1:26" s="23" customFormat="1" ht="15" customHeight="1" thickBot="1" x14ac:dyDescent="0.25">
      <c r="A14" s="27" t="s">
        <v>16</v>
      </c>
      <c r="B14" s="29">
        <v>24</v>
      </c>
      <c r="C14" s="263"/>
      <c r="D14" s="86">
        <v>26</v>
      </c>
      <c r="E14" s="265"/>
      <c r="F14" s="29">
        <v>26</v>
      </c>
      <c r="G14" s="265"/>
      <c r="H14" s="29">
        <v>26</v>
      </c>
      <c r="I14" s="265"/>
      <c r="J14" s="29">
        <v>21</v>
      </c>
      <c r="K14" s="265"/>
      <c r="L14" s="29">
        <v>21</v>
      </c>
      <c r="M14" s="265"/>
      <c r="N14" s="29">
        <v>19</v>
      </c>
      <c r="O14" s="265"/>
      <c r="P14" s="29">
        <v>18</v>
      </c>
      <c r="Q14" s="265"/>
      <c r="R14" s="29">
        <v>15</v>
      </c>
      <c r="S14" s="265"/>
      <c r="T14" s="29">
        <v>16</v>
      </c>
      <c r="U14" s="267"/>
      <c r="W14" s="173">
        <f>AVERAGE(N14,L14,R14,T14,P14)</f>
        <v>17.8</v>
      </c>
      <c r="X14" s="497"/>
    </row>
    <row r="15" spans="1:26" s="73" customFormat="1" ht="15" customHeight="1" thickBot="1" x14ac:dyDescent="0.25">
      <c r="A15" s="98" t="s">
        <v>17</v>
      </c>
      <c r="B15" s="89">
        <f t="shared" ref="B15:R15" si="0">SUM(B13:B14)</f>
        <v>30</v>
      </c>
      <c r="C15" s="100">
        <v>6</v>
      </c>
      <c r="D15" s="89">
        <f t="shared" si="0"/>
        <v>30</v>
      </c>
      <c r="E15" s="100">
        <v>7</v>
      </c>
      <c r="F15" s="89">
        <f t="shared" si="0"/>
        <v>33</v>
      </c>
      <c r="G15" s="100">
        <v>10</v>
      </c>
      <c r="H15" s="89">
        <f t="shared" si="0"/>
        <v>31</v>
      </c>
      <c r="I15" s="100">
        <v>10</v>
      </c>
      <c r="J15" s="89">
        <f t="shared" si="0"/>
        <v>25</v>
      </c>
      <c r="K15" s="100">
        <v>10</v>
      </c>
      <c r="L15" s="89">
        <f t="shared" si="0"/>
        <v>24</v>
      </c>
      <c r="M15" s="100">
        <v>7</v>
      </c>
      <c r="N15" s="89">
        <f t="shared" si="0"/>
        <v>29</v>
      </c>
      <c r="O15" s="100">
        <v>9</v>
      </c>
      <c r="P15" s="89">
        <f t="shared" si="0"/>
        <v>27</v>
      </c>
      <c r="Q15" s="1231">
        <v>6</v>
      </c>
      <c r="R15" s="1232">
        <f t="shared" si="0"/>
        <v>23</v>
      </c>
      <c r="S15" s="1231">
        <v>8</v>
      </c>
      <c r="T15" s="1232">
        <v>29</v>
      </c>
      <c r="U15" s="1281">
        <f t="shared" ref="U15" si="1">SUM(U13:U14)</f>
        <v>0</v>
      </c>
      <c r="W15" s="471">
        <f>AVERAGE(N15,L15,R15,T15,P15)</f>
        <v>26.4</v>
      </c>
      <c r="X15" s="472">
        <f>AVERAGE(O15,M15,K15,S15,Q15)</f>
        <v>8</v>
      </c>
    </row>
    <row r="16" spans="1:26" s="23" customFormat="1" ht="15" customHeight="1" x14ac:dyDescent="0.2">
      <c r="A16" s="28" t="s">
        <v>18</v>
      </c>
      <c r="B16" s="249">
        <v>58</v>
      </c>
      <c r="C16" s="451">
        <v>18</v>
      </c>
      <c r="D16" s="249">
        <v>59</v>
      </c>
      <c r="E16" s="452">
        <v>23</v>
      </c>
      <c r="F16" s="252">
        <v>61</v>
      </c>
      <c r="G16" s="452">
        <v>27</v>
      </c>
      <c r="H16" s="252">
        <v>41</v>
      </c>
      <c r="I16" s="452">
        <v>19</v>
      </c>
      <c r="J16" s="252">
        <v>30</v>
      </c>
      <c r="K16" s="452">
        <v>17</v>
      </c>
      <c r="L16" s="252">
        <v>39</v>
      </c>
      <c r="M16" s="452">
        <v>19</v>
      </c>
      <c r="N16" s="252">
        <v>45</v>
      </c>
      <c r="O16" s="452">
        <v>19</v>
      </c>
      <c r="P16" s="252">
        <v>57</v>
      </c>
      <c r="Q16" s="452">
        <v>25</v>
      </c>
      <c r="R16" s="252">
        <v>58</v>
      </c>
      <c r="S16" s="452">
        <v>34</v>
      </c>
      <c r="T16" s="20">
        <v>38</v>
      </c>
      <c r="U16" s="152"/>
      <c r="W16" s="469">
        <f>AVERAGE(N16,L16,R16,T16,P16)</f>
        <v>47.4</v>
      </c>
      <c r="X16" s="470">
        <f t="shared" ref="X16:X19" si="2">AVERAGE(O16,M16,K16,S16,Q16)</f>
        <v>22.8</v>
      </c>
      <c r="Z16" s="23" t="s">
        <v>19</v>
      </c>
    </row>
    <row r="17" spans="1:24" s="23" customFormat="1" ht="15" customHeight="1" x14ac:dyDescent="0.2">
      <c r="A17" s="257" t="s">
        <v>21</v>
      </c>
      <c r="B17" s="249">
        <v>0</v>
      </c>
      <c r="C17" s="453">
        <v>3</v>
      </c>
      <c r="D17" s="249">
        <v>0</v>
      </c>
      <c r="E17" s="454">
        <v>10</v>
      </c>
      <c r="F17" s="252">
        <v>1</v>
      </c>
      <c r="G17" s="454">
        <v>10</v>
      </c>
      <c r="H17" s="252">
        <v>0</v>
      </c>
      <c r="I17" s="454">
        <v>7</v>
      </c>
      <c r="J17" s="252">
        <v>1</v>
      </c>
      <c r="K17" s="454">
        <v>5</v>
      </c>
      <c r="L17" s="252">
        <v>6</v>
      </c>
      <c r="M17" s="454">
        <v>3</v>
      </c>
      <c r="N17" s="252">
        <v>12</v>
      </c>
      <c r="O17" s="454">
        <v>7</v>
      </c>
      <c r="P17" s="252">
        <v>7</v>
      </c>
      <c r="Q17" s="454">
        <v>2</v>
      </c>
      <c r="R17" s="252">
        <v>9</v>
      </c>
      <c r="S17" s="454">
        <v>5</v>
      </c>
      <c r="T17" s="20">
        <v>14</v>
      </c>
      <c r="U17" s="152"/>
      <c r="W17" s="16">
        <f>AVERAGE(N17,L17,R17,T17,P17)</f>
        <v>9.6</v>
      </c>
      <c r="X17" s="24">
        <f t="shared" si="2"/>
        <v>4.4000000000000004</v>
      </c>
    </row>
    <row r="18" spans="1:24" s="23" customFormat="1" ht="15" customHeight="1" x14ac:dyDescent="0.2">
      <c r="A18" s="444" t="s">
        <v>140</v>
      </c>
      <c r="B18" s="455"/>
      <c r="C18" s="456"/>
      <c r="D18" s="249"/>
      <c r="E18" s="452"/>
      <c r="F18" s="252"/>
      <c r="G18" s="452"/>
      <c r="H18" s="252"/>
      <c r="I18" s="452"/>
      <c r="J18" s="252"/>
      <c r="K18" s="452"/>
      <c r="L18" s="252"/>
      <c r="M18" s="452"/>
      <c r="N18" s="252"/>
      <c r="O18" s="452"/>
      <c r="P18" s="252"/>
      <c r="Q18" s="452"/>
      <c r="R18" s="252"/>
      <c r="S18" s="452"/>
      <c r="T18" s="29"/>
      <c r="U18" s="152"/>
      <c r="V18" s="566"/>
      <c r="W18" s="779"/>
      <c r="X18" s="24"/>
    </row>
    <row r="19" spans="1:24" s="23" customFormat="1" ht="15" customHeight="1" thickBot="1" x14ac:dyDescent="0.25">
      <c r="A19" s="30" t="s">
        <v>18</v>
      </c>
      <c r="B19" s="446"/>
      <c r="C19" s="447"/>
      <c r="D19" s="446"/>
      <c r="E19" s="448"/>
      <c r="F19" s="449"/>
      <c r="G19" s="448"/>
      <c r="H19" s="449"/>
      <c r="I19" s="448"/>
      <c r="J19" s="449"/>
      <c r="K19" s="448"/>
      <c r="L19" s="449"/>
      <c r="M19" s="448"/>
      <c r="N19" s="256">
        <v>0</v>
      </c>
      <c r="O19" s="450">
        <v>0</v>
      </c>
      <c r="P19" s="256">
        <v>3</v>
      </c>
      <c r="Q19" s="450">
        <v>1</v>
      </c>
      <c r="R19" s="256">
        <v>4</v>
      </c>
      <c r="S19" s="450">
        <v>1</v>
      </c>
      <c r="T19" s="33">
        <v>5</v>
      </c>
      <c r="U19" s="1282"/>
      <c r="W19" s="35">
        <f>AVERAGE(N19,L19,R19,T19,P19)</f>
        <v>3</v>
      </c>
      <c r="X19" s="36">
        <f t="shared" si="2"/>
        <v>0.66666666666666663</v>
      </c>
    </row>
    <row r="20" spans="1:24" ht="18" customHeight="1" thickTop="1" thickBot="1" x14ac:dyDescent="0.25">
      <c r="A20" s="298" t="s">
        <v>71</v>
      </c>
      <c r="B20" s="1380"/>
      <c r="C20" s="1381"/>
      <c r="D20" s="1380"/>
      <c r="E20" s="1381"/>
      <c r="F20" s="1380"/>
      <c r="G20" s="1381"/>
      <c r="H20" s="1380"/>
      <c r="I20" s="1381"/>
      <c r="J20" s="1380"/>
      <c r="K20" s="1381"/>
      <c r="L20" s="1380"/>
      <c r="M20" s="1381"/>
      <c r="N20" s="1380"/>
      <c r="O20" s="1381"/>
      <c r="P20" s="1380"/>
      <c r="Q20" s="1381"/>
      <c r="R20" s="1380"/>
      <c r="S20" s="1381"/>
      <c r="T20" s="1380"/>
      <c r="U20" s="1383"/>
      <c r="V20" s="226"/>
      <c r="W20" s="1382"/>
      <c r="X20" s="1383"/>
    </row>
    <row r="21" spans="1:24" ht="15" customHeight="1" x14ac:dyDescent="0.2">
      <c r="A21" s="299" t="s">
        <v>79</v>
      </c>
      <c r="B21" s="300"/>
      <c r="C21" s="385"/>
      <c r="D21" s="384"/>
      <c r="E21" s="385"/>
      <c r="F21" s="384"/>
      <c r="G21" s="385"/>
      <c r="H21" s="384"/>
      <c r="I21" s="385"/>
      <c r="J21" s="384"/>
      <c r="K21" s="385"/>
      <c r="L21" s="384"/>
      <c r="M21" s="385"/>
      <c r="N21" s="384"/>
      <c r="O21" s="385"/>
      <c r="P21" s="384"/>
      <c r="Q21" s="385"/>
      <c r="R21" s="384"/>
      <c r="S21" s="385"/>
      <c r="T21" s="384"/>
      <c r="U21" s="386"/>
      <c r="V21" s="525"/>
      <c r="W21" s="495"/>
      <c r="X21" s="852" t="e">
        <f>AVERAGE(O21,M21,I21,K21,Q21)</f>
        <v>#DIV/0!</v>
      </c>
    </row>
    <row r="22" spans="1:24" ht="15" customHeight="1" x14ac:dyDescent="0.2">
      <c r="A22" s="305" t="s">
        <v>72</v>
      </c>
      <c r="B22" s="304"/>
      <c r="C22" s="388">
        <v>0</v>
      </c>
      <c r="D22" s="387"/>
      <c r="E22" s="388">
        <v>1</v>
      </c>
      <c r="F22" s="387"/>
      <c r="G22" s="388">
        <v>0.43</v>
      </c>
      <c r="H22" s="387"/>
      <c r="I22" s="388">
        <v>0.63</v>
      </c>
      <c r="J22" s="387"/>
      <c r="K22" s="388">
        <v>0.38</v>
      </c>
      <c r="L22" s="387"/>
      <c r="M22" s="388">
        <v>0.71</v>
      </c>
      <c r="N22" s="387"/>
      <c r="O22" s="388">
        <v>0.56999999999999995</v>
      </c>
      <c r="P22" s="387"/>
      <c r="Q22" s="388">
        <v>0.33</v>
      </c>
      <c r="R22" s="387"/>
      <c r="S22" s="388"/>
      <c r="T22" s="387"/>
      <c r="U22" s="1271"/>
      <c r="V22" s="525"/>
      <c r="W22" s="495"/>
      <c r="X22" s="1255">
        <f>AVERAGE(O22,M22,S22,K22,Q22)</f>
        <v>0.49749999999999994</v>
      </c>
    </row>
    <row r="23" spans="1:24" ht="15" customHeight="1" thickBot="1" x14ac:dyDescent="0.25">
      <c r="A23" s="539" t="s">
        <v>73</v>
      </c>
      <c r="B23" s="546"/>
      <c r="C23" s="541">
        <v>0</v>
      </c>
      <c r="D23" s="540"/>
      <c r="E23" s="541">
        <v>0</v>
      </c>
      <c r="F23" s="540"/>
      <c r="G23" s="541">
        <v>0.56999999999999995</v>
      </c>
      <c r="H23" s="540"/>
      <c r="I23" s="541">
        <v>0.38</v>
      </c>
      <c r="J23" s="540"/>
      <c r="K23" s="541">
        <v>0.38</v>
      </c>
      <c r="L23" s="540"/>
      <c r="M23" s="541">
        <v>0.28999999999999998</v>
      </c>
      <c r="N23" s="540"/>
      <c r="O23" s="541">
        <v>0.28999999999999998</v>
      </c>
      <c r="P23" s="540"/>
      <c r="Q23" s="541">
        <v>0.33</v>
      </c>
      <c r="R23" s="540"/>
      <c r="S23" s="541"/>
      <c r="T23" s="540"/>
      <c r="U23" s="1272"/>
      <c r="V23" s="525"/>
      <c r="W23" s="550"/>
      <c r="X23" s="1255">
        <f>AVERAGE(O23,M23,S23,K23,Q23)</f>
        <v>0.32250000000000001</v>
      </c>
    </row>
    <row r="24" spans="1:24" ht="18" customHeight="1" thickTop="1" thickBot="1" x14ac:dyDescent="0.25">
      <c r="A24" s="221" t="s">
        <v>78</v>
      </c>
      <c r="B24" s="1380"/>
      <c r="C24" s="1381"/>
      <c r="D24" s="1380"/>
      <c r="E24" s="1381"/>
      <c r="F24" s="1380"/>
      <c r="G24" s="1381"/>
      <c r="H24" s="1380"/>
      <c r="I24" s="1381"/>
      <c r="J24" s="1380"/>
      <c r="K24" s="1381"/>
      <c r="L24" s="1380"/>
      <c r="M24" s="1381"/>
      <c r="N24" s="1380"/>
      <c r="O24" s="1381"/>
      <c r="P24" s="1380"/>
      <c r="Q24" s="1381"/>
      <c r="R24" s="1380"/>
      <c r="S24" s="1381"/>
      <c r="T24" s="1380"/>
      <c r="U24" s="1383"/>
      <c r="V24" s="226"/>
      <c r="W24" s="1382"/>
      <c r="X24" s="1383"/>
    </row>
    <row r="25" spans="1:24" ht="15" customHeight="1" thickBot="1" x14ac:dyDescent="0.25">
      <c r="A25" s="222" t="s">
        <v>167</v>
      </c>
      <c r="B25" s="223"/>
      <c r="C25" s="224">
        <v>21.9</v>
      </c>
      <c r="D25" s="223"/>
      <c r="E25" s="224">
        <v>22.8</v>
      </c>
      <c r="F25" s="223"/>
      <c r="G25" s="224">
        <v>23.4</v>
      </c>
      <c r="H25" s="223"/>
      <c r="I25" s="224">
        <v>25.3</v>
      </c>
      <c r="J25" s="223"/>
      <c r="K25" s="224">
        <v>25.5</v>
      </c>
      <c r="L25" s="756"/>
      <c r="M25" s="755">
        <v>25</v>
      </c>
      <c r="N25" s="223"/>
      <c r="O25" s="224">
        <v>25.2</v>
      </c>
      <c r="P25" s="223"/>
      <c r="Q25" s="224">
        <v>23.5</v>
      </c>
      <c r="R25" s="223"/>
      <c r="S25" s="224">
        <v>23.3</v>
      </c>
      <c r="T25" s="223"/>
      <c r="U25" s="225"/>
      <c r="V25" s="226"/>
      <c r="W25" s="247"/>
      <c r="X25" s="248">
        <f>AVERAGE(O25,M25,S25,U25,Q25)</f>
        <v>24.25</v>
      </c>
    </row>
    <row r="26" spans="1:24" ht="18" customHeight="1" thickTop="1" thickBot="1" x14ac:dyDescent="0.25">
      <c r="A26" s="314" t="s">
        <v>22</v>
      </c>
      <c r="B26" s="1380"/>
      <c r="C26" s="1381"/>
      <c r="D26" s="1380"/>
      <c r="E26" s="1381"/>
      <c r="F26" s="1380"/>
      <c r="G26" s="1381"/>
      <c r="H26" s="1380"/>
      <c r="I26" s="1381"/>
      <c r="J26" s="1380"/>
      <c r="K26" s="1381"/>
      <c r="L26" s="1380"/>
      <c r="M26" s="1381"/>
      <c r="N26" s="1380"/>
      <c r="O26" s="1381"/>
      <c r="P26" s="1380"/>
      <c r="Q26" s="1381"/>
      <c r="R26" s="1380"/>
      <c r="S26" s="1381"/>
      <c r="T26" s="1380"/>
      <c r="U26" s="1383"/>
      <c r="V26" s="226"/>
      <c r="W26" s="1382"/>
      <c r="X26" s="1383"/>
    </row>
    <row r="27" spans="1:24" ht="15" customHeight="1" x14ac:dyDescent="0.2">
      <c r="A27" s="305" t="s">
        <v>23</v>
      </c>
      <c r="B27" s="315"/>
      <c r="C27" s="315"/>
      <c r="D27" s="316"/>
      <c r="E27" s="317"/>
      <c r="F27" s="315"/>
      <c r="G27" s="317"/>
      <c r="H27" s="315"/>
      <c r="I27" s="317"/>
      <c r="J27" s="315"/>
      <c r="K27" s="317"/>
      <c r="L27" s="315"/>
      <c r="M27" s="317"/>
      <c r="N27" s="315"/>
      <c r="O27" s="317"/>
      <c r="P27" s="315"/>
      <c r="Q27" s="317"/>
      <c r="R27" s="315"/>
      <c r="S27" s="317"/>
      <c r="T27" s="315"/>
      <c r="U27" s="318"/>
      <c r="V27" s="226"/>
      <c r="W27" s="319"/>
      <c r="X27" s="320"/>
    </row>
    <row r="28" spans="1:24" ht="15" customHeight="1" x14ac:dyDescent="0.2">
      <c r="A28" s="305" t="s">
        <v>24</v>
      </c>
      <c r="B28" s="315"/>
      <c r="C28" s="209">
        <v>2388</v>
      </c>
      <c r="D28" s="316"/>
      <c r="E28" s="321">
        <v>2340</v>
      </c>
      <c r="F28" s="315"/>
      <c r="G28" s="321">
        <v>2397</v>
      </c>
      <c r="H28" s="315"/>
      <c r="I28" s="321">
        <v>2454</v>
      </c>
      <c r="J28" s="315"/>
      <c r="K28" s="321">
        <v>2349</v>
      </c>
      <c r="L28" s="315"/>
      <c r="M28" s="321">
        <v>2001</v>
      </c>
      <c r="N28" s="315"/>
      <c r="O28" s="321">
        <v>1998</v>
      </c>
      <c r="P28" s="315"/>
      <c r="Q28" s="321">
        <v>1902</v>
      </c>
      <c r="R28" s="315"/>
      <c r="S28" s="321">
        <v>1806</v>
      </c>
      <c r="T28" s="315"/>
      <c r="U28" s="1273"/>
      <c r="V28" s="226"/>
      <c r="W28" s="50"/>
      <c r="X28" s="51">
        <f>AVERAGE(O28,M28,S28,K28,Q28)</f>
        <v>2011.2</v>
      </c>
    </row>
    <row r="29" spans="1:24" ht="15" customHeight="1" x14ac:dyDescent="0.2">
      <c r="A29" s="305" t="s">
        <v>25</v>
      </c>
      <c r="B29" s="315"/>
      <c r="C29" s="209">
        <v>778</v>
      </c>
      <c r="D29" s="316"/>
      <c r="E29" s="321">
        <v>960</v>
      </c>
      <c r="F29" s="315"/>
      <c r="G29" s="321">
        <v>708</v>
      </c>
      <c r="H29" s="315"/>
      <c r="I29" s="321">
        <v>447</v>
      </c>
      <c r="J29" s="315"/>
      <c r="K29" s="321">
        <v>674</v>
      </c>
      <c r="L29" s="315"/>
      <c r="M29" s="321">
        <v>528</v>
      </c>
      <c r="N29" s="315"/>
      <c r="O29" s="321">
        <v>576</v>
      </c>
      <c r="P29" s="315"/>
      <c r="Q29" s="321">
        <v>673</v>
      </c>
      <c r="R29" s="315"/>
      <c r="S29" s="321">
        <v>672</v>
      </c>
      <c r="T29" s="315"/>
      <c r="U29" s="1273"/>
      <c r="V29" s="226"/>
      <c r="W29" s="52"/>
      <c r="X29" s="51">
        <f t="shared" ref="X29:X32" si="3">AVERAGE(O29,M29,S29,K29,Q29)</f>
        <v>624.6</v>
      </c>
    </row>
    <row r="30" spans="1:24" ht="15" customHeight="1" x14ac:dyDescent="0.2">
      <c r="A30" s="305" t="s">
        <v>26</v>
      </c>
      <c r="B30" s="315"/>
      <c r="C30" s="209">
        <v>66</v>
      </c>
      <c r="D30" s="316"/>
      <c r="E30" s="321">
        <v>61</v>
      </c>
      <c r="F30" s="315"/>
      <c r="G30" s="321">
        <v>107</v>
      </c>
      <c r="H30" s="315"/>
      <c r="I30" s="321">
        <v>63</v>
      </c>
      <c r="J30" s="315"/>
      <c r="K30" s="321">
        <v>18</v>
      </c>
      <c r="L30" s="315"/>
      <c r="M30" s="321">
        <v>60</v>
      </c>
      <c r="N30" s="315"/>
      <c r="O30" s="321">
        <v>70</v>
      </c>
      <c r="P30" s="315"/>
      <c r="Q30" s="321">
        <v>36</v>
      </c>
      <c r="R30" s="315"/>
      <c r="S30" s="321">
        <v>43</v>
      </c>
      <c r="T30" s="315"/>
      <c r="U30" s="1273"/>
      <c r="V30" s="226"/>
      <c r="W30" s="52"/>
      <c r="X30" s="51">
        <f t="shared" si="3"/>
        <v>45.4</v>
      </c>
    </row>
    <row r="31" spans="1:24" ht="15" customHeight="1" thickBot="1" x14ac:dyDescent="0.25">
      <c r="A31" s="1238" t="s">
        <v>27</v>
      </c>
      <c r="B31" s="83"/>
      <c r="C31" s="209">
        <v>0</v>
      </c>
      <c r="D31" s="316"/>
      <c r="E31" s="321"/>
      <c r="F31" s="315"/>
      <c r="G31" s="321"/>
      <c r="H31" s="315"/>
      <c r="I31" s="321"/>
      <c r="J31" s="315"/>
      <c r="K31" s="321"/>
      <c r="L31" s="315"/>
      <c r="M31" s="321"/>
      <c r="N31" s="315"/>
      <c r="O31" s="321"/>
      <c r="P31" s="315"/>
      <c r="Q31" s="321"/>
      <c r="R31" s="315"/>
      <c r="S31" s="321"/>
      <c r="T31" s="83"/>
      <c r="U31" s="1274"/>
      <c r="V31" s="226"/>
      <c r="W31" s="63"/>
      <c r="X31" s="484"/>
    </row>
    <row r="32" spans="1:24" ht="15" customHeight="1" thickBot="1" x14ac:dyDescent="0.25">
      <c r="A32" s="850" t="s">
        <v>28</v>
      </c>
      <c r="B32" s="328"/>
      <c r="C32" s="329">
        <f>SUM(C28:C31)</f>
        <v>3232</v>
      </c>
      <c r="D32" s="330"/>
      <c r="E32" s="331">
        <f>SUM(E28:E31)</f>
        <v>3361</v>
      </c>
      <c r="F32" s="328"/>
      <c r="G32" s="331">
        <f>SUM(G28:G31)</f>
        <v>3212</v>
      </c>
      <c r="H32" s="328"/>
      <c r="I32" s="331">
        <f>SUM(I28:I31)</f>
        <v>2964</v>
      </c>
      <c r="J32" s="328"/>
      <c r="K32" s="331">
        <f>SUM(K28:K31)</f>
        <v>3041</v>
      </c>
      <c r="L32" s="328"/>
      <c r="M32" s="331">
        <f>SUM(M28:M31)</f>
        <v>2589</v>
      </c>
      <c r="N32" s="328"/>
      <c r="O32" s="331">
        <f>SUM(O28:O31)</f>
        <v>2644</v>
      </c>
      <c r="P32" s="328"/>
      <c r="Q32" s="331">
        <f>SUM(Q28:Q31)</f>
        <v>2611</v>
      </c>
      <c r="R32" s="328"/>
      <c r="S32" s="331">
        <f>SUM(S28:S31)</f>
        <v>2521</v>
      </c>
      <c r="T32" s="328"/>
      <c r="U32" s="1277">
        <f>SUM(U28:U31)</f>
        <v>0</v>
      </c>
      <c r="V32" s="226"/>
      <c r="W32" s="485"/>
      <c r="X32" s="486">
        <f t="shared" si="3"/>
        <v>2681.2</v>
      </c>
    </row>
    <row r="33" spans="1:27" ht="15" customHeight="1" thickTop="1" thickBot="1" x14ac:dyDescent="0.25">
      <c r="A33" s="280"/>
      <c r="B33" s="332"/>
      <c r="C33" s="333"/>
      <c r="D33" s="332"/>
      <c r="E33" s="333"/>
      <c r="F33" s="332"/>
      <c r="G33" s="333"/>
      <c r="H33" s="332"/>
      <c r="I33" s="333"/>
      <c r="J33" s="332"/>
      <c r="K33" s="333"/>
      <c r="L33" s="332"/>
      <c r="M33" s="333"/>
      <c r="N33" s="332"/>
      <c r="O33" s="333"/>
      <c r="P33" s="332"/>
      <c r="Q33" s="333"/>
      <c r="R33" s="332"/>
      <c r="S33" s="333"/>
      <c r="T33" s="332"/>
      <c r="U33" s="333"/>
      <c r="V33" s="334"/>
      <c r="W33" s="335"/>
      <c r="X33" s="333"/>
    </row>
    <row r="34" spans="1:27" ht="18" customHeight="1" thickTop="1" thickBot="1" x14ac:dyDescent="0.25">
      <c r="A34" s="175" t="s">
        <v>29</v>
      </c>
      <c r="B34" s="1385" t="s">
        <v>30</v>
      </c>
      <c r="C34" s="1395"/>
      <c r="D34" s="1385" t="s">
        <v>31</v>
      </c>
      <c r="E34" s="1396"/>
      <c r="F34" s="1385" t="s">
        <v>32</v>
      </c>
      <c r="G34" s="1396"/>
      <c r="H34" s="1385" t="s">
        <v>33</v>
      </c>
      <c r="I34" s="1396"/>
      <c r="J34" s="1385" t="s">
        <v>34</v>
      </c>
      <c r="K34" s="1396"/>
      <c r="L34" s="1385" t="s">
        <v>35</v>
      </c>
      <c r="M34" s="1396"/>
      <c r="N34" s="1385" t="s">
        <v>36</v>
      </c>
      <c r="O34" s="1396"/>
      <c r="P34" s="1385" t="s">
        <v>37</v>
      </c>
      <c r="Q34" s="1396"/>
      <c r="R34" s="1385" t="s">
        <v>38</v>
      </c>
      <c r="S34" s="1396"/>
      <c r="T34" s="1385" t="s">
        <v>302</v>
      </c>
      <c r="U34" s="1386"/>
      <c r="V34" s="176"/>
      <c r="W34" s="1382" t="s">
        <v>9</v>
      </c>
      <c r="X34" s="1383"/>
      <c r="Y34" s="56"/>
      <c r="Z34" s="56"/>
      <c r="AA34" s="57"/>
    </row>
    <row r="35" spans="1:27" ht="15" customHeight="1" x14ac:dyDescent="0.2">
      <c r="A35" s="1068" t="s">
        <v>244</v>
      </c>
      <c r="B35" s="177"/>
      <c r="C35" s="178">
        <v>0</v>
      </c>
      <c r="D35" s="179"/>
      <c r="E35" s="180">
        <v>0</v>
      </c>
      <c r="F35" s="181"/>
      <c r="G35" s="180">
        <v>4.9000000000000002E-2</v>
      </c>
      <c r="H35" s="181"/>
      <c r="I35" s="180">
        <v>2.1999999999999999E-2</v>
      </c>
      <c r="J35" s="181"/>
      <c r="K35" s="180">
        <f>66/1323</f>
        <v>4.9886621315192746E-2</v>
      </c>
      <c r="L35" s="181"/>
      <c r="M35" s="180">
        <v>5.3999999999999999E-2</v>
      </c>
      <c r="N35" s="181"/>
      <c r="O35" s="180">
        <v>3.6999999999999998E-2</v>
      </c>
      <c r="P35" s="181"/>
      <c r="Q35" s="180">
        <v>2.1000000000000001E-2</v>
      </c>
      <c r="R35" s="181"/>
      <c r="S35" s="180">
        <v>0.03</v>
      </c>
      <c r="T35" s="181"/>
      <c r="U35" s="182">
        <v>4.1000000000000002E-2</v>
      </c>
      <c r="V35" s="183"/>
      <c r="W35" s="469"/>
      <c r="X35" s="594">
        <f>AVERAGE(Q35,O35,M35,U35,S35)</f>
        <v>3.6600000000000001E-2</v>
      </c>
      <c r="Y35" s="56"/>
      <c r="Z35" s="56"/>
      <c r="AA35" s="57"/>
    </row>
    <row r="36" spans="1:27" ht="15" customHeight="1" x14ac:dyDescent="0.2">
      <c r="A36" s="1069" t="s">
        <v>245</v>
      </c>
      <c r="B36" s="184"/>
      <c r="C36" s="185">
        <v>0</v>
      </c>
      <c r="D36" s="184"/>
      <c r="E36" s="185">
        <v>0</v>
      </c>
      <c r="F36" s="186"/>
      <c r="G36" s="185">
        <v>5.0000000000000001E-3</v>
      </c>
      <c r="H36" s="186"/>
      <c r="I36" s="185">
        <v>0</v>
      </c>
      <c r="J36" s="186"/>
      <c r="K36" s="185">
        <v>0</v>
      </c>
      <c r="L36" s="186"/>
      <c r="M36" s="185">
        <v>0</v>
      </c>
      <c r="N36" s="186"/>
      <c r="O36" s="185">
        <v>0</v>
      </c>
      <c r="P36" s="186"/>
      <c r="Q36" s="185">
        <v>0</v>
      </c>
      <c r="R36" s="186"/>
      <c r="S36" s="185">
        <v>0</v>
      </c>
      <c r="T36" s="186"/>
      <c r="U36" s="187">
        <v>0</v>
      </c>
      <c r="V36" s="183"/>
      <c r="W36" s="469"/>
      <c r="X36" s="594">
        <f>AVERAGE(Q36,O36,M36,U36,S36)</f>
        <v>0</v>
      </c>
      <c r="Y36" s="56"/>
      <c r="Z36" s="56"/>
      <c r="AA36" s="57"/>
    </row>
    <row r="37" spans="1:27" ht="15" customHeight="1" thickBot="1" x14ac:dyDescent="0.25">
      <c r="A37" s="189" t="s">
        <v>243</v>
      </c>
      <c r="B37" s="1403">
        <f>1-C35-C36</f>
        <v>1</v>
      </c>
      <c r="C37" s="1404"/>
      <c r="D37" s="1403">
        <f>1-E35-E36</f>
        <v>1</v>
      </c>
      <c r="E37" s="1404"/>
      <c r="F37" s="1403">
        <f>1-G35-G36</f>
        <v>0.94599999999999995</v>
      </c>
      <c r="G37" s="1404"/>
      <c r="H37" s="1403">
        <f>1-I35-I36</f>
        <v>0.97799999999999998</v>
      </c>
      <c r="I37" s="1404"/>
      <c r="J37" s="1403">
        <f>1-K35-K36</f>
        <v>0.95011337868480727</v>
      </c>
      <c r="K37" s="1404"/>
      <c r="L37" s="1403">
        <f>1-M35-M36</f>
        <v>0.94599999999999995</v>
      </c>
      <c r="M37" s="1404"/>
      <c r="N37" s="1403">
        <f>1-O35-O36</f>
        <v>0.96299999999999997</v>
      </c>
      <c r="O37" s="1404"/>
      <c r="P37" s="1403">
        <f>1-Q35-Q36</f>
        <v>0.97899999999999998</v>
      </c>
      <c r="Q37" s="1404"/>
      <c r="R37" s="1403">
        <f>1-S35-S36</f>
        <v>0.97</v>
      </c>
      <c r="S37" s="1404"/>
      <c r="T37" s="1403">
        <f>1-U35-U36</f>
        <v>0.95899999999999996</v>
      </c>
      <c r="U37" s="1406"/>
      <c r="V37" s="183"/>
      <c r="W37" s="1390">
        <f>1-X35-X36</f>
        <v>0.96340000000000003</v>
      </c>
      <c r="X37" s="1391"/>
      <c r="Y37" s="58"/>
      <c r="Z37" s="56"/>
      <c r="AA37" s="57"/>
    </row>
    <row r="38" spans="1:27" s="85" customFormat="1" ht="15" customHeight="1" thickTop="1" x14ac:dyDescent="0.2">
      <c r="A38" s="37" t="s">
        <v>288</v>
      </c>
      <c r="B38" s="650"/>
      <c r="C38" s="650"/>
      <c r="D38" s="650"/>
      <c r="E38" s="650"/>
      <c r="F38" s="650"/>
      <c r="G38" s="650"/>
      <c r="H38" s="650"/>
      <c r="I38" s="650"/>
      <c r="J38" s="650"/>
      <c r="K38" s="650"/>
      <c r="L38" s="650"/>
      <c r="M38" s="650"/>
      <c r="N38" s="650"/>
      <c r="O38" s="650"/>
      <c r="P38" s="650"/>
      <c r="Q38" s="650"/>
      <c r="R38" s="650"/>
      <c r="S38" s="650"/>
      <c r="T38" s="650"/>
      <c r="U38" s="650"/>
      <c r="V38" s="651"/>
      <c r="W38" s="650"/>
      <c r="X38" s="650"/>
      <c r="Y38" s="56"/>
      <c r="Z38" s="56"/>
      <c r="AA38" s="57"/>
    </row>
    <row r="39" spans="1:27" s="85" customFormat="1" ht="15" customHeight="1" thickBot="1" x14ac:dyDescent="0.25">
      <c r="A39" s="37"/>
      <c r="B39" s="650"/>
      <c r="C39" s="650"/>
      <c r="D39" s="650"/>
      <c r="E39" s="650"/>
      <c r="F39" s="650"/>
      <c r="G39" s="650"/>
      <c r="H39" s="650"/>
      <c r="I39" s="650"/>
      <c r="J39" s="650"/>
      <c r="K39" s="650"/>
      <c r="L39" s="650"/>
      <c r="M39" s="650"/>
      <c r="N39" s="650"/>
      <c r="O39" s="650"/>
      <c r="P39" s="650"/>
      <c r="Q39" s="650"/>
      <c r="R39" s="650"/>
      <c r="S39" s="650"/>
      <c r="T39" s="650"/>
      <c r="U39" s="650"/>
      <c r="V39" s="651"/>
      <c r="W39" s="650"/>
      <c r="X39" s="650"/>
      <c r="Y39" s="56"/>
      <c r="Z39" s="56"/>
      <c r="AA39" s="57"/>
    </row>
    <row r="40" spans="1:27" s="1" customFormat="1" ht="18.75" customHeight="1" thickTop="1" thickBot="1" x14ac:dyDescent="0.25">
      <c r="A40" s="175" t="s">
        <v>247</v>
      </c>
      <c r="B40" s="1385" t="s">
        <v>30</v>
      </c>
      <c r="C40" s="1395"/>
      <c r="D40" s="1385" t="s">
        <v>31</v>
      </c>
      <c r="E40" s="1396"/>
      <c r="F40" s="1385" t="s">
        <v>32</v>
      </c>
      <c r="G40" s="1396"/>
      <c r="H40" s="1385" t="s">
        <v>33</v>
      </c>
      <c r="I40" s="1396"/>
      <c r="J40" s="1385" t="s">
        <v>34</v>
      </c>
      <c r="K40" s="1396"/>
      <c r="L40" s="1385" t="s">
        <v>35</v>
      </c>
      <c r="M40" s="1396"/>
      <c r="N40" s="1385" t="s">
        <v>36</v>
      </c>
      <c r="O40" s="1396"/>
      <c r="P40" s="1385" t="s">
        <v>37</v>
      </c>
      <c r="Q40" s="1396"/>
      <c r="R40" s="1385" t="s">
        <v>38</v>
      </c>
      <c r="S40" s="1396"/>
      <c r="T40" s="1385" t="s">
        <v>302</v>
      </c>
      <c r="U40" s="1386"/>
      <c r="V40" s="195"/>
      <c r="W40" s="1382" t="s">
        <v>9</v>
      </c>
      <c r="X40" s="1383"/>
    </row>
    <row r="41" spans="1:27" s="1" customFormat="1" ht="24" x14ac:dyDescent="0.2">
      <c r="A41" s="715" t="s">
        <v>289</v>
      </c>
      <c r="B41" s="711"/>
      <c r="C41" s="529"/>
      <c r="D41" s="711"/>
      <c r="E41" s="712"/>
      <c r="F41" s="711"/>
      <c r="G41" s="712"/>
      <c r="H41" s="711"/>
      <c r="I41" s="712"/>
      <c r="J41" s="711"/>
      <c r="K41" s="712"/>
      <c r="L41" s="711"/>
      <c r="M41" s="712"/>
      <c r="N41" s="711"/>
      <c r="O41" s="712"/>
      <c r="P41" s="711"/>
      <c r="Q41" s="712"/>
      <c r="R41" s="711"/>
      <c r="S41" s="712"/>
      <c r="T41" s="713"/>
      <c r="U41" s="714"/>
      <c r="V41" s="195"/>
      <c r="W41" s="272"/>
      <c r="X41" s="271"/>
    </row>
    <row r="42" spans="1:27" s="1" customFormat="1" ht="24" x14ac:dyDescent="0.2">
      <c r="A42" s="721" t="s">
        <v>237</v>
      </c>
      <c r="B42" s="186"/>
      <c r="C42" s="653">
        <v>3</v>
      </c>
      <c r="D42" s="940"/>
      <c r="E42" s="653">
        <v>3</v>
      </c>
      <c r="F42" s="940"/>
      <c r="G42" s="653">
        <v>3</v>
      </c>
      <c r="H42" s="940"/>
      <c r="I42" s="653">
        <v>3</v>
      </c>
      <c r="J42" s="940"/>
      <c r="K42" s="653">
        <v>4</v>
      </c>
      <c r="L42" s="940"/>
      <c r="M42" s="653">
        <v>4</v>
      </c>
      <c r="N42" s="940"/>
      <c r="O42" s="653">
        <v>5</v>
      </c>
      <c r="P42" s="940"/>
      <c r="Q42" s="653">
        <v>4</v>
      </c>
      <c r="R42" s="940"/>
      <c r="S42" s="653">
        <v>5</v>
      </c>
      <c r="T42" s="661"/>
      <c r="U42" s="659"/>
      <c r="V42" s="195"/>
      <c r="W42" s="347"/>
      <c r="X42" s="659">
        <f>AVERAGE(O42,M42,S42,U42,Q42)</f>
        <v>4.5</v>
      </c>
    </row>
    <row r="43" spans="1:27" s="1" customFormat="1" ht="24" x14ac:dyDescent="0.2">
      <c r="A43" s="721" t="s">
        <v>239</v>
      </c>
      <c r="B43" s="654"/>
      <c r="C43" s="941">
        <v>3</v>
      </c>
      <c r="D43" s="661"/>
      <c r="E43" s="941">
        <v>3</v>
      </c>
      <c r="F43" s="661"/>
      <c r="G43" s="941">
        <v>3</v>
      </c>
      <c r="H43" s="661"/>
      <c r="I43" s="941">
        <v>3</v>
      </c>
      <c r="J43" s="661"/>
      <c r="K43" s="941">
        <v>4</v>
      </c>
      <c r="L43" s="661"/>
      <c r="M43" s="941">
        <v>4</v>
      </c>
      <c r="N43" s="661"/>
      <c r="O43" s="941">
        <v>5</v>
      </c>
      <c r="P43" s="661"/>
      <c r="Q43" s="941">
        <v>4</v>
      </c>
      <c r="R43" s="661"/>
      <c r="S43" s="941">
        <v>5</v>
      </c>
      <c r="T43" s="661"/>
      <c r="U43" s="659"/>
      <c r="V43" s="195"/>
      <c r="W43" s="1252"/>
      <c r="X43" s="394">
        <f t="shared" ref="X43:X44" si="4">AVERAGE(O43,M43,S43,U43,Q43)</f>
        <v>4.5</v>
      </c>
    </row>
    <row r="44" spans="1:27" s="1" customFormat="1" ht="15" customHeight="1" thickBot="1" x14ac:dyDescent="0.25">
      <c r="A44" s="942" t="s">
        <v>238</v>
      </c>
      <c r="B44" s="943"/>
      <c r="C44" s="944">
        <v>3</v>
      </c>
      <c r="D44" s="945"/>
      <c r="E44" s="944">
        <v>3</v>
      </c>
      <c r="F44" s="945"/>
      <c r="G44" s="944">
        <v>3</v>
      </c>
      <c r="H44" s="945"/>
      <c r="I44" s="944">
        <v>3</v>
      </c>
      <c r="J44" s="945"/>
      <c r="K44" s="944">
        <v>4</v>
      </c>
      <c r="L44" s="945"/>
      <c r="M44" s="944">
        <v>4</v>
      </c>
      <c r="N44" s="945"/>
      <c r="O44" s="944">
        <v>5</v>
      </c>
      <c r="P44" s="945"/>
      <c r="Q44" s="944">
        <v>4</v>
      </c>
      <c r="R44" s="945"/>
      <c r="S44" s="944">
        <v>5</v>
      </c>
      <c r="T44" s="946"/>
      <c r="U44" s="947"/>
      <c r="V44" s="195"/>
      <c r="W44" s="950"/>
      <c r="X44" s="1253">
        <f t="shared" si="4"/>
        <v>4.5</v>
      </c>
    </row>
    <row r="45" spans="1:27" s="1" customFormat="1" ht="18" customHeight="1" thickBot="1" x14ac:dyDescent="0.25">
      <c r="A45" s="872" t="s">
        <v>264</v>
      </c>
      <c r="B45" s="801" t="s">
        <v>40</v>
      </c>
      <c r="C45" s="798" t="s">
        <v>41</v>
      </c>
      <c r="D45" s="799" t="s">
        <v>40</v>
      </c>
      <c r="E45" s="798" t="s">
        <v>41</v>
      </c>
      <c r="F45" s="799" t="s">
        <v>40</v>
      </c>
      <c r="G45" s="798" t="s">
        <v>41</v>
      </c>
      <c r="H45" s="799" t="s">
        <v>40</v>
      </c>
      <c r="I45" s="798" t="s">
        <v>41</v>
      </c>
      <c r="J45" s="799" t="s">
        <v>40</v>
      </c>
      <c r="K45" s="798" t="s">
        <v>41</v>
      </c>
      <c r="L45" s="799" t="s">
        <v>40</v>
      </c>
      <c r="M45" s="798" t="s">
        <v>41</v>
      </c>
      <c r="N45" s="799" t="s">
        <v>40</v>
      </c>
      <c r="O45" s="798" t="s">
        <v>41</v>
      </c>
      <c r="P45" s="799" t="s">
        <v>40</v>
      </c>
      <c r="Q45" s="798" t="s">
        <v>41</v>
      </c>
      <c r="R45" s="799" t="s">
        <v>40</v>
      </c>
      <c r="S45" s="798" t="s">
        <v>41</v>
      </c>
      <c r="T45" s="799" t="s">
        <v>40</v>
      </c>
      <c r="U45" s="804" t="s">
        <v>41</v>
      </c>
      <c r="V45" s="955"/>
      <c r="W45" s="1254" t="s">
        <v>40</v>
      </c>
      <c r="X45" s="804" t="s">
        <v>41</v>
      </c>
    </row>
    <row r="46" spans="1:27" s="1" customFormat="1" ht="15" customHeight="1" x14ac:dyDescent="0.2">
      <c r="A46" s="680" t="s">
        <v>42</v>
      </c>
      <c r="B46" s="808"/>
      <c r="C46" s="805"/>
      <c r="D46" s="806"/>
      <c r="E46" s="807"/>
      <c r="F46" s="808"/>
      <c r="G46" s="807"/>
      <c r="H46" s="808"/>
      <c r="I46" s="807"/>
      <c r="J46" s="808"/>
      <c r="K46" s="807"/>
      <c r="L46" s="808"/>
      <c r="M46" s="807"/>
      <c r="N46" s="808"/>
      <c r="O46" s="807"/>
      <c r="P46" s="808"/>
      <c r="Q46" s="807"/>
      <c r="R46" s="808"/>
      <c r="S46" s="807"/>
      <c r="T46" s="808"/>
      <c r="U46" s="1013"/>
      <c r="V46" s="195"/>
      <c r="W46" s="1029"/>
      <c r="X46" s="1030"/>
    </row>
    <row r="47" spans="1:27" s="1" customFormat="1" ht="15" customHeight="1" x14ac:dyDescent="0.2">
      <c r="A47" s="678" t="s">
        <v>43</v>
      </c>
      <c r="B47" s="258"/>
      <c r="C47" s="810">
        <v>4</v>
      </c>
      <c r="D47" s="260"/>
      <c r="E47" s="811">
        <v>5</v>
      </c>
      <c r="F47" s="258"/>
      <c r="G47" s="811">
        <v>5</v>
      </c>
      <c r="H47" s="258"/>
      <c r="I47" s="811">
        <v>5</v>
      </c>
      <c r="J47" s="813">
        <v>6</v>
      </c>
      <c r="K47" s="811">
        <v>6</v>
      </c>
      <c r="L47" s="813">
        <v>6</v>
      </c>
      <c r="M47" s="811">
        <v>6</v>
      </c>
      <c r="N47" s="813">
        <v>6</v>
      </c>
      <c r="O47" s="811">
        <v>6</v>
      </c>
      <c r="P47" s="813">
        <v>6</v>
      </c>
      <c r="Q47" s="811">
        <v>6</v>
      </c>
      <c r="R47" s="813">
        <v>5</v>
      </c>
      <c r="S47" s="811">
        <v>5</v>
      </c>
      <c r="T47" s="813"/>
      <c r="U47" s="932"/>
      <c r="V47" s="195"/>
      <c r="W47" s="936">
        <f>AVERAGE(T47,L47,N47,P47,R47)</f>
        <v>5.75</v>
      </c>
      <c r="X47" s="1031">
        <f t="shared" ref="X47:X52" si="5">AVERAGE(O47,M47,S47,U47,Q47)</f>
        <v>5.75</v>
      </c>
    </row>
    <row r="48" spans="1:27" s="1" customFormat="1" ht="15" customHeight="1" x14ac:dyDescent="0.2">
      <c r="A48" s="678" t="s">
        <v>44</v>
      </c>
      <c r="B48" s="258"/>
      <c r="C48" s="810">
        <v>1</v>
      </c>
      <c r="D48" s="260"/>
      <c r="E48" s="811">
        <v>1</v>
      </c>
      <c r="F48" s="258"/>
      <c r="G48" s="811">
        <v>0</v>
      </c>
      <c r="H48" s="258"/>
      <c r="I48" s="811">
        <v>1</v>
      </c>
      <c r="J48" s="345">
        <v>0.75</v>
      </c>
      <c r="K48" s="811">
        <v>1</v>
      </c>
      <c r="L48" s="345">
        <v>0.75</v>
      </c>
      <c r="M48" s="811">
        <v>1</v>
      </c>
      <c r="N48" s="345">
        <v>0.75</v>
      </c>
      <c r="O48" s="811">
        <v>1</v>
      </c>
      <c r="P48" s="345">
        <v>0.8</v>
      </c>
      <c r="Q48" s="811">
        <v>1</v>
      </c>
      <c r="R48" s="345">
        <v>0.8</v>
      </c>
      <c r="S48" s="811">
        <v>1</v>
      </c>
      <c r="T48" s="345"/>
      <c r="U48" s="932"/>
      <c r="V48" s="195"/>
      <c r="W48" s="936">
        <f t="shared" ref="W48:W52" si="6">AVERAGE(T48,L48,N48,P48,R48)</f>
        <v>0.77499999999999991</v>
      </c>
      <c r="X48" s="1031">
        <f t="shared" si="5"/>
        <v>1</v>
      </c>
    </row>
    <row r="49" spans="1:24" s="1" customFormat="1" ht="15" customHeight="1" x14ac:dyDescent="0.2">
      <c r="A49" s="676" t="s">
        <v>45</v>
      </c>
      <c r="B49" s="345"/>
      <c r="C49" s="815"/>
      <c r="D49" s="663"/>
      <c r="E49" s="816"/>
      <c r="F49" s="345"/>
      <c r="G49" s="816"/>
      <c r="H49" s="345"/>
      <c r="I49" s="816"/>
      <c r="J49" s="345"/>
      <c r="K49" s="816"/>
      <c r="L49" s="345"/>
      <c r="M49" s="816"/>
      <c r="N49" s="345"/>
      <c r="O49" s="816"/>
      <c r="P49" s="345"/>
      <c r="Q49" s="816"/>
      <c r="R49" s="345"/>
      <c r="S49" s="816"/>
      <c r="T49" s="345"/>
      <c r="U49" s="933"/>
      <c r="V49" s="195"/>
      <c r="W49" s="936"/>
      <c r="X49" s="1031"/>
    </row>
    <row r="50" spans="1:24" s="1" customFormat="1" ht="15" customHeight="1" x14ac:dyDescent="0.2">
      <c r="A50" s="678" t="s">
        <v>43</v>
      </c>
      <c r="B50" s="258"/>
      <c r="C50" s="815">
        <v>0</v>
      </c>
      <c r="D50" s="260"/>
      <c r="E50" s="816">
        <v>0</v>
      </c>
      <c r="F50" s="258"/>
      <c r="G50" s="816">
        <v>0</v>
      </c>
      <c r="H50" s="258"/>
      <c r="I50" s="816">
        <v>0</v>
      </c>
      <c r="J50" s="813">
        <v>0</v>
      </c>
      <c r="K50" s="816">
        <v>0</v>
      </c>
      <c r="L50" s="813">
        <v>0</v>
      </c>
      <c r="M50" s="816">
        <v>0</v>
      </c>
      <c r="N50" s="813">
        <v>0</v>
      </c>
      <c r="O50" s="816">
        <v>0</v>
      </c>
      <c r="P50" s="813">
        <v>0</v>
      </c>
      <c r="Q50" s="816">
        <v>0</v>
      </c>
      <c r="R50" s="813">
        <v>0</v>
      </c>
      <c r="S50" s="816">
        <v>0</v>
      </c>
      <c r="T50" s="813"/>
      <c r="U50" s="933"/>
      <c r="V50" s="195"/>
      <c r="W50" s="936">
        <f t="shared" si="6"/>
        <v>0</v>
      </c>
      <c r="X50" s="1031">
        <f t="shared" si="5"/>
        <v>0</v>
      </c>
    </row>
    <row r="51" spans="1:24" s="1" customFormat="1" ht="15" customHeight="1" thickBot="1" x14ac:dyDescent="0.25">
      <c r="A51" s="679" t="s">
        <v>44</v>
      </c>
      <c r="B51" s="1017"/>
      <c r="C51" s="818">
        <v>0</v>
      </c>
      <c r="D51" s="1050"/>
      <c r="E51" s="819">
        <v>0</v>
      </c>
      <c r="F51" s="1017"/>
      <c r="G51" s="819">
        <v>0</v>
      </c>
      <c r="H51" s="1017"/>
      <c r="I51" s="819">
        <v>0</v>
      </c>
      <c r="J51" s="821">
        <v>0</v>
      </c>
      <c r="K51" s="819">
        <v>0</v>
      </c>
      <c r="L51" s="821">
        <v>0</v>
      </c>
      <c r="M51" s="819">
        <v>0</v>
      </c>
      <c r="N51" s="821">
        <v>0</v>
      </c>
      <c r="O51" s="819">
        <v>0</v>
      </c>
      <c r="P51" s="821">
        <v>0</v>
      </c>
      <c r="Q51" s="819">
        <v>0</v>
      </c>
      <c r="R51" s="821">
        <v>0</v>
      </c>
      <c r="S51" s="819">
        <v>0</v>
      </c>
      <c r="T51" s="821"/>
      <c r="U51" s="934"/>
      <c r="V51" s="195"/>
      <c r="W51" s="1020">
        <f t="shared" si="6"/>
        <v>0</v>
      </c>
      <c r="X51" s="1032">
        <f t="shared" si="5"/>
        <v>0</v>
      </c>
    </row>
    <row r="52" spans="1:24" s="1" customFormat="1" ht="15" customHeight="1" thickBot="1" x14ac:dyDescent="0.25">
      <c r="A52" s="796" t="s">
        <v>28</v>
      </c>
      <c r="B52" s="1021"/>
      <c r="C52" s="824">
        <f>SUM(C47:C51)</f>
        <v>5</v>
      </c>
      <c r="D52" s="1022"/>
      <c r="E52" s="826">
        <f>SUM(E47:E51)</f>
        <v>6</v>
      </c>
      <c r="F52" s="1021"/>
      <c r="G52" s="826">
        <f>SUM(G47:G51)</f>
        <v>5</v>
      </c>
      <c r="H52" s="1021"/>
      <c r="I52" s="826">
        <f t="shared" ref="I52:S52" si="7">SUM(I47:I51)</f>
        <v>6</v>
      </c>
      <c r="J52" s="906">
        <f t="shared" si="7"/>
        <v>6.75</v>
      </c>
      <c r="K52" s="826">
        <f t="shared" si="7"/>
        <v>7</v>
      </c>
      <c r="L52" s="906">
        <f t="shared" si="7"/>
        <v>6.75</v>
      </c>
      <c r="M52" s="826">
        <f t="shared" si="7"/>
        <v>7</v>
      </c>
      <c r="N52" s="906">
        <f t="shared" si="7"/>
        <v>6.75</v>
      </c>
      <c r="O52" s="826">
        <f t="shared" si="7"/>
        <v>7</v>
      </c>
      <c r="P52" s="906">
        <f t="shared" si="7"/>
        <v>6.8</v>
      </c>
      <c r="Q52" s="826">
        <f t="shared" si="7"/>
        <v>7</v>
      </c>
      <c r="R52" s="906">
        <f t="shared" si="7"/>
        <v>5.8</v>
      </c>
      <c r="S52" s="826">
        <f t="shared" si="7"/>
        <v>6</v>
      </c>
      <c r="T52" s="906">
        <f t="shared" ref="T52:U52" si="8">SUM(T47:T51)</f>
        <v>0</v>
      </c>
      <c r="U52" s="1023">
        <f t="shared" si="8"/>
        <v>0</v>
      </c>
      <c r="V52" s="195"/>
      <c r="W52" s="1028">
        <f t="shared" si="6"/>
        <v>5.2200000000000006</v>
      </c>
      <c r="X52" s="1033">
        <f t="shared" si="5"/>
        <v>5.4</v>
      </c>
    </row>
    <row r="53" spans="1:24" s="1" customFormat="1" ht="18" customHeight="1" thickBot="1" x14ac:dyDescent="0.25">
      <c r="A53" s="795" t="s">
        <v>253</v>
      </c>
      <c r="B53" s="801" t="s">
        <v>39</v>
      </c>
      <c r="C53" s="954" t="s">
        <v>46</v>
      </c>
      <c r="D53" s="801" t="s">
        <v>39</v>
      </c>
      <c r="E53" s="798" t="s">
        <v>46</v>
      </c>
      <c r="F53" s="799" t="s">
        <v>39</v>
      </c>
      <c r="G53" s="798" t="s">
        <v>46</v>
      </c>
      <c r="H53" s="799" t="s">
        <v>39</v>
      </c>
      <c r="I53" s="798" t="s">
        <v>46</v>
      </c>
      <c r="J53" s="799" t="s">
        <v>39</v>
      </c>
      <c r="K53" s="798" t="s">
        <v>46</v>
      </c>
      <c r="L53" s="799" t="s">
        <v>39</v>
      </c>
      <c r="M53" s="798" t="s">
        <v>46</v>
      </c>
      <c r="N53" s="799" t="s">
        <v>39</v>
      </c>
      <c r="O53" s="798" t="s">
        <v>46</v>
      </c>
      <c r="P53" s="799" t="s">
        <v>39</v>
      </c>
      <c r="Q53" s="798" t="s">
        <v>46</v>
      </c>
      <c r="R53" s="799" t="s">
        <v>39</v>
      </c>
      <c r="S53" s="798" t="s">
        <v>46</v>
      </c>
      <c r="T53" s="799" t="s">
        <v>39</v>
      </c>
      <c r="U53" s="804" t="s">
        <v>46</v>
      </c>
      <c r="V53" s="195"/>
      <c r="W53" s="832" t="s">
        <v>39</v>
      </c>
      <c r="X53" s="804" t="s">
        <v>46</v>
      </c>
    </row>
    <row r="54" spans="1:24" s="1" customFormat="1" ht="18" customHeight="1" x14ac:dyDescent="0.2">
      <c r="A54" s="680" t="s">
        <v>265</v>
      </c>
      <c r="B54" s="938"/>
      <c r="C54" s="196"/>
      <c r="D54" s="938"/>
      <c r="E54" s="197"/>
      <c r="F54" s="937"/>
      <c r="G54" s="197"/>
      <c r="H54" s="937"/>
      <c r="I54" s="197"/>
      <c r="J54" s="937"/>
      <c r="K54" s="197"/>
      <c r="L54" s="937"/>
      <c r="M54" s="197"/>
      <c r="N54" s="937"/>
      <c r="O54" s="197"/>
      <c r="P54" s="937"/>
      <c r="Q54" s="197"/>
      <c r="R54" s="937"/>
      <c r="S54" s="197"/>
      <c r="T54" s="937"/>
      <c r="U54" s="199"/>
      <c r="V54" s="195"/>
      <c r="W54" s="1026"/>
      <c r="X54" s="199"/>
    </row>
    <row r="55" spans="1:24" s="1" customFormat="1" ht="15" customHeight="1" x14ac:dyDescent="0.2">
      <c r="A55" s="706" t="s">
        <v>47</v>
      </c>
      <c r="B55" s="201">
        <v>3</v>
      </c>
      <c r="C55" s="191">
        <f t="shared" ref="C55:C62" si="9">B55/C$52</f>
        <v>0.6</v>
      </c>
      <c r="D55" s="201">
        <f>1+2</f>
        <v>3</v>
      </c>
      <c r="E55" s="192">
        <f t="shared" ref="E55:E62" si="10">D55/E$52</f>
        <v>0.5</v>
      </c>
      <c r="F55" s="202">
        <v>2</v>
      </c>
      <c r="G55" s="192">
        <f t="shared" ref="G55:G62" si="11">F55/G$52</f>
        <v>0.4</v>
      </c>
      <c r="H55" s="202">
        <v>3</v>
      </c>
      <c r="I55" s="192">
        <f t="shared" ref="I55:I62" si="12">H55/I$52</f>
        <v>0.5</v>
      </c>
      <c r="J55" s="202">
        <f>1+2</f>
        <v>3</v>
      </c>
      <c r="K55" s="192">
        <f t="shared" ref="K55:K62" si="13">J55/K$52</f>
        <v>0.42857142857142855</v>
      </c>
      <c r="L55" s="202">
        <v>3</v>
      </c>
      <c r="M55" s="192">
        <f t="shared" ref="M55:M62" si="14">L55/M$52</f>
        <v>0.42857142857142855</v>
      </c>
      <c r="N55" s="202">
        <f>1+2</f>
        <v>3</v>
      </c>
      <c r="O55" s="192">
        <f t="shared" ref="O55:O62" si="15">N55/O$52</f>
        <v>0.42857142857142855</v>
      </c>
      <c r="P55" s="202">
        <v>3</v>
      </c>
      <c r="Q55" s="192">
        <f t="shared" ref="Q55:Q62" si="16">P55/Q$52</f>
        <v>0.42857142857142855</v>
      </c>
      <c r="R55" s="202">
        <v>2</v>
      </c>
      <c r="S55" s="192">
        <f t="shared" ref="S55:S60" si="17">R55/S$52</f>
        <v>0.33333333333333331</v>
      </c>
      <c r="T55" s="202"/>
      <c r="U55" s="203" t="e">
        <f t="shared" ref="U55:U60" si="18">T55/U$52</f>
        <v>#DIV/0!</v>
      </c>
      <c r="V55" s="204"/>
      <c r="W55" s="205">
        <f>AVERAGE(N55,L55,R55,T55,P55)</f>
        <v>2.75</v>
      </c>
      <c r="X55" s="206" t="e">
        <f>AVERAGE(O55,M55,S55,U55,Q55)</f>
        <v>#DIV/0!</v>
      </c>
    </row>
    <row r="56" spans="1:24" s="1" customFormat="1" ht="15" customHeight="1" x14ac:dyDescent="0.2">
      <c r="A56" s="207" t="s">
        <v>48</v>
      </c>
      <c r="B56" s="201">
        <v>0</v>
      </c>
      <c r="C56" s="191">
        <f t="shared" si="9"/>
        <v>0</v>
      </c>
      <c r="D56" s="201">
        <v>0</v>
      </c>
      <c r="E56" s="192">
        <f t="shared" si="10"/>
        <v>0</v>
      </c>
      <c r="F56" s="202">
        <v>0</v>
      </c>
      <c r="G56" s="192">
        <f t="shared" si="11"/>
        <v>0</v>
      </c>
      <c r="H56" s="202">
        <v>0</v>
      </c>
      <c r="I56" s="192">
        <f t="shared" si="12"/>
        <v>0</v>
      </c>
      <c r="J56" s="202">
        <f>1</f>
        <v>1</v>
      </c>
      <c r="K56" s="192">
        <f t="shared" si="13"/>
        <v>0.14285714285714285</v>
      </c>
      <c r="L56" s="202">
        <v>1</v>
      </c>
      <c r="M56" s="192">
        <f t="shared" si="14"/>
        <v>0.14285714285714285</v>
      </c>
      <c r="N56" s="202">
        <v>1</v>
      </c>
      <c r="O56" s="192">
        <f t="shared" si="15"/>
        <v>0.14285714285714285</v>
      </c>
      <c r="P56" s="202">
        <v>1</v>
      </c>
      <c r="Q56" s="192">
        <f t="shared" si="16"/>
        <v>0.14285714285714285</v>
      </c>
      <c r="R56" s="202">
        <v>1</v>
      </c>
      <c r="S56" s="192">
        <f t="shared" si="17"/>
        <v>0.16666666666666666</v>
      </c>
      <c r="T56" s="202"/>
      <c r="U56" s="203" t="e">
        <f t="shared" si="18"/>
        <v>#DIV/0!</v>
      </c>
      <c r="V56" s="204"/>
      <c r="W56" s="205">
        <f t="shared" ref="W56:X74" si="19">AVERAGE(N56,L56,R56,T56,P56)</f>
        <v>1</v>
      </c>
      <c r="X56" s="206" t="e">
        <f t="shared" si="19"/>
        <v>#DIV/0!</v>
      </c>
    </row>
    <row r="57" spans="1:24" s="1" customFormat="1" ht="15" customHeight="1" x14ac:dyDescent="0.2">
      <c r="A57" s="207" t="s">
        <v>49</v>
      </c>
      <c r="B57" s="201">
        <v>1</v>
      </c>
      <c r="C57" s="191">
        <f t="shared" si="9"/>
        <v>0.2</v>
      </c>
      <c r="D57" s="201">
        <v>2</v>
      </c>
      <c r="E57" s="192">
        <f t="shared" si="10"/>
        <v>0.33333333333333331</v>
      </c>
      <c r="F57" s="202">
        <v>2</v>
      </c>
      <c r="G57" s="192">
        <f t="shared" si="11"/>
        <v>0.4</v>
      </c>
      <c r="H57" s="202">
        <v>2</v>
      </c>
      <c r="I57" s="192">
        <f t="shared" si="12"/>
        <v>0.33333333333333331</v>
      </c>
      <c r="J57" s="202">
        <f>2</f>
        <v>2</v>
      </c>
      <c r="K57" s="192">
        <f t="shared" si="13"/>
        <v>0.2857142857142857</v>
      </c>
      <c r="L57" s="202">
        <v>2</v>
      </c>
      <c r="M57" s="192">
        <f t="shared" si="14"/>
        <v>0.2857142857142857</v>
      </c>
      <c r="N57" s="202">
        <v>2</v>
      </c>
      <c r="O57" s="192">
        <f t="shared" si="15"/>
        <v>0.2857142857142857</v>
      </c>
      <c r="P57" s="202">
        <v>2</v>
      </c>
      <c r="Q57" s="192">
        <f t="shared" si="16"/>
        <v>0.2857142857142857</v>
      </c>
      <c r="R57" s="202">
        <v>2</v>
      </c>
      <c r="S57" s="192">
        <f t="shared" si="17"/>
        <v>0.33333333333333331</v>
      </c>
      <c r="T57" s="202"/>
      <c r="U57" s="203" t="e">
        <f t="shared" si="18"/>
        <v>#DIV/0!</v>
      </c>
      <c r="V57" s="204"/>
      <c r="W57" s="205">
        <f t="shared" si="19"/>
        <v>2</v>
      </c>
      <c r="X57" s="206" t="e">
        <f t="shared" si="19"/>
        <v>#DIV/0!</v>
      </c>
    </row>
    <row r="58" spans="1:24" s="1" customFormat="1" ht="15" customHeight="1" x14ac:dyDescent="0.2">
      <c r="A58" s="207" t="s">
        <v>50</v>
      </c>
      <c r="B58" s="201">
        <v>0</v>
      </c>
      <c r="C58" s="191">
        <f t="shared" si="9"/>
        <v>0</v>
      </c>
      <c r="D58" s="201">
        <v>0</v>
      </c>
      <c r="E58" s="192">
        <f t="shared" si="10"/>
        <v>0</v>
      </c>
      <c r="F58" s="202">
        <v>0</v>
      </c>
      <c r="G58" s="192">
        <f t="shared" si="11"/>
        <v>0</v>
      </c>
      <c r="H58" s="202">
        <v>0</v>
      </c>
      <c r="I58" s="192">
        <f t="shared" si="12"/>
        <v>0</v>
      </c>
      <c r="J58" s="202">
        <f>0</f>
        <v>0</v>
      </c>
      <c r="K58" s="192">
        <f t="shared" si="13"/>
        <v>0</v>
      </c>
      <c r="L58" s="202">
        <v>0</v>
      </c>
      <c r="M58" s="192">
        <f t="shared" si="14"/>
        <v>0</v>
      </c>
      <c r="N58" s="202">
        <v>0</v>
      </c>
      <c r="O58" s="192">
        <f t="shared" si="15"/>
        <v>0</v>
      </c>
      <c r="P58" s="202">
        <v>0</v>
      </c>
      <c r="Q58" s="192">
        <f t="shared" si="16"/>
        <v>0</v>
      </c>
      <c r="R58" s="202">
        <v>0</v>
      </c>
      <c r="S58" s="192">
        <f t="shared" si="17"/>
        <v>0</v>
      </c>
      <c r="T58" s="202"/>
      <c r="U58" s="203" t="e">
        <f t="shared" si="18"/>
        <v>#DIV/0!</v>
      </c>
      <c r="V58" s="204"/>
      <c r="W58" s="205">
        <f t="shared" si="19"/>
        <v>0</v>
      </c>
      <c r="X58" s="206" t="e">
        <f t="shared" si="19"/>
        <v>#DIV/0!</v>
      </c>
    </row>
    <row r="59" spans="1:24" s="1" customFormat="1" ht="15" customHeight="1" x14ac:dyDescent="0.2">
      <c r="A59" s="207" t="s">
        <v>51</v>
      </c>
      <c r="B59" s="201">
        <v>1</v>
      </c>
      <c r="C59" s="191">
        <f t="shared" si="9"/>
        <v>0.2</v>
      </c>
      <c r="D59" s="201">
        <v>1</v>
      </c>
      <c r="E59" s="192">
        <f t="shared" si="10"/>
        <v>0.16666666666666666</v>
      </c>
      <c r="F59" s="202">
        <v>1</v>
      </c>
      <c r="G59" s="192">
        <f t="shared" si="11"/>
        <v>0.2</v>
      </c>
      <c r="H59" s="202">
        <v>0</v>
      </c>
      <c r="I59" s="192">
        <f t="shared" si="12"/>
        <v>0</v>
      </c>
      <c r="J59" s="202">
        <f>1</f>
        <v>1</v>
      </c>
      <c r="K59" s="192">
        <f t="shared" si="13"/>
        <v>0.14285714285714285</v>
      </c>
      <c r="L59" s="202">
        <v>1</v>
      </c>
      <c r="M59" s="192">
        <f t="shared" si="14"/>
        <v>0.14285714285714285</v>
      </c>
      <c r="N59" s="202">
        <v>1</v>
      </c>
      <c r="O59" s="192">
        <f t="shared" si="15"/>
        <v>0.14285714285714285</v>
      </c>
      <c r="P59" s="202">
        <v>0</v>
      </c>
      <c r="Q59" s="192">
        <f t="shared" si="16"/>
        <v>0</v>
      </c>
      <c r="R59" s="202">
        <v>0</v>
      </c>
      <c r="S59" s="192">
        <f t="shared" si="17"/>
        <v>0</v>
      </c>
      <c r="T59" s="202"/>
      <c r="U59" s="203" t="e">
        <f t="shared" si="18"/>
        <v>#DIV/0!</v>
      </c>
      <c r="V59" s="204"/>
      <c r="W59" s="205">
        <f t="shared" si="19"/>
        <v>0.5</v>
      </c>
      <c r="X59" s="206" t="e">
        <f t="shared" si="19"/>
        <v>#DIV/0!</v>
      </c>
    </row>
    <row r="60" spans="1:24" s="1" customFormat="1" ht="15" customHeight="1" x14ac:dyDescent="0.2">
      <c r="A60" s="207" t="s">
        <v>52</v>
      </c>
      <c r="B60" s="201">
        <v>0</v>
      </c>
      <c r="C60" s="191">
        <f t="shared" si="9"/>
        <v>0</v>
      </c>
      <c r="D60" s="201">
        <v>0</v>
      </c>
      <c r="E60" s="192">
        <f t="shared" si="10"/>
        <v>0</v>
      </c>
      <c r="F60" s="202">
        <v>0</v>
      </c>
      <c r="G60" s="192">
        <f t="shared" si="11"/>
        <v>0</v>
      </c>
      <c r="H60" s="202">
        <v>1</v>
      </c>
      <c r="I60" s="192">
        <f t="shared" si="12"/>
        <v>0.16666666666666666</v>
      </c>
      <c r="J60" s="202">
        <f>0</f>
        <v>0</v>
      </c>
      <c r="K60" s="192">
        <f t="shared" si="13"/>
        <v>0</v>
      </c>
      <c r="L60" s="202">
        <v>0</v>
      </c>
      <c r="M60" s="192">
        <f t="shared" si="14"/>
        <v>0</v>
      </c>
      <c r="N60" s="202">
        <v>0</v>
      </c>
      <c r="O60" s="192">
        <f t="shared" si="15"/>
        <v>0</v>
      </c>
      <c r="P60" s="202">
        <v>0</v>
      </c>
      <c r="Q60" s="192">
        <f t="shared" si="16"/>
        <v>0</v>
      </c>
      <c r="R60" s="202">
        <v>0</v>
      </c>
      <c r="S60" s="192">
        <f t="shared" si="17"/>
        <v>0</v>
      </c>
      <c r="T60" s="202"/>
      <c r="U60" s="203" t="e">
        <f t="shared" si="18"/>
        <v>#DIV/0!</v>
      </c>
      <c r="V60" s="204"/>
      <c r="W60" s="205">
        <f t="shared" si="19"/>
        <v>0</v>
      </c>
      <c r="X60" s="206" t="e">
        <f t="shared" si="19"/>
        <v>#DIV/0!</v>
      </c>
    </row>
    <row r="61" spans="1:24" s="1" customFormat="1" ht="15" customHeight="1" x14ac:dyDescent="0.2">
      <c r="A61" s="207" t="s">
        <v>53</v>
      </c>
      <c r="B61" s="190"/>
      <c r="C61" s="191">
        <f t="shared" si="9"/>
        <v>0</v>
      </c>
      <c r="D61" s="1223"/>
      <c r="E61" s="1224"/>
      <c r="F61" s="1225"/>
      <c r="G61" s="1224"/>
      <c r="H61" s="193">
        <v>0</v>
      </c>
      <c r="I61" s="192">
        <f t="shared" si="12"/>
        <v>0</v>
      </c>
      <c r="J61" s="193">
        <f>0</f>
        <v>0</v>
      </c>
      <c r="K61" s="192">
        <f t="shared" si="13"/>
        <v>0</v>
      </c>
      <c r="L61" s="193">
        <v>0</v>
      </c>
      <c r="M61" s="192">
        <f t="shared" si="14"/>
        <v>0</v>
      </c>
      <c r="N61" s="193">
        <v>0</v>
      </c>
      <c r="O61" s="192">
        <f t="shared" si="15"/>
        <v>0</v>
      </c>
      <c r="P61" s="193">
        <v>0</v>
      </c>
      <c r="Q61" s="192">
        <f t="shared" si="16"/>
        <v>0</v>
      </c>
      <c r="R61" s="193">
        <v>0</v>
      </c>
      <c r="S61" s="192">
        <f>R61/S$52</f>
        <v>0</v>
      </c>
      <c r="T61" s="202"/>
      <c r="U61" s="203" t="e">
        <f>T61/U$52</f>
        <v>#DIV/0!</v>
      </c>
      <c r="V61" s="204"/>
      <c r="W61" s="205">
        <f t="shared" si="19"/>
        <v>0</v>
      </c>
      <c r="X61" s="206" t="e">
        <f t="shared" si="19"/>
        <v>#DIV/0!</v>
      </c>
    </row>
    <row r="62" spans="1:24" s="1" customFormat="1" ht="15" customHeight="1" thickBot="1" x14ac:dyDescent="0.25">
      <c r="A62" s="207" t="s">
        <v>54</v>
      </c>
      <c r="B62" s="190">
        <v>0</v>
      </c>
      <c r="C62" s="724">
        <f t="shared" si="9"/>
        <v>0</v>
      </c>
      <c r="D62" s="190">
        <v>0</v>
      </c>
      <c r="E62" s="725">
        <f t="shared" si="10"/>
        <v>0</v>
      </c>
      <c r="F62" s="193">
        <v>0</v>
      </c>
      <c r="G62" s="725">
        <f t="shared" si="11"/>
        <v>0</v>
      </c>
      <c r="H62" s="193">
        <v>0</v>
      </c>
      <c r="I62" s="725">
        <f t="shared" si="12"/>
        <v>0</v>
      </c>
      <c r="J62" s="193">
        <f>0</f>
        <v>0</v>
      </c>
      <c r="K62" s="725">
        <f t="shared" si="13"/>
        <v>0</v>
      </c>
      <c r="L62" s="193">
        <v>0</v>
      </c>
      <c r="M62" s="725">
        <f t="shared" si="14"/>
        <v>0</v>
      </c>
      <c r="N62" s="193">
        <v>0</v>
      </c>
      <c r="O62" s="725">
        <f t="shared" si="15"/>
        <v>0</v>
      </c>
      <c r="P62" s="193">
        <v>1</v>
      </c>
      <c r="Q62" s="725">
        <f t="shared" si="16"/>
        <v>0.14285714285714285</v>
      </c>
      <c r="R62" s="193">
        <v>1</v>
      </c>
      <c r="S62" s="725">
        <f>R62/S$52</f>
        <v>0.16666666666666666</v>
      </c>
      <c r="T62" s="193"/>
      <c r="U62" s="726" t="e">
        <f>T62/U$52</f>
        <v>#DIV/0!</v>
      </c>
      <c r="V62" s="204"/>
      <c r="W62" s="727">
        <f t="shared" si="19"/>
        <v>0.5</v>
      </c>
      <c r="X62" s="728" t="e">
        <f t="shared" si="19"/>
        <v>#DIV/0!</v>
      </c>
    </row>
    <row r="63" spans="1:24" s="1" customFormat="1" ht="18" customHeight="1" x14ac:dyDescent="0.2">
      <c r="A63" s="848" t="s">
        <v>55</v>
      </c>
      <c r="B63" s="731"/>
      <c r="C63" s="732"/>
      <c r="D63" s="731"/>
      <c r="E63" s="733"/>
      <c r="F63" s="734"/>
      <c r="G63" s="733"/>
      <c r="H63" s="734"/>
      <c r="I63" s="733"/>
      <c r="J63" s="734"/>
      <c r="K63" s="733"/>
      <c r="L63" s="734"/>
      <c r="M63" s="733"/>
      <c r="N63" s="734"/>
      <c r="O63" s="733"/>
      <c r="P63" s="734"/>
      <c r="Q63" s="733"/>
      <c r="R63" s="734"/>
      <c r="S63" s="733"/>
      <c r="T63" s="734"/>
      <c r="U63" s="735"/>
      <c r="V63" s="204"/>
      <c r="W63" s="736"/>
      <c r="X63" s="737"/>
    </row>
    <row r="64" spans="1:24" s="1" customFormat="1" ht="15" customHeight="1" x14ac:dyDescent="0.2">
      <c r="A64" s="200" t="s">
        <v>56</v>
      </c>
      <c r="B64" s="208">
        <v>0</v>
      </c>
      <c r="C64" s="191">
        <f>B64/C$52</f>
        <v>0</v>
      </c>
      <c r="D64" s="208">
        <v>0</v>
      </c>
      <c r="E64" s="192">
        <f>D64/E$52</f>
        <v>0</v>
      </c>
      <c r="F64" s="209">
        <v>0</v>
      </c>
      <c r="G64" s="192">
        <f>F64/G$52</f>
        <v>0</v>
      </c>
      <c r="H64" s="209">
        <v>0</v>
      </c>
      <c r="I64" s="192">
        <f>H64/I$52</f>
        <v>0</v>
      </c>
      <c r="J64" s="209">
        <f>0</f>
        <v>0</v>
      </c>
      <c r="K64" s="192">
        <f>J64/K$52</f>
        <v>0</v>
      </c>
      <c r="L64" s="209">
        <v>0</v>
      </c>
      <c r="M64" s="192">
        <f>L64/M$52</f>
        <v>0</v>
      </c>
      <c r="N64" s="209">
        <v>0</v>
      </c>
      <c r="O64" s="192">
        <f>N64/O$52</f>
        <v>0</v>
      </c>
      <c r="P64" s="209">
        <v>1</v>
      </c>
      <c r="Q64" s="192">
        <f>P64/Q$52</f>
        <v>0.14285714285714285</v>
      </c>
      <c r="R64" s="209">
        <v>1</v>
      </c>
      <c r="S64" s="192">
        <f>R64/S$52</f>
        <v>0.16666666666666666</v>
      </c>
      <c r="T64" s="209"/>
      <c r="U64" s="203" t="e">
        <f>T64/U$52</f>
        <v>#DIV/0!</v>
      </c>
      <c r="V64" s="204"/>
      <c r="W64" s="205">
        <f t="shared" si="19"/>
        <v>0.5</v>
      </c>
      <c r="X64" s="206" t="e">
        <f t="shared" si="19"/>
        <v>#DIV/0!</v>
      </c>
    </row>
    <row r="65" spans="1:24" s="1" customFormat="1" ht="15" customHeight="1" thickBot="1" x14ac:dyDescent="0.25">
      <c r="A65" s="207" t="s">
        <v>57</v>
      </c>
      <c r="B65" s="729">
        <v>5</v>
      </c>
      <c r="C65" s="724">
        <f>B65/C$52</f>
        <v>1</v>
      </c>
      <c r="D65" s="729">
        <f>1+5</f>
        <v>6</v>
      </c>
      <c r="E65" s="725">
        <f>D65/E$52</f>
        <v>1</v>
      </c>
      <c r="F65" s="730">
        <v>5</v>
      </c>
      <c r="G65" s="725">
        <f>F65/G$52</f>
        <v>1</v>
      </c>
      <c r="H65" s="730">
        <v>6</v>
      </c>
      <c r="I65" s="725">
        <f>H65/I$52</f>
        <v>1</v>
      </c>
      <c r="J65" s="730">
        <f>1+6</f>
        <v>7</v>
      </c>
      <c r="K65" s="725">
        <f>J65/K$52</f>
        <v>1</v>
      </c>
      <c r="L65" s="730">
        <v>7</v>
      </c>
      <c r="M65" s="725">
        <f>L65/M$52</f>
        <v>1</v>
      </c>
      <c r="N65" s="730">
        <f>1+6</f>
        <v>7</v>
      </c>
      <c r="O65" s="725">
        <f>N65/O$52</f>
        <v>1</v>
      </c>
      <c r="P65" s="730">
        <v>6</v>
      </c>
      <c r="Q65" s="725">
        <f>P65/Q$52</f>
        <v>0.8571428571428571</v>
      </c>
      <c r="R65" s="730">
        <v>5</v>
      </c>
      <c r="S65" s="725">
        <f>R65/S$52</f>
        <v>0.83333333333333337</v>
      </c>
      <c r="T65" s="730"/>
      <c r="U65" s="726" t="e">
        <f>T65/U$52</f>
        <v>#DIV/0!</v>
      </c>
      <c r="V65" s="204"/>
      <c r="W65" s="727">
        <f t="shared" si="19"/>
        <v>6.25</v>
      </c>
      <c r="X65" s="728" t="e">
        <f t="shared" si="19"/>
        <v>#DIV/0!</v>
      </c>
    </row>
    <row r="66" spans="1:24" s="1" customFormat="1" ht="18" customHeight="1" x14ac:dyDescent="0.2">
      <c r="A66" s="848" t="s">
        <v>58</v>
      </c>
      <c r="B66" s="738"/>
      <c r="C66" s="739"/>
      <c r="D66" s="738"/>
      <c r="E66" s="740"/>
      <c r="F66" s="741"/>
      <c r="G66" s="740"/>
      <c r="H66" s="741"/>
      <c r="I66" s="740"/>
      <c r="J66" s="741"/>
      <c r="K66" s="740"/>
      <c r="L66" s="741"/>
      <c r="M66" s="740"/>
      <c r="N66" s="741"/>
      <c r="O66" s="740"/>
      <c r="P66" s="741"/>
      <c r="Q66" s="740"/>
      <c r="R66" s="741"/>
      <c r="S66" s="740"/>
      <c r="T66" s="741"/>
      <c r="U66" s="742"/>
      <c r="V66" s="204"/>
      <c r="W66" s="736"/>
      <c r="X66" s="737"/>
    </row>
    <row r="67" spans="1:24" s="1" customFormat="1" ht="15" customHeight="1" x14ac:dyDescent="0.2">
      <c r="A67" s="200" t="s">
        <v>59</v>
      </c>
      <c r="B67" s="210">
        <v>2</v>
      </c>
      <c r="C67" s="191">
        <f>B67/C$52</f>
        <v>0.4</v>
      </c>
      <c r="D67" s="210">
        <v>2</v>
      </c>
      <c r="E67" s="192">
        <f>D67/E$52</f>
        <v>0.33333333333333331</v>
      </c>
      <c r="F67" s="211">
        <v>2</v>
      </c>
      <c r="G67" s="192">
        <f>F67/G$52</f>
        <v>0.4</v>
      </c>
      <c r="H67" s="211">
        <v>3</v>
      </c>
      <c r="I67" s="192">
        <f>H67/I$52</f>
        <v>0.5</v>
      </c>
      <c r="J67" s="211">
        <f>1+2</f>
        <v>3</v>
      </c>
      <c r="K67" s="192">
        <f>J67/K$52</f>
        <v>0.42857142857142855</v>
      </c>
      <c r="L67" s="211">
        <v>3</v>
      </c>
      <c r="M67" s="192">
        <f>L67/M$52</f>
        <v>0.42857142857142855</v>
      </c>
      <c r="N67" s="211">
        <f>1+2</f>
        <v>3</v>
      </c>
      <c r="O67" s="192">
        <f>N67/O$52</f>
        <v>0.42857142857142855</v>
      </c>
      <c r="P67" s="211">
        <v>3</v>
      </c>
      <c r="Q67" s="192">
        <f>P67/Q$52</f>
        <v>0.42857142857142855</v>
      </c>
      <c r="R67" s="211">
        <v>3</v>
      </c>
      <c r="S67" s="192">
        <f>R67/S$52</f>
        <v>0.5</v>
      </c>
      <c r="T67" s="211"/>
      <c r="U67" s="203" t="e">
        <f>T67/U$52</f>
        <v>#DIV/0!</v>
      </c>
      <c r="V67" s="204"/>
      <c r="W67" s="205">
        <f t="shared" si="19"/>
        <v>3</v>
      </c>
      <c r="X67" s="206" t="e">
        <f t="shared" si="19"/>
        <v>#DIV/0!</v>
      </c>
    </row>
    <row r="68" spans="1:24" s="1" customFormat="1" ht="15" customHeight="1" x14ac:dyDescent="0.2">
      <c r="A68" s="200" t="s">
        <v>60</v>
      </c>
      <c r="B68" s="210">
        <v>1</v>
      </c>
      <c r="C68" s="191">
        <f>B68/C$52</f>
        <v>0.2</v>
      </c>
      <c r="D68" s="210">
        <v>1</v>
      </c>
      <c r="E68" s="192">
        <f>D68/E$52</f>
        <v>0.16666666666666666</v>
      </c>
      <c r="F68" s="211">
        <v>1</v>
      </c>
      <c r="G68" s="192">
        <f>F68/G$52</f>
        <v>0.2</v>
      </c>
      <c r="H68" s="211">
        <v>0</v>
      </c>
      <c r="I68" s="192">
        <f>H68/I$52</f>
        <v>0</v>
      </c>
      <c r="J68" s="211">
        <f>2</f>
        <v>2</v>
      </c>
      <c r="K68" s="192">
        <f>J68/K$52</f>
        <v>0.2857142857142857</v>
      </c>
      <c r="L68" s="211">
        <v>2</v>
      </c>
      <c r="M68" s="192">
        <f>L68/M$52</f>
        <v>0.2857142857142857</v>
      </c>
      <c r="N68" s="211">
        <v>3</v>
      </c>
      <c r="O68" s="192">
        <f>N68/O$52</f>
        <v>0.42857142857142855</v>
      </c>
      <c r="P68" s="211">
        <v>2</v>
      </c>
      <c r="Q68" s="192">
        <f>P68/Q$52</f>
        <v>0.2857142857142857</v>
      </c>
      <c r="R68" s="211">
        <v>3</v>
      </c>
      <c r="S68" s="192">
        <f>R68/S$52</f>
        <v>0.5</v>
      </c>
      <c r="T68" s="211"/>
      <c r="U68" s="203" t="e">
        <f>T68/U$52</f>
        <v>#DIV/0!</v>
      </c>
      <c r="V68" s="204"/>
      <c r="W68" s="205">
        <f t="shared" si="19"/>
        <v>2.5</v>
      </c>
      <c r="X68" s="206" t="e">
        <f t="shared" si="19"/>
        <v>#DIV/0!</v>
      </c>
    </row>
    <row r="69" spans="1:24" s="1" customFormat="1" ht="15" customHeight="1" thickBot="1" x14ac:dyDescent="0.25">
      <c r="A69" s="207" t="s">
        <v>61</v>
      </c>
      <c r="B69" s="729">
        <v>2</v>
      </c>
      <c r="C69" s="724">
        <f>B69/C$52</f>
        <v>0.4</v>
      </c>
      <c r="D69" s="729">
        <f>1+2</f>
        <v>3</v>
      </c>
      <c r="E69" s="725">
        <f>D69/E$52</f>
        <v>0.5</v>
      </c>
      <c r="F69" s="730">
        <v>2</v>
      </c>
      <c r="G69" s="725">
        <f>F69/G$52</f>
        <v>0.4</v>
      </c>
      <c r="H69" s="730">
        <v>3</v>
      </c>
      <c r="I69" s="725">
        <f>H69/I$52</f>
        <v>0.5</v>
      </c>
      <c r="J69" s="730">
        <f>2</f>
        <v>2</v>
      </c>
      <c r="K69" s="725">
        <f>J69/K$52</f>
        <v>0.2857142857142857</v>
      </c>
      <c r="L69" s="730">
        <v>2</v>
      </c>
      <c r="M69" s="725">
        <f>L69/M$52</f>
        <v>0.2857142857142857</v>
      </c>
      <c r="N69" s="730">
        <v>1</v>
      </c>
      <c r="O69" s="725">
        <f>N69/O$52</f>
        <v>0.14285714285714285</v>
      </c>
      <c r="P69" s="730">
        <v>2</v>
      </c>
      <c r="Q69" s="725">
        <f>P69/Q$52</f>
        <v>0.2857142857142857</v>
      </c>
      <c r="R69" s="730">
        <v>0</v>
      </c>
      <c r="S69" s="725">
        <f>R69/S$52</f>
        <v>0</v>
      </c>
      <c r="T69" s="730"/>
      <c r="U69" s="726" t="e">
        <f>T69/U$52</f>
        <v>#DIV/0!</v>
      </c>
      <c r="V69" s="204"/>
      <c r="W69" s="727">
        <f t="shared" si="19"/>
        <v>1.25</v>
      </c>
      <c r="X69" s="728" t="e">
        <f t="shared" si="19"/>
        <v>#DIV/0!</v>
      </c>
    </row>
    <row r="70" spans="1:24" s="1" customFormat="1" ht="18" customHeight="1" x14ac:dyDescent="0.2">
      <c r="A70" s="848" t="s">
        <v>62</v>
      </c>
      <c r="B70" s="738"/>
      <c r="C70" s="739"/>
      <c r="D70" s="738"/>
      <c r="E70" s="740"/>
      <c r="F70" s="741"/>
      <c r="G70" s="740"/>
      <c r="H70" s="741"/>
      <c r="I70" s="740"/>
      <c r="J70" s="741"/>
      <c r="K70" s="740"/>
      <c r="L70" s="741"/>
      <c r="M70" s="740"/>
      <c r="N70" s="741"/>
      <c r="O70" s="740"/>
      <c r="P70" s="741"/>
      <c r="Q70" s="740"/>
      <c r="R70" s="741"/>
      <c r="S70" s="740"/>
      <c r="T70" s="741"/>
      <c r="U70" s="742"/>
      <c r="V70" s="204"/>
      <c r="W70" s="736"/>
      <c r="X70" s="737"/>
    </row>
    <row r="71" spans="1:24" s="1" customFormat="1" ht="15" customHeight="1" x14ac:dyDescent="0.2">
      <c r="A71" s="200" t="s">
        <v>63</v>
      </c>
      <c r="B71" s="210">
        <v>4</v>
      </c>
      <c r="C71" s="191">
        <f>B71/C$52</f>
        <v>0.8</v>
      </c>
      <c r="D71" s="210">
        <v>4</v>
      </c>
      <c r="E71" s="192">
        <f>D71/E$52</f>
        <v>0.66666666666666663</v>
      </c>
      <c r="F71" s="211">
        <v>4</v>
      </c>
      <c r="G71" s="192">
        <f>F71/G$52</f>
        <v>0.8</v>
      </c>
      <c r="H71" s="211">
        <v>5</v>
      </c>
      <c r="I71" s="192">
        <f>H71/I$52</f>
        <v>0.83333333333333337</v>
      </c>
      <c r="J71" s="211">
        <f>1+5</f>
        <v>6</v>
      </c>
      <c r="K71" s="192">
        <f>J71/K$52</f>
        <v>0.8571428571428571</v>
      </c>
      <c r="L71" s="211">
        <v>6</v>
      </c>
      <c r="M71" s="192">
        <f>L71/M$52</f>
        <v>0.8571428571428571</v>
      </c>
      <c r="N71" s="211">
        <f>1+5</f>
        <v>6</v>
      </c>
      <c r="O71" s="192">
        <f>N71/O$52</f>
        <v>0.8571428571428571</v>
      </c>
      <c r="P71" s="211">
        <v>6</v>
      </c>
      <c r="Q71" s="192">
        <f>P71/Q$52</f>
        <v>0.8571428571428571</v>
      </c>
      <c r="R71" s="211">
        <v>6</v>
      </c>
      <c r="S71" s="192">
        <f>R71/S$52</f>
        <v>1</v>
      </c>
      <c r="T71" s="211"/>
      <c r="U71" s="203" t="e">
        <f>T71/U$52</f>
        <v>#DIV/0!</v>
      </c>
      <c r="V71" s="204"/>
      <c r="W71" s="205">
        <f t="shared" si="19"/>
        <v>6</v>
      </c>
      <c r="X71" s="206" t="e">
        <f t="shared" si="19"/>
        <v>#DIV/0!</v>
      </c>
    </row>
    <row r="72" spans="1:24" s="1" customFormat="1" ht="15" customHeight="1" x14ac:dyDescent="0.2">
      <c r="A72" s="200" t="s">
        <v>64</v>
      </c>
      <c r="B72" s="210">
        <v>1</v>
      </c>
      <c r="C72" s="191">
        <f>B72/C$52</f>
        <v>0.2</v>
      </c>
      <c r="D72" s="210">
        <f>1+1</f>
        <v>2</v>
      </c>
      <c r="E72" s="192">
        <f>D72/E$52</f>
        <v>0.33333333333333331</v>
      </c>
      <c r="F72" s="211">
        <v>1</v>
      </c>
      <c r="G72" s="192">
        <f>F72/G$52</f>
        <v>0.2</v>
      </c>
      <c r="H72" s="211">
        <v>1</v>
      </c>
      <c r="I72" s="192">
        <f>H72/I$52</f>
        <v>0.16666666666666666</v>
      </c>
      <c r="J72" s="211">
        <f>1</f>
        <v>1</v>
      </c>
      <c r="K72" s="192">
        <f>J72/K$52</f>
        <v>0.14285714285714285</v>
      </c>
      <c r="L72" s="211">
        <v>1</v>
      </c>
      <c r="M72" s="192">
        <f>L72/M$52</f>
        <v>0.14285714285714285</v>
      </c>
      <c r="N72" s="211">
        <v>1</v>
      </c>
      <c r="O72" s="192">
        <f>N72/O$52</f>
        <v>0.14285714285714285</v>
      </c>
      <c r="P72" s="211">
        <v>1</v>
      </c>
      <c r="Q72" s="192">
        <f>P72/Q$52</f>
        <v>0.14285714285714285</v>
      </c>
      <c r="R72" s="211">
        <v>0</v>
      </c>
      <c r="S72" s="192">
        <f>R72/S$52</f>
        <v>0</v>
      </c>
      <c r="T72" s="211"/>
      <c r="U72" s="203" t="e">
        <f>T72/U$52</f>
        <v>#DIV/0!</v>
      </c>
      <c r="V72" s="204"/>
      <c r="W72" s="205">
        <f t="shared" si="19"/>
        <v>0.75</v>
      </c>
      <c r="X72" s="206" t="e">
        <f t="shared" si="19"/>
        <v>#DIV/0!</v>
      </c>
    </row>
    <row r="73" spans="1:24" s="1" customFormat="1" ht="15" customHeight="1" x14ac:dyDescent="0.2">
      <c r="A73" s="200" t="s">
        <v>65</v>
      </c>
      <c r="B73" s="210">
        <v>0</v>
      </c>
      <c r="C73" s="191">
        <f>B73/C$52</f>
        <v>0</v>
      </c>
      <c r="D73" s="210">
        <v>0</v>
      </c>
      <c r="E73" s="192">
        <f>D73/E$52</f>
        <v>0</v>
      </c>
      <c r="F73" s="211">
        <v>0</v>
      </c>
      <c r="G73" s="192">
        <f>F73/G$52</f>
        <v>0</v>
      </c>
      <c r="H73" s="211">
        <v>0</v>
      </c>
      <c r="I73" s="192">
        <f>H73/I$52</f>
        <v>0</v>
      </c>
      <c r="J73" s="211">
        <f>0</f>
        <v>0</v>
      </c>
      <c r="K73" s="192">
        <f>J73/K$52</f>
        <v>0</v>
      </c>
      <c r="L73" s="211">
        <v>0</v>
      </c>
      <c r="M73" s="192">
        <f>L73/M$52</f>
        <v>0</v>
      </c>
      <c r="N73" s="211">
        <v>0</v>
      </c>
      <c r="O73" s="192">
        <f>N73/O$52</f>
        <v>0</v>
      </c>
      <c r="P73" s="211">
        <v>0</v>
      </c>
      <c r="Q73" s="192">
        <f>P73/Q$52</f>
        <v>0</v>
      </c>
      <c r="R73" s="211">
        <v>0</v>
      </c>
      <c r="S73" s="192">
        <f>R73/S$52</f>
        <v>0</v>
      </c>
      <c r="T73" s="211"/>
      <c r="U73" s="203" t="e">
        <f>T73/U$52</f>
        <v>#DIV/0!</v>
      </c>
      <c r="V73" s="195"/>
      <c r="W73" s="205">
        <f t="shared" si="19"/>
        <v>0</v>
      </c>
      <c r="X73" s="206" t="e">
        <f t="shared" si="19"/>
        <v>#DIV/0!</v>
      </c>
    </row>
    <row r="74" spans="1:24" s="1" customFormat="1" ht="15" customHeight="1" thickBot="1" x14ac:dyDescent="0.25">
      <c r="A74" s="212" t="s">
        <v>66</v>
      </c>
      <c r="B74" s="246">
        <v>0</v>
      </c>
      <c r="C74" s="214">
        <f>B74/C$52</f>
        <v>0</v>
      </c>
      <c r="D74" s="246">
        <v>0</v>
      </c>
      <c r="E74" s="215">
        <f>D74/E$52</f>
        <v>0</v>
      </c>
      <c r="F74" s="217">
        <v>0</v>
      </c>
      <c r="G74" s="215">
        <f>F74/G$52</f>
        <v>0</v>
      </c>
      <c r="H74" s="217">
        <v>0</v>
      </c>
      <c r="I74" s="215">
        <f>H74/I$52</f>
        <v>0</v>
      </c>
      <c r="J74" s="217">
        <v>0</v>
      </c>
      <c r="K74" s="215">
        <f>J74/K$52</f>
        <v>0</v>
      </c>
      <c r="L74" s="217">
        <v>0</v>
      </c>
      <c r="M74" s="215">
        <f>L74/M$52</f>
        <v>0</v>
      </c>
      <c r="N74" s="217">
        <v>0</v>
      </c>
      <c r="O74" s="215">
        <f>N74/O$52</f>
        <v>0</v>
      </c>
      <c r="P74" s="217">
        <v>0</v>
      </c>
      <c r="Q74" s="215">
        <f>P74/Q$52</f>
        <v>0</v>
      </c>
      <c r="R74" s="217">
        <v>0</v>
      </c>
      <c r="S74" s="215">
        <f>R74/S$52</f>
        <v>0</v>
      </c>
      <c r="T74" s="217"/>
      <c r="U74" s="218" t="e">
        <f>T74/U$52</f>
        <v>#DIV/0!</v>
      </c>
      <c r="V74" s="195"/>
      <c r="W74" s="219">
        <f t="shared" si="19"/>
        <v>0</v>
      </c>
      <c r="X74" s="220" t="e">
        <f t="shared" si="19"/>
        <v>#DIV/0!</v>
      </c>
    </row>
    <row r="75" spans="1:24" ht="15" customHeight="1" thickTop="1" x14ac:dyDescent="0.2">
      <c r="A75" s="743" t="s">
        <v>248</v>
      </c>
    </row>
    <row r="76" spans="1:24" x14ac:dyDescent="0.2">
      <c r="A76" s="1"/>
      <c r="H76" s="65" t="s">
        <v>19</v>
      </c>
      <c r="J76" s="65" t="s">
        <v>19</v>
      </c>
      <c r="L76" s="65" t="s">
        <v>19</v>
      </c>
      <c r="N76" s="65" t="s">
        <v>19</v>
      </c>
      <c r="P76" s="65" t="s">
        <v>19</v>
      </c>
      <c r="R76" s="65" t="s">
        <v>19</v>
      </c>
      <c r="T76" s="65" t="s">
        <v>19</v>
      </c>
    </row>
    <row r="77" spans="1:24" x14ac:dyDescent="0.2">
      <c r="A77" s="1"/>
    </row>
    <row r="78" spans="1:24" x14ac:dyDescent="0.2">
      <c r="A78" s="1"/>
    </row>
    <row r="79" spans="1:24" x14ac:dyDescent="0.2">
      <c r="A79" s="1"/>
    </row>
    <row r="80" spans="1:24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x14ac:dyDescent="0.2">
      <c r="A84" s="1"/>
    </row>
    <row r="85" spans="1:1" x14ac:dyDescent="0.2">
      <c r="A85" s="1"/>
    </row>
    <row r="86" spans="1:1" x14ac:dyDescent="0.2">
      <c r="A86" s="1"/>
    </row>
    <row r="87" spans="1:1" x14ac:dyDescent="0.2">
      <c r="A87" s="1"/>
    </row>
    <row r="88" spans="1:1" x14ac:dyDescent="0.2">
      <c r="A88" s="1"/>
    </row>
    <row r="89" spans="1:1" x14ac:dyDescent="0.2">
      <c r="A89" s="1"/>
    </row>
    <row r="90" spans="1:1" x14ac:dyDescent="0.2">
      <c r="A90" s="1"/>
    </row>
    <row r="91" spans="1:1" x14ac:dyDescent="0.2">
      <c r="A91" s="1"/>
    </row>
    <row r="92" spans="1:1" x14ac:dyDescent="0.2">
      <c r="A92" s="1"/>
    </row>
    <row r="93" spans="1:1" x14ac:dyDescent="0.2">
      <c r="A93" s="1"/>
    </row>
    <row r="94" spans="1:1" x14ac:dyDescent="0.2">
      <c r="A94" s="1"/>
    </row>
    <row r="95" spans="1:1" x14ac:dyDescent="0.2">
      <c r="A95" s="1"/>
    </row>
    <row r="96" spans="1:1" x14ac:dyDescent="0.2">
      <c r="A96" s="1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x14ac:dyDescent="0.2">
      <c r="A100" s="1"/>
    </row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x14ac:dyDescent="0.2">
      <c r="A107" s="1"/>
    </row>
    <row r="108" spans="1:1" x14ac:dyDescent="0.2">
      <c r="A108" s="1"/>
    </row>
    <row r="109" spans="1:1" x14ac:dyDescent="0.2">
      <c r="A109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x14ac:dyDescent="0.2">
      <c r="A120" s="1"/>
    </row>
    <row r="121" spans="1:1" x14ac:dyDescent="0.2">
      <c r="A121" s="1"/>
    </row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x14ac:dyDescent="0.2">
      <c r="A128" s="1"/>
    </row>
    <row r="129" spans="1:1" x14ac:dyDescent="0.2">
      <c r="A129" s="1"/>
    </row>
    <row r="130" spans="1:1" x14ac:dyDescent="0.2">
      <c r="A130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x14ac:dyDescent="0.2">
      <c r="A152" s="1"/>
    </row>
    <row r="153" spans="1:1" x14ac:dyDescent="0.2">
      <c r="A153" s="1"/>
    </row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  <row r="177" spans="1:1" x14ac:dyDescent="0.2">
      <c r="A177" s="1"/>
    </row>
    <row r="178" spans="1:1" x14ac:dyDescent="0.2">
      <c r="A178" s="1"/>
    </row>
    <row r="179" spans="1:1" x14ac:dyDescent="0.2">
      <c r="A179" s="1"/>
    </row>
    <row r="180" spans="1:1" x14ac:dyDescent="0.2">
      <c r="A180" s="1"/>
    </row>
    <row r="181" spans="1:1" x14ac:dyDescent="0.2">
      <c r="A181" s="1"/>
    </row>
    <row r="182" spans="1:1" x14ac:dyDescent="0.2">
      <c r="A182" s="1"/>
    </row>
    <row r="183" spans="1:1" x14ac:dyDescent="0.2">
      <c r="A183" s="1"/>
    </row>
    <row r="184" spans="1:1" x14ac:dyDescent="0.2">
      <c r="A184" s="1"/>
    </row>
    <row r="185" spans="1:1" x14ac:dyDescent="0.2">
      <c r="A185" s="1"/>
    </row>
    <row r="186" spans="1:1" x14ac:dyDescent="0.2">
      <c r="A186" s="1"/>
    </row>
    <row r="187" spans="1:1" x14ac:dyDescent="0.2">
      <c r="A187" s="1"/>
    </row>
    <row r="188" spans="1:1" x14ac:dyDescent="0.2">
      <c r="A188" s="1"/>
    </row>
    <row r="189" spans="1:1" x14ac:dyDescent="0.2">
      <c r="A189" s="1"/>
    </row>
    <row r="190" spans="1:1" x14ac:dyDescent="0.2">
      <c r="A190" s="1"/>
    </row>
    <row r="191" spans="1:1" x14ac:dyDescent="0.2">
      <c r="A191" s="1"/>
    </row>
    <row r="192" spans="1:1" x14ac:dyDescent="0.2">
      <c r="A192" s="1"/>
    </row>
    <row r="193" spans="1:1" x14ac:dyDescent="0.2">
      <c r="A193" s="1"/>
    </row>
    <row r="194" spans="1:1" x14ac:dyDescent="0.2">
      <c r="A194" s="1"/>
    </row>
    <row r="195" spans="1:1" x14ac:dyDescent="0.2">
      <c r="A195" s="1"/>
    </row>
    <row r="196" spans="1:1" x14ac:dyDescent="0.2">
      <c r="A196" s="1"/>
    </row>
    <row r="197" spans="1:1" x14ac:dyDescent="0.2">
      <c r="A197" s="1"/>
    </row>
    <row r="198" spans="1:1" x14ac:dyDescent="0.2">
      <c r="A198" s="1"/>
    </row>
    <row r="199" spans="1:1" x14ac:dyDescent="0.2">
      <c r="A199" s="1"/>
    </row>
    <row r="200" spans="1:1" x14ac:dyDescent="0.2">
      <c r="A200" s="1"/>
    </row>
    <row r="201" spans="1:1" x14ac:dyDescent="0.2">
      <c r="A201" s="1"/>
    </row>
    <row r="202" spans="1:1" x14ac:dyDescent="0.2">
      <c r="A202" s="1"/>
    </row>
    <row r="203" spans="1:1" x14ac:dyDescent="0.2">
      <c r="A203" s="1"/>
    </row>
    <row r="204" spans="1:1" x14ac:dyDescent="0.2">
      <c r="A204" s="1"/>
    </row>
    <row r="205" spans="1:1" x14ac:dyDescent="0.2">
      <c r="A205" s="1"/>
    </row>
    <row r="206" spans="1:1" x14ac:dyDescent="0.2">
      <c r="A206" s="1"/>
    </row>
    <row r="207" spans="1:1" x14ac:dyDescent="0.2">
      <c r="A207" s="1"/>
    </row>
    <row r="208" spans="1:1" x14ac:dyDescent="0.2">
      <c r="A208" s="1"/>
    </row>
    <row r="209" spans="1:1" x14ac:dyDescent="0.2">
      <c r="A209" s="1"/>
    </row>
    <row r="210" spans="1:1" x14ac:dyDescent="0.2">
      <c r="A210" s="1"/>
    </row>
    <row r="211" spans="1:1" x14ac:dyDescent="0.2">
      <c r="A211" s="1"/>
    </row>
    <row r="212" spans="1:1" x14ac:dyDescent="0.2">
      <c r="A212" s="1"/>
    </row>
    <row r="213" spans="1:1" x14ac:dyDescent="0.2">
      <c r="A213" s="1"/>
    </row>
    <row r="214" spans="1:1" x14ac:dyDescent="0.2">
      <c r="A214" s="1"/>
    </row>
    <row r="215" spans="1:1" x14ac:dyDescent="0.2">
      <c r="A215" s="1"/>
    </row>
    <row r="216" spans="1:1" x14ac:dyDescent="0.2">
      <c r="A216" s="1"/>
    </row>
    <row r="217" spans="1:1" x14ac:dyDescent="0.2">
      <c r="A217" s="1"/>
    </row>
    <row r="218" spans="1:1" x14ac:dyDescent="0.2">
      <c r="A218" s="1"/>
    </row>
    <row r="219" spans="1:1" x14ac:dyDescent="0.2">
      <c r="A219" s="1"/>
    </row>
    <row r="220" spans="1:1" x14ac:dyDescent="0.2">
      <c r="A220" s="1"/>
    </row>
    <row r="221" spans="1:1" x14ac:dyDescent="0.2">
      <c r="A221" s="1"/>
    </row>
    <row r="222" spans="1:1" x14ac:dyDescent="0.2">
      <c r="A222" s="1"/>
    </row>
    <row r="223" spans="1:1" x14ac:dyDescent="0.2">
      <c r="A223" s="1"/>
    </row>
    <row r="224" spans="1:1" x14ac:dyDescent="0.2">
      <c r="A224" s="1"/>
    </row>
    <row r="225" spans="1:1" x14ac:dyDescent="0.2">
      <c r="A225" s="1"/>
    </row>
    <row r="226" spans="1:1" x14ac:dyDescent="0.2">
      <c r="A226" s="1"/>
    </row>
    <row r="227" spans="1:1" x14ac:dyDescent="0.2">
      <c r="A227" s="1"/>
    </row>
    <row r="228" spans="1:1" x14ac:dyDescent="0.2">
      <c r="A228" s="1"/>
    </row>
    <row r="229" spans="1:1" x14ac:dyDescent="0.2">
      <c r="A229" s="1"/>
    </row>
    <row r="230" spans="1:1" x14ac:dyDescent="0.2">
      <c r="A230" s="1"/>
    </row>
    <row r="231" spans="1:1" x14ac:dyDescent="0.2">
      <c r="A231" s="1"/>
    </row>
    <row r="232" spans="1:1" x14ac:dyDescent="0.2">
      <c r="A232" s="1"/>
    </row>
    <row r="233" spans="1:1" x14ac:dyDescent="0.2">
      <c r="A233" s="1"/>
    </row>
    <row r="234" spans="1:1" x14ac:dyDescent="0.2">
      <c r="A234" s="1"/>
    </row>
    <row r="235" spans="1:1" x14ac:dyDescent="0.2">
      <c r="A235" s="1"/>
    </row>
    <row r="236" spans="1:1" x14ac:dyDescent="0.2">
      <c r="A236" s="1"/>
    </row>
    <row r="237" spans="1:1" x14ac:dyDescent="0.2">
      <c r="A237" s="1"/>
    </row>
    <row r="238" spans="1:1" x14ac:dyDescent="0.2">
      <c r="A238" s="1"/>
    </row>
    <row r="239" spans="1:1" x14ac:dyDescent="0.2">
      <c r="A239" s="1"/>
    </row>
    <row r="240" spans="1:1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6" spans="1:1" x14ac:dyDescent="0.2">
      <c r="A296" s="1"/>
    </row>
    <row r="297" spans="1:1" x14ac:dyDescent="0.2">
      <c r="A297" s="1"/>
    </row>
    <row r="298" spans="1:1" x14ac:dyDescent="0.2">
      <c r="A298" s="1"/>
    </row>
    <row r="299" spans="1:1" x14ac:dyDescent="0.2">
      <c r="A299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  <row r="303" spans="1:1" x14ac:dyDescent="0.2">
      <c r="A303" s="1"/>
    </row>
    <row r="304" spans="1:1" x14ac:dyDescent="0.2">
      <c r="A304" s="1"/>
    </row>
    <row r="305" spans="1:1" x14ac:dyDescent="0.2">
      <c r="A305" s="1"/>
    </row>
    <row r="306" spans="1:1" x14ac:dyDescent="0.2">
      <c r="A306" s="1"/>
    </row>
    <row r="307" spans="1:1" x14ac:dyDescent="0.2">
      <c r="A307" s="1"/>
    </row>
    <row r="308" spans="1:1" x14ac:dyDescent="0.2">
      <c r="A308" s="1"/>
    </row>
    <row r="309" spans="1:1" x14ac:dyDescent="0.2">
      <c r="A309" s="1"/>
    </row>
    <row r="310" spans="1:1" x14ac:dyDescent="0.2">
      <c r="A310" s="1"/>
    </row>
    <row r="311" spans="1:1" x14ac:dyDescent="0.2">
      <c r="A311" s="1"/>
    </row>
    <row r="312" spans="1:1" x14ac:dyDescent="0.2">
      <c r="A312" s="1"/>
    </row>
    <row r="313" spans="1:1" x14ac:dyDescent="0.2">
      <c r="A313" s="1"/>
    </row>
    <row r="314" spans="1:1" x14ac:dyDescent="0.2">
      <c r="A314" s="1"/>
    </row>
    <row r="315" spans="1:1" x14ac:dyDescent="0.2">
      <c r="A315" s="1"/>
    </row>
    <row r="316" spans="1:1" x14ac:dyDescent="0.2">
      <c r="A316" s="1"/>
    </row>
    <row r="317" spans="1:1" x14ac:dyDescent="0.2">
      <c r="A317" s="1"/>
    </row>
    <row r="318" spans="1:1" x14ac:dyDescent="0.2">
      <c r="A318" s="1"/>
    </row>
    <row r="319" spans="1:1" x14ac:dyDescent="0.2">
      <c r="A319" s="1"/>
    </row>
    <row r="320" spans="1:1" x14ac:dyDescent="0.2">
      <c r="A320" s="1"/>
    </row>
    <row r="321" spans="1:1" x14ac:dyDescent="0.2">
      <c r="A321" s="1"/>
    </row>
    <row r="322" spans="1:1" x14ac:dyDescent="0.2">
      <c r="A322" s="1"/>
    </row>
    <row r="323" spans="1:1" x14ac:dyDescent="0.2">
      <c r="A323" s="1"/>
    </row>
    <row r="324" spans="1:1" x14ac:dyDescent="0.2">
      <c r="A324" s="1"/>
    </row>
    <row r="325" spans="1:1" x14ac:dyDescent="0.2">
      <c r="A325" s="1"/>
    </row>
    <row r="326" spans="1:1" x14ac:dyDescent="0.2">
      <c r="A326" s="1"/>
    </row>
    <row r="327" spans="1:1" x14ac:dyDescent="0.2">
      <c r="A327" s="1"/>
    </row>
    <row r="328" spans="1:1" x14ac:dyDescent="0.2">
      <c r="A328" s="1"/>
    </row>
    <row r="329" spans="1:1" x14ac:dyDescent="0.2">
      <c r="A329" s="1"/>
    </row>
    <row r="330" spans="1:1" x14ac:dyDescent="0.2">
      <c r="A330" s="1"/>
    </row>
    <row r="331" spans="1:1" x14ac:dyDescent="0.2">
      <c r="A331" s="1"/>
    </row>
    <row r="332" spans="1:1" x14ac:dyDescent="0.2">
      <c r="A332" s="1"/>
    </row>
    <row r="333" spans="1:1" x14ac:dyDescent="0.2">
      <c r="A333" s="1"/>
    </row>
    <row r="334" spans="1:1" x14ac:dyDescent="0.2">
      <c r="A334" s="1"/>
    </row>
    <row r="335" spans="1:1" x14ac:dyDescent="0.2">
      <c r="A335" s="1"/>
    </row>
    <row r="336" spans="1:1" x14ac:dyDescent="0.2">
      <c r="A336" s="1"/>
    </row>
    <row r="337" spans="1:1" x14ac:dyDescent="0.2">
      <c r="A337" s="1"/>
    </row>
    <row r="338" spans="1:1" x14ac:dyDescent="0.2">
      <c r="A338" s="1"/>
    </row>
    <row r="339" spans="1:1" x14ac:dyDescent="0.2">
      <c r="A339" s="1"/>
    </row>
    <row r="340" spans="1:1" x14ac:dyDescent="0.2">
      <c r="A340" s="1"/>
    </row>
    <row r="341" spans="1:1" x14ac:dyDescent="0.2">
      <c r="A341" s="1"/>
    </row>
    <row r="342" spans="1:1" x14ac:dyDescent="0.2">
      <c r="A342" s="1"/>
    </row>
    <row r="343" spans="1:1" x14ac:dyDescent="0.2">
      <c r="A343" s="1"/>
    </row>
    <row r="344" spans="1:1" x14ac:dyDescent="0.2">
      <c r="A344" s="1"/>
    </row>
    <row r="345" spans="1:1" x14ac:dyDescent="0.2">
      <c r="A345" s="1"/>
    </row>
    <row r="346" spans="1:1" x14ac:dyDescent="0.2">
      <c r="A346" s="1"/>
    </row>
    <row r="347" spans="1:1" x14ac:dyDescent="0.2">
      <c r="A347" s="1"/>
    </row>
    <row r="348" spans="1:1" x14ac:dyDescent="0.2">
      <c r="A348" s="1"/>
    </row>
    <row r="349" spans="1:1" x14ac:dyDescent="0.2">
      <c r="A349" s="1"/>
    </row>
    <row r="350" spans="1:1" x14ac:dyDescent="0.2">
      <c r="A350" s="1"/>
    </row>
    <row r="351" spans="1:1" x14ac:dyDescent="0.2">
      <c r="A351" s="1"/>
    </row>
    <row r="352" spans="1:1" x14ac:dyDescent="0.2">
      <c r="A352" s="1"/>
    </row>
    <row r="353" spans="1:1" x14ac:dyDescent="0.2">
      <c r="A353" s="1"/>
    </row>
    <row r="354" spans="1:1" x14ac:dyDescent="0.2">
      <c r="A354" s="1"/>
    </row>
    <row r="355" spans="1:1" x14ac:dyDescent="0.2">
      <c r="A355" s="1"/>
    </row>
    <row r="356" spans="1:1" x14ac:dyDescent="0.2">
      <c r="A356" s="1"/>
    </row>
    <row r="357" spans="1:1" x14ac:dyDescent="0.2">
      <c r="A357" s="1"/>
    </row>
    <row r="358" spans="1:1" x14ac:dyDescent="0.2">
      <c r="A358" s="1"/>
    </row>
    <row r="359" spans="1:1" x14ac:dyDescent="0.2">
      <c r="A359" s="1"/>
    </row>
    <row r="360" spans="1:1" x14ac:dyDescent="0.2">
      <c r="A360" s="1"/>
    </row>
    <row r="361" spans="1:1" x14ac:dyDescent="0.2">
      <c r="A361" s="1"/>
    </row>
    <row r="362" spans="1:1" x14ac:dyDescent="0.2">
      <c r="A362" s="1"/>
    </row>
    <row r="363" spans="1:1" x14ac:dyDescent="0.2">
      <c r="A363" s="1"/>
    </row>
    <row r="364" spans="1:1" x14ac:dyDescent="0.2">
      <c r="A364" s="1"/>
    </row>
    <row r="365" spans="1:1" x14ac:dyDescent="0.2">
      <c r="A365" s="1"/>
    </row>
    <row r="366" spans="1:1" x14ac:dyDescent="0.2">
      <c r="A366" s="1"/>
    </row>
    <row r="367" spans="1:1" x14ac:dyDescent="0.2">
      <c r="A367" s="1"/>
    </row>
    <row r="368" spans="1:1" x14ac:dyDescent="0.2">
      <c r="A368" s="1"/>
    </row>
    <row r="369" spans="1:1" x14ac:dyDescent="0.2">
      <c r="A369" s="1"/>
    </row>
    <row r="370" spans="1:1" x14ac:dyDescent="0.2">
      <c r="A370" s="1"/>
    </row>
    <row r="371" spans="1:1" x14ac:dyDescent="0.2">
      <c r="A371" s="1"/>
    </row>
    <row r="372" spans="1:1" x14ac:dyDescent="0.2">
      <c r="A372" s="1"/>
    </row>
    <row r="373" spans="1:1" x14ac:dyDescent="0.2">
      <c r="A373" s="1"/>
    </row>
    <row r="374" spans="1:1" x14ac:dyDescent="0.2">
      <c r="A374" s="1"/>
    </row>
    <row r="375" spans="1:1" x14ac:dyDescent="0.2">
      <c r="A375" s="1"/>
    </row>
    <row r="376" spans="1:1" x14ac:dyDescent="0.2">
      <c r="A376" s="1"/>
    </row>
    <row r="377" spans="1:1" x14ac:dyDescent="0.2">
      <c r="A377" s="1"/>
    </row>
    <row r="378" spans="1:1" x14ac:dyDescent="0.2">
      <c r="A378" s="1"/>
    </row>
    <row r="379" spans="1:1" x14ac:dyDescent="0.2">
      <c r="A379" s="1"/>
    </row>
    <row r="380" spans="1:1" x14ac:dyDescent="0.2">
      <c r="A380" s="1"/>
    </row>
    <row r="381" spans="1:1" x14ac:dyDescent="0.2">
      <c r="A381" s="1"/>
    </row>
    <row r="382" spans="1:1" x14ac:dyDescent="0.2">
      <c r="A382" s="1"/>
    </row>
    <row r="383" spans="1:1" x14ac:dyDescent="0.2">
      <c r="A383" s="1"/>
    </row>
    <row r="384" spans="1:1" x14ac:dyDescent="0.2">
      <c r="A384" s="1"/>
    </row>
    <row r="385" spans="1:1" x14ac:dyDescent="0.2">
      <c r="A385" s="1"/>
    </row>
    <row r="386" spans="1:1" x14ac:dyDescent="0.2">
      <c r="A386" s="1"/>
    </row>
    <row r="387" spans="1:1" x14ac:dyDescent="0.2">
      <c r="A387" s="1"/>
    </row>
    <row r="388" spans="1:1" x14ac:dyDescent="0.2">
      <c r="A388" s="1"/>
    </row>
    <row r="389" spans="1:1" x14ac:dyDescent="0.2">
      <c r="A389" s="1"/>
    </row>
    <row r="390" spans="1:1" x14ac:dyDescent="0.2">
      <c r="A390" s="1"/>
    </row>
    <row r="391" spans="1:1" x14ac:dyDescent="0.2">
      <c r="A391" s="1"/>
    </row>
    <row r="392" spans="1:1" x14ac:dyDescent="0.2">
      <c r="A392" s="1"/>
    </row>
    <row r="393" spans="1:1" x14ac:dyDescent="0.2">
      <c r="A393" s="1"/>
    </row>
    <row r="394" spans="1:1" x14ac:dyDescent="0.2">
      <c r="A394" s="1"/>
    </row>
    <row r="395" spans="1:1" x14ac:dyDescent="0.2">
      <c r="A395" s="1"/>
    </row>
    <row r="396" spans="1:1" x14ac:dyDescent="0.2">
      <c r="A396" s="1"/>
    </row>
    <row r="397" spans="1:1" x14ac:dyDescent="0.2">
      <c r="A397" s="1"/>
    </row>
    <row r="398" spans="1:1" x14ac:dyDescent="0.2">
      <c r="A398" s="1"/>
    </row>
    <row r="399" spans="1:1" x14ac:dyDescent="0.2">
      <c r="A399" s="1"/>
    </row>
    <row r="400" spans="1:1" x14ac:dyDescent="0.2">
      <c r="A400" s="1"/>
    </row>
    <row r="401" spans="1:1" x14ac:dyDescent="0.2">
      <c r="A401" s="1"/>
    </row>
    <row r="402" spans="1:1" x14ac:dyDescent="0.2">
      <c r="A402" s="1"/>
    </row>
    <row r="403" spans="1:1" x14ac:dyDescent="0.2">
      <c r="A403" s="1"/>
    </row>
    <row r="404" spans="1:1" x14ac:dyDescent="0.2">
      <c r="A404" s="1"/>
    </row>
    <row r="405" spans="1:1" x14ac:dyDescent="0.2">
      <c r="A405" s="1"/>
    </row>
    <row r="406" spans="1:1" x14ac:dyDescent="0.2">
      <c r="A406" s="1"/>
    </row>
    <row r="407" spans="1:1" x14ac:dyDescent="0.2">
      <c r="A407" s="1"/>
    </row>
    <row r="408" spans="1:1" x14ac:dyDescent="0.2">
      <c r="A408" s="1"/>
    </row>
    <row r="409" spans="1:1" x14ac:dyDescent="0.2">
      <c r="A409" s="1"/>
    </row>
    <row r="410" spans="1:1" x14ac:dyDescent="0.2">
      <c r="A410" s="1"/>
    </row>
    <row r="411" spans="1:1" x14ac:dyDescent="0.2">
      <c r="A411" s="1"/>
    </row>
    <row r="412" spans="1:1" x14ac:dyDescent="0.2">
      <c r="A412" s="1"/>
    </row>
    <row r="413" spans="1:1" x14ac:dyDescent="0.2">
      <c r="A413" s="1"/>
    </row>
    <row r="414" spans="1:1" x14ac:dyDescent="0.2">
      <c r="A414" s="1"/>
    </row>
    <row r="415" spans="1:1" x14ac:dyDescent="0.2">
      <c r="A415" s="1"/>
    </row>
    <row r="416" spans="1:1" x14ac:dyDescent="0.2">
      <c r="A416" s="1"/>
    </row>
    <row r="417" spans="1:1" x14ac:dyDescent="0.2">
      <c r="A417" s="1"/>
    </row>
    <row r="418" spans="1:1" x14ac:dyDescent="0.2">
      <c r="A418" s="1"/>
    </row>
    <row r="419" spans="1:1" x14ac:dyDescent="0.2">
      <c r="A419" s="1"/>
    </row>
    <row r="420" spans="1:1" x14ac:dyDescent="0.2">
      <c r="A420" s="1"/>
    </row>
    <row r="421" spans="1:1" x14ac:dyDescent="0.2">
      <c r="A421" s="1"/>
    </row>
  </sheetData>
  <mergeCells count="77">
    <mergeCell ref="B20:C20"/>
    <mergeCell ref="D20:E20"/>
    <mergeCell ref="R9:S9"/>
    <mergeCell ref="W9:X9"/>
    <mergeCell ref="F9:G9"/>
    <mergeCell ref="H9:I9"/>
    <mergeCell ref="J9:K9"/>
    <mergeCell ref="L9:M9"/>
    <mergeCell ref="N9:O9"/>
    <mergeCell ref="P9:Q9"/>
    <mergeCell ref="B9:C9"/>
    <mergeCell ref="D9:E9"/>
    <mergeCell ref="F20:G20"/>
    <mergeCell ref="H20:I20"/>
    <mergeCell ref="J20:K20"/>
    <mergeCell ref="L20:M20"/>
    <mergeCell ref="N20:O20"/>
    <mergeCell ref="P24:Q24"/>
    <mergeCell ref="R24:S24"/>
    <mergeCell ref="W24:X24"/>
    <mergeCell ref="R20:S20"/>
    <mergeCell ref="W20:X20"/>
    <mergeCell ref="P20:Q20"/>
    <mergeCell ref="J24:K24"/>
    <mergeCell ref="L24:M24"/>
    <mergeCell ref="N24:O24"/>
    <mergeCell ref="B24:C24"/>
    <mergeCell ref="D24:E24"/>
    <mergeCell ref="F24:G24"/>
    <mergeCell ref="H24:I24"/>
    <mergeCell ref="B34:C34"/>
    <mergeCell ref="D34:E34"/>
    <mergeCell ref="F34:G34"/>
    <mergeCell ref="H34:I34"/>
    <mergeCell ref="P34:Q34"/>
    <mergeCell ref="J34:K34"/>
    <mergeCell ref="L34:M34"/>
    <mergeCell ref="N34:O34"/>
    <mergeCell ref="R26:S26"/>
    <mergeCell ref="W26:X26"/>
    <mergeCell ref="P26:Q26"/>
    <mergeCell ref="B26:C26"/>
    <mergeCell ref="D26:E26"/>
    <mergeCell ref="F26:G26"/>
    <mergeCell ref="H26:I26"/>
    <mergeCell ref="J26:K26"/>
    <mergeCell ref="L26:M26"/>
    <mergeCell ref="N26:O26"/>
    <mergeCell ref="R34:S34"/>
    <mergeCell ref="W37:X37"/>
    <mergeCell ref="P37:Q37"/>
    <mergeCell ref="R37:S37"/>
    <mergeCell ref="J37:K37"/>
    <mergeCell ref="L37:M37"/>
    <mergeCell ref="N37:O37"/>
    <mergeCell ref="W34:X34"/>
    <mergeCell ref="T37:U37"/>
    <mergeCell ref="P40:Q40"/>
    <mergeCell ref="R40:S40"/>
    <mergeCell ref="W40:X40"/>
    <mergeCell ref="B40:C40"/>
    <mergeCell ref="D40:E40"/>
    <mergeCell ref="F40:G40"/>
    <mergeCell ref="H40:I40"/>
    <mergeCell ref="J40:K40"/>
    <mergeCell ref="T40:U40"/>
    <mergeCell ref="B37:C37"/>
    <mergeCell ref="D37:E37"/>
    <mergeCell ref="F37:G37"/>
    <mergeCell ref="L40:M40"/>
    <mergeCell ref="N40:O40"/>
    <mergeCell ref="H37:I37"/>
    <mergeCell ref="T9:U9"/>
    <mergeCell ref="T20:U20"/>
    <mergeCell ref="T24:U24"/>
    <mergeCell ref="T26:U26"/>
    <mergeCell ref="T34:U34"/>
  </mergeCells>
  <printOptions horizontalCentered="1"/>
  <pageMargins left="0.75" right="0.75" top="0.5" bottom="0.5" header="0.25" footer="0.25"/>
  <pageSetup scale="70" orientation="landscape" r:id="rId1"/>
  <headerFooter alignWithMargins="0">
    <oddFooter>&amp;LPrepared by Planning and Analysis&amp;C&amp;P of &amp;N&amp;RUdpated &amp;D</oddFooter>
  </headerFooter>
  <rowBreaks count="1" manualBreakCount="1">
    <brk id="38" max="21" man="1"/>
  </rowBreaks>
  <colBreaks count="1" manualBreakCount="1">
    <brk id="21" max="73" man="1"/>
  </colBreaks>
  <ignoredErrors>
    <ignoredError sqref="A55:N76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A425"/>
  <sheetViews>
    <sheetView zoomScaleNormal="100" zoomScaleSheetLayoutView="100" workbookViewId="0">
      <pane xSplit="1" ySplit="1" topLeftCell="T2" activePane="bottomRight" state="frozen"/>
      <selection activeCell="T36" sqref="T36:U36"/>
      <selection pane="topRight" activeCell="T36" sqref="T36:U36"/>
      <selection pane="bottomLeft" activeCell="T36" sqref="T36:U36"/>
      <selection pane="bottomRight" activeCell="T36" sqref="T36:U36"/>
    </sheetView>
  </sheetViews>
  <sheetFormatPr defaultColWidth="10.28515625" defaultRowHeight="12.75" x14ac:dyDescent="0.2"/>
  <cols>
    <col min="1" max="1" width="32.7109375" customWidth="1"/>
    <col min="2" max="2" width="6.7109375" hidden="1" customWidth="1"/>
    <col min="3" max="3" width="10.7109375" hidden="1" customWidth="1"/>
    <col min="4" max="4" width="6.7109375" hidden="1" customWidth="1"/>
    <col min="5" max="5" width="10.7109375" hidden="1" customWidth="1"/>
    <col min="6" max="6" width="6.7109375" customWidth="1"/>
    <col min="7" max="7" width="10.7109375" customWidth="1"/>
    <col min="8" max="8" width="6.7109375" customWidth="1"/>
    <col min="9" max="9" width="10.7109375" customWidth="1"/>
    <col min="10" max="10" width="6.7109375" customWidth="1"/>
    <col min="11" max="11" width="10.7109375" customWidth="1"/>
    <col min="12" max="12" width="6.7109375" customWidth="1"/>
    <col min="13" max="13" width="10.7109375" customWidth="1"/>
    <col min="14" max="14" width="6.7109375" customWidth="1"/>
    <col min="15" max="15" width="10.7109375" customWidth="1"/>
    <col min="16" max="16" width="6.7109375" customWidth="1"/>
    <col min="17" max="17" width="10.7109375" customWidth="1"/>
    <col min="18" max="18" width="6.7109375" customWidth="1"/>
    <col min="19" max="19" width="10.7109375" customWidth="1"/>
    <col min="20" max="20" width="6.7109375" customWidth="1"/>
    <col min="21" max="21" width="10.7109375" customWidth="1"/>
    <col min="22" max="22" width="3.28515625" customWidth="1"/>
    <col min="23" max="23" width="6.7109375" customWidth="1"/>
    <col min="24" max="24" width="10.7109375" customWidth="1"/>
    <col min="25" max="25" width="1.5703125" customWidth="1"/>
  </cols>
  <sheetData>
    <row r="1" spans="1:26" ht="15.75" x14ac:dyDescent="0.25">
      <c r="A1" s="667" t="s">
        <v>240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</row>
    <row r="2" spans="1:26" ht="15.75" x14ac:dyDescent="0.25">
      <c r="A2" s="667" t="s">
        <v>241</v>
      </c>
    </row>
    <row r="3" spans="1:26" ht="5.25" customHeight="1" x14ac:dyDescent="0.25">
      <c r="A3" s="667"/>
    </row>
    <row r="4" spans="1:26" ht="15.75" x14ac:dyDescent="0.25">
      <c r="A4" s="668" t="s">
        <v>261</v>
      </c>
    </row>
    <row r="5" spans="1:26" ht="6" customHeight="1" x14ac:dyDescent="0.25">
      <c r="A5" s="668"/>
    </row>
    <row r="6" spans="1:26" x14ac:dyDescent="0.2">
      <c r="A6" s="3" t="s">
        <v>279</v>
      </c>
    </row>
    <row r="7" spans="1:26" x14ac:dyDescent="0.2">
      <c r="A7" s="720">
        <v>3670020110</v>
      </c>
    </row>
    <row r="8" spans="1:26" ht="13.5" customHeight="1" thickBot="1" x14ac:dyDescent="0.25">
      <c r="A8" s="195"/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</row>
    <row r="9" spans="1:26" ht="15" customHeight="1" thickTop="1" x14ac:dyDescent="0.2">
      <c r="A9" s="4"/>
      <c r="B9" s="1401" t="s">
        <v>0</v>
      </c>
      <c r="C9" s="1398"/>
      <c r="D9" s="1401" t="s">
        <v>1</v>
      </c>
      <c r="E9" s="1398"/>
      <c r="F9" s="1401" t="s">
        <v>2</v>
      </c>
      <c r="G9" s="1398"/>
      <c r="H9" s="1401" t="s">
        <v>3</v>
      </c>
      <c r="I9" s="1398"/>
      <c r="J9" s="1401" t="s">
        <v>4</v>
      </c>
      <c r="K9" s="1398"/>
      <c r="L9" s="1401" t="s">
        <v>5</v>
      </c>
      <c r="M9" s="1398"/>
      <c r="N9" s="1401" t="s">
        <v>6</v>
      </c>
      <c r="O9" s="1398"/>
      <c r="P9" s="1401" t="s">
        <v>7</v>
      </c>
      <c r="Q9" s="1398"/>
      <c r="R9" s="1401" t="s">
        <v>8</v>
      </c>
      <c r="S9" s="1398"/>
      <c r="T9" s="1401" t="s">
        <v>301</v>
      </c>
      <c r="U9" s="1402"/>
      <c r="W9" s="1407" t="s">
        <v>9</v>
      </c>
      <c r="X9" s="1408"/>
    </row>
    <row r="10" spans="1:26" ht="30" customHeight="1" thickBot="1" x14ac:dyDescent="0.25">
      <c r="A10" s="70" t="s">
        <v>246</v>
      </c>
      <c r="B10" s="782" t="s">
        <v>262</v>
      </c>
      <c r="C10" s="783" t="s">
        <v>263</v>
      </c>
      <c r="D10" s="784" t="s">
        <v>262</v>
      </c>
      <c r="E10" s="783" t="s">
        <v>263</v>
      </c>
      <c r="F10" s="782" t="s">
        <v>262</v>
      </c>
      <c r="G10" s="783" t="s">
        <v>263</v>
      </c>
      <c r="H10" s="782" t="s">
        <v>262</v>
      </c>
      <c r="I10" s="783" t="s">
        <v>263</v>
      </c>
      <c r="J10" s="782" t="s">
        <v>262</v>
      </c>
      <c r="K10" s="783" t="s">
        <v>263</v>
      </c>
      <c r="L10" s="782" t="s">
        <v>262</v>
      </c>
      <c r="M10" s="783" t="s">
        <v>263</v>
      </c>
      <c r="N10" s="782" t="s">
        <v>262</v>
      </c>
      <c r="O10" s="783" t="s">
        <v>263</v>
      </c>
      <c r="P10" s="782" t="s">
        <v>262</v>
      </c>
      <c r="Q10" s="783" t="s">
        <v>263</v>
      </c>
      <c r="R10" s="782" t="s">
        <v>262</v>
      </c>
      <c r="S10" s="783" t="s">
        <v>263</v>
      </c>
      <c r="T10" s="782" t="s">
        <v>262</v>
      </c>
      <c r="U10" s="785" t="s">
        <v>263</v>
      </c>
      <c r="W10" s="786" t="s">
        <v>262</v>
      </c>
      <c r="X10" s="1317" t="s">
        <v>263</v>
      </c>
    </row>
    <row r="11" spans="1:26" ht="15" customHeight="1" x14ac:dyDescent="0.2">
      <c r="A11" s="270" t="s">
        <v>103</v>
      </c>
      <c r="B11" s="13"/>
      <c r="C11" s="14"/>
      <c r="D11" s="11"/>
      <c r="E11" s="12"/>
      <c r="F11" s="13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2"/>
      <c r="R11" s="13"/>
      <c r="S11" s="12"/>
      <c r="T11" s="13"/>
      <c r="U11" s="15"/>
      <c r="V11" s="564"/>
      <c r="W11" s="779"/>
      <c r="X11" s="858"/>
    </row>
    <row r="12" spans="1:26" s="23" customFormat="1" ht="15" customHeight="1" x14ac:dyDescent="0.2">
      <c r="A12" s="349" t="s">
        <v>15</v>
      </c>
      <c r="B12" s="153">
        <v>15</v>
      </c>
      <c r="C12" s="262"/>
      <c r="D12" s="350">
        <v>12</v>
      </c>
      <c r="E12" s="264"/>
      <c r="F12" s="153">
        <v>34</v>
      </c>
      <c r="G12" s="264"/>
      <c r="H12" s="153">
        <v>26</v>
      </c>
      <c r="I12" s="264"/>
      <c r="J12" s="153">
        <v>17</v>
      </c>
      <c r="K12" s="264"/>
      <c r="L12" s="153">
        <v>9</v>
      </c>
      <c r="M12" s="264"/>
      <c r="N12" s="153">
        <v>9</v>
      </c>
      <c r="O12" s="264"/>
      <c r="P12" s="153">
        <v>18</v>
      </c>
      <c r="Q12" s="264"/>
      <c r="R12" s="153">
        <f>3+11+2</f>
        <v>16</v>
      </c>
      <c r="S12" s="264"/>
      <c r="T12" s="153">
        <v>11</v>
      </c>
      <c r="U12" s="266"/>
      <c r="V12" s="352"/>
      <c r="W12" s="347">
        <f t="shared" ref="W12:W17" si="0">AVERAGE(N12,L12,R12,T12,P12)</f>
        <v>12.6</v>
      </c>
      <c r="X12" s="859"/>
    </row>
    <row r="13" spans="1:26" s="23" customFormat="1" ht="15" customHeight="1" thickBot="1" x14ac:dyDescent="0.25">
      <c r="A13" s="353" t="s">
        <v>16</v>
      </c>
      <c r="B13" s="354">
        <v>45</v>
      </c>
      <c r="C13" s="263"/>
      <c r="D13" s="355">
        <v>45</v>
      </c>
      <c r="E13" s="265"/>
      <c r="F13" s="354">
        <v>49</v>
      </c>
      <c r="G13" s="265"/>
      <c r="H13" s="354">
        <v>72</v>
      </c>
      <c r="I13" s="265"/>
      <c r="J13" s="354">
        <v>71</v>
      </c>
      <c r="K13" s="265"/>
      <c r="L13" s="354">
        <v>70</v>
      </c>
      <c r="M13" s="265"/>
      <c r="N13" s="354">
        <v>48</v>
      </c>
      <c r="O13" s="265"/>
      <c r="P13" s="354">
        <v>33</v>
      </c>
      <c r="Q13" s="265"/>
      <c r="R13" s="354">
        <f>14+21</f>
        <v>35</v>
      </c>
      <c r="S13" s="265"/>
      <c r="T13" s="354">
        <v>32</v>
      </c>
      <c r="U13" s="267"/>
      <c r="V13" s="352"/>
      <c r="W13" s="347">
        <f t="shared" si="0"/>
        <v>43.6</v>
      </c>
      <c r="X13" s="860"/>
    </row>
    <row r="14" spans="1:26" s="73" customFormat="1" ht="15" customHeight="1" thickBot="1" x14ac:dyDescent="0.25">
      <c r="A14" s="357" t="s">
        <v>17</v>
      </c>
      <c r="B14" s="358">
        <f t="shared" ref="B14:R14" si="1">SUM(B12:B13)</f>
        <v>60</v>
      </c>
      <c r="C14" s="359">
        <v>22</v>
      </c>
      <c r="D14" s="358">
        <f t="shared" si="1"/>
        <v>57</v>
      </c>
      <c r="E14" s="359">
        <v>24</v>
      </c>
      <c r="F14" s="358">
        <f t="shared" si="1"/>
        <v>83</v>
      </c>
      <c r="G14" s="359">
        <v>14</v>
      </c>
      <c r="H14" s="358">
        <f t="shared" si="1"/>
        <v>98</v>
      </c>
      <c r="I14" s="359">
        <v>31</v>
      </c>
      <c r="J14" s="358">
        <f t="shared" si="1"/>
        <v>88</v>
      </c>
      <c r="K14" s="359">
        <v>28</v>
      </c>
      <c r="L14" s="358">
        <f t="shared" si="1"/>
        <v>79</v>
      </c>
      <c r="M14" s="359">
        <v>34</v>
      </c>
      <c r="N14" s="640">
        <f t="shared" si="1"/>
        <v>57</v>
      </c>
      <c r="O14" s="359">
        <v>32</v>
      </c>
      <c r="P14" s="358">
        <f t="shared" si="1"/>
        <v>51</v>
      </c>
      <c r="Q14" s="642">
        <v>17</v>
      </c>
      <c r="R14" s="640">
        <f t="shared" si="1"/>
        <v>51</v>
      </c>
      <c r="S14" s="359">
        <v>16</v>
      </c>
      <c r="T14" s="358">
        <v>43</v>
      </c>
      <c r="U14" s="1281">
        <f t="shared" ref="U14" si="2">SUM(U12:U13)</f>
        <v>0</v>
      </c>
      <c r="V14" s="360"/>
      <c r="W14" s="492">
        <f t="shared" si="0"/>
        <v>56.2</v>
      </c>
      <c r="X14" s="862">
        <f>AVERAGE(O14,M14,S14,K14,Q14)</f>
        <v>25.4</v>
      </c>
    </row>
    <row r="15" spans="1:26" s="23" customFormat="1" ht="15" customHeight="1" x14ac:dyDescent="0.2">
      <c r="A15" s="353" t="s">
        <v>18</v>
      </c>
      <c r="B15" s="249">
        <v>21</v>
      </c>
      <c r="C15" s="26">
        <v>14</v>
      </c>
      <c r="D15" s="249">
        <v>14</v>
      </c>
      <c r="E15" s="25">
        <v>4</v>
      </c>
      <c r="F15" s="252">
        <v>16</v>
      </c>
      <c r="G15" s="19">
        <v>8</v>
      </c>
      <c r="H15" s="252">
        <v>12</v>
      </c>
      <c r="I15" s="25">
        <v>3</v>
      </c>
      <c r="J15" s="252">
        <v>15</v>
      </c>
      <c r="K15" s="25">
        <v>6</v>
      </c>
      <c r="L15" s="252">
        <f>4+16</f>
        <v>20</v>
      </c>
      <c r="M15" s="25">
        <v>5</v>
      </c>
      <c r="N15" s="252">
        <v>29</v>
      </c>
      <c r="O15" s="25">
        <v>14</v>
      </c>
      <c r="P15" s="252">
        <v>16</v>
      </c>
      <c r="Q15" s="25">
        <v>8</v>
      </c>
      <c r="R15" s="252">
        <v>14</v>
      </c>
      <c r="S15" s="25">
        <v>10</v>
      </c>
      <c r="T15" s="153">
        <v>14</v>
      </c>
      <c r="U15" s="152"/>
      <c r="V15" s="352"/>
      <c r="W15" s="347">
        <f t="shared" si="0"/>
        <v>18.600000000000001</v>
      </c>
      <c r="X15" s="871">
        <f t="shared" ref="X15:X20" si="3">AVERAGE(O15,M15,S15,K15,Q15)</f>
        <v>8.6</v>
      </c>
      <c r="Z15" s="23" t="s">
        <v>19</v>
      </c>
    </row>
    <row r="16" spans="1:26" s="23" customFormat="1" ht="15" customHeight="1" x14ac:dyDescent="0.2">
      <c r="A16" s="353" t="s">
        <v>20</v>
      </c>
      <c r="B16" s="249">
        <v>14</v>
      </c>
      <c r="C16" s="26">
        <v>3</v>
      </c>
      <c r="D16" s="249">
        <v>16</v>
      </c>
      <c r="E16" s="25">
        <v>3</v>
      </c>
      <c r="F16" s="252">
        <v>18</v>
      </c>
      <c r="G16" s="25">
        <v>5</v>
      </c>
      <c r="H16" s="252">
        <v>12</v>
      </c>
      <c r="I16" s="25">
        <v>5</v>
      </c>
      <c r="J16" s="252">
        <v>13</v>
      </c>
      <c r="K16" s="25">
        <v>5</v>
      </c>
      <c r="L16" s="252">
        <v>19</v>
      </c>
      <c r="M16" s="25">
        <v>5</v>
      </c>
      <c r="N16" s="252">
        <v>16</v>
      </c>
      <c r="O16" s="25">
        <v>5</v>
      </c>
      <c r="P16" s="252">
        <v>13</v>
      </c>
      <c r="Q16" s="25">
        <v>5</v>
      </c>
      <c r="R16" s="252">
        <v>14</v>
      </c>
      <c r="S16" s="25">
        <v>3</v>
      </c>
      <c r="T16" s="153">
        <v>14</v>
      </c>
      <c r="U16" s="152"/>
      <c r="V16" s="352"/>
      <c r="W16" s="347">
        <f t="shared" si="0"/>
        <v>15.2</v>
      </c>
      <c r="X16" s="871">
        <f t="shared" si="3"/>
        <v>4.5999999999999996</v>
      </c>
    </row>
    <row r="17" spans="1:24" s="23" customFormat="1" ht="15" customHeight="1" x14ac:dyDescent="0.2">
      <c r="A17" s="353" t="s">
        <v>86</v>
      </c>
      <c r="B17" s="249">
        <v>26</v>
      </c>
      <c r="C17" s="26">
        <v>1</v>
      </c>
      <c r="D17" s="249">
        <v>25</v>
      </c>
      <c r="E17" s="25">
        <v>2</v>
      </c>
      <c r="F17" s="252">
        <v>27</v>
      </c>
      <c r="G17" s="25">
        <v>2</v>
      </c>
      <c r="H17" s="252">
        <v>27</v>
      </c>
      <c r="I17" s="25">
        <v>4</v>
      </c>
      <c r="J17" s="252">
        <v>24</v>
      </c>
      <c r="K17" s="25">
        <v>4</v>
      </c>
      <c r="L17" s="252">
        <v>25</v>
      </c>
      <c r="M17" s="25">
        <v>3</v>
      </c>
      <c r="N17" s="252">
        <v>20</v>
      </c>
      <c r="O17" s="25">
        <v>2</v>
      </c>
      <c r="P17" s="252">
        <v>26</v>
      </c>
      <c r="Q17" s="25">
        <v>5</v>
      </c>
      <c r="R17" s="252">
        <v>20</v>
      </c>
      <c r="S17" s="25">
        <v>2</v>
      </c>
      <c r="T17" s="345">
        <v>21</v>
      </c>
      <c r="U17" s="1318"/>
      <c r="V17" s="352"/>
      <c r="W17" s="347">
        <f t="shared" si="0"/>
        <v>22.4</v>
      </c>
      <c r="X17" s="871">
        <f t="shared" si="3"/>
        <v>3.2</v>
      </c>
    </row>
    <row r="18" spans="1:24" ht="25.5" customHeight="1" x14ac:dyDescent="0.2">
      <c r="A18" s="460" t="s">
        <v>104</v>
      </c>
      <c r="B18" s="13"/>
      <c r="C18" s="14"/>
      <c r="D18" s="11"/>
      <c r="E18" s="12"/>
      <c r="F18" s="13"/>
      <c r="G18" s="12"/>
      <c r="H18" s="13"/>
      <c r="I18" s="12"/>
      <c r="J18" s="13"/>
      <c r="K18" s="12"/>
      <c r="L18" s="13"/>
      <c r="M18" s="12"/>
      <c r="N18" s="13"/>
      <c r="O18" s="12"/>
      <c r="P18" s="13"/>
      <c r="Q18" s="12"/>
      <c r="R18" s="13"/>
      <c r="S18" s="12"/>
      <c r="T18" s="13"/>
      <c r="U18" s="15"/>
      <c r="V18" s="564"/>
      <c r="W18" s="1178"/>
      <c r="X18" s="565"/>
    </row>
    <row r="19" spans="1:24" s="23" customFormat="1" ht="15" customHeight="1" x14ac:dyDescent="0.2">
      <c r="A19" s="398" t="s">
        <v>76</v>
      </c>
      <c r="B19" s="249">
        <v>1</v>
      </c>
      <c r="C19" s="26">
        <v>4</v>
      </c>
      <c r="D19" s="249">
        <v>2</v>
      </c>
      <c r="E19" s="25">
        <v>2</v>
      </c>
      <c r="F19" s="252">
        <v>0</v>
      </c>
      <c r="G19" s="25">
        <v>3</v>
      </c>
      <c r="H19" s="252">
        <v>4</v>
      </c>
      <c r="I19" s="25">
        <v>7</v>
      </c>
      <c r="J19" s="252">
        <v>12</v>
      </c>
      <c r="K19" s="25">
        <v>12</v>
      </c>
      <c r="L19" s="252">
        <v>0</v>
      </c>
      <c r="M19" s="25">
        <v>14</v>
      </c>
      <c r="N19" s="252">
        <v>8</v>
      </c>
      <c r="O19" s="25">
        <v>7</v>
      </c>
      <c r="P19" s="252">
        <v>6</v>
      </c>
      <c r="Q19" s="25">
        <v>6</v>
      </c>
      <c r="R19" s="252">
        <v>9</v>
      </c>
      <c r="S19" s="25">
        <v>8</v>
      </c>
      <c r="T19" s="361">
        <v>8</v>
      </c>
      <c r="U19" s="1298"/>
      <c r="V19" s="352"/>
      <c r="W19" s="347">
        <f>AVERAGE(N19,L19,R19,T19,P19)</f>
        <v>6.2</v>
      </c>
      <c r="X19" s="871">
        <f t="shared" si="3"/>
        <v>9.4</v>
      </c>
    </row>
    <row r="20" spans="1:24" s="23" customFormat="1" ht="15" customHeight="1" thickBot="1" x14ac:dyDescent="0.25">
      <c r="A20" s="362" t="s">
        <v>21</v>
      </c>
      <c r="B20" s="31">
        <v>0</v>
      </c>
      <c r="C20" s="34">
        <v>4</v>
      </c>
      <c r="D20" s="31">
        <v>0</v>
      </c>
      <c r="E20" s="32">
        <v>2</v>
      </c>
      <c r="F20" s="33">
        <v>2</v>
      </c>
      <c r="G20" s="32">
        <v>2</v>
      </c>
      <c r="H20" s="33">
        <v>1</v>
      </c>
      <c r="I20" s="32">
        <v>2</v>
      </c>
      <c r="J20" s="33">
        <v>3</v>
      </c>
      <c r="K20" s="32">
        <v>4</v>
      </c>
      <c r="L20" s="33">
        <v>3</v>
      </c>
      <c r="M20" s="32">
        <v>12</v>
      </c>
      <c r="N20" s="33">
        <v>3</v>
      </c>
      <c r="O20" s="32">
        <v>4</v>
      </c>
      <c r="P20" s="33">
        <v>2</v>
      </c>
      <c r="Q20" s="32">
        <v>0</v>
      </c>
      <c r="R20" s="33">
        <v>2</v>
      </c>
      <c r="S20" s="32">
        <v>2</v>
      </c>
      <c r="T20" s="365">
        <v>10</v>
      </c>
      <c r="U20" s="1282"/>
      <c r="V20" s="352"/>
      <c r="W20" s="347">
        <f>AVERAGE(N20,L20,R20,T20,P20)</f>
        <v>4</v>
      </c>
      <c r="X20" s="871">
        <f t="shared" si="3"/>
        <v>4.4000000000000004</v>
      </c>
    </row>
    <row r="21" spans="1:24" ht="18" customHeight="1" thickTop="1" thickBot="1" x14ac:dyDescent="0.25">
      <c r="A21" s="298" t="s">
        <v>71</v>
      </c>
      <c r="B21" s="1380"/>
      <c r="C21" s="1381"/>
      <c r="D21" s="1380"/>
      <c r="E21" s="1381"/>
      <c r="F21" s="1380"/>
      <c r="G21" s="1381"/>
      <c r="H21" s="1380"/>
      <c r="I21" s="1381"/>
      <c r="J21" s="1380"/>
      <c r="K21" s="1381"/>
      <c r="L21" s="1380"/>
      <c r="M21" s="1381"/>
      <c r="N21" s="1380"/>
      <c r="O21" s="1381"/>
      <c r="P21" s="1380"/>
      <c r="Q21" s="1381"/>
      <c r="R21" s="1380"/>
      <c r="S21" s="1381"/>
      <c r="T21" s="1380"/>
      <c r="U21" s="1383"/>
      <c r="V21" s="226"/>
      <c r="W21" s="1382"/>
      <c r="X21" s="1383"/>
    </row>
    <row r="22" spans="1:24" ht="15" customHeight="1" x14ac:dyDescent="0.2">
      <c r="A22" s="1175" t="s">
        <v>266</v>
      </c>
      <c r="B22" s="300"/>
      <c r="C22" s="385"/>
      <c r="D22" s="384"/>
      <c r="E22" s="385"/>
      <c r="F22" s="384"/>
      <c r="G22" s="385"/>
      <c r="H22" s="384"/>
      <c r="I22" s="385"/>
      <c r="J22" s="384"/>
      <c r="K22" s="385"/>
      <c r="L22" s="384"/>
      <c r="M22" s="385"/>
      <c r="N22" s="384"/>
      <c r="O22" s="385"/>
      <c r="P22" s="384"/>
      <c r="Q22" s="385"/>
      <c r="R22" s="384"/>
      <c r="S22" s="385"/>
      <c r="T22" s="384"/>
      <c r="U22" s="386"/>
      <c r="V22" s="226"/>
      <c r="W22" s="1177"/>
      <c r="X22" s="852" t="e">
        <f>AVERAGE(O22,M22,I22,K22,Q22)</f>
        <v>#DIV/0!</v>
      </c>
    </row>
    <row r="23" spans="1:24" ht="15" customHeight="1" x14ac:dyDescent="0.2">
      <c r="A23" s="677" t="s">
        <v>72</v>
      </c>
      <c r="B23" s="304"/>
      <c r="C23" s="388">
        <v>0.53</v>
      </c>
      <c r="D23" s="387"/>
      <c r="E23" s="388">
        <v>0.5</v>
      </c>
      <c r="F23" s="387"/>
      <c r="G23" s="388">
        <v>0.67</v>
      </c>
      <c r="H23" s="387"/>
      <c r="I23" s="388">
        <v>0.71</v>
      </c>
      <c r="J23" s="387"/>
      <c r="K23" s="388">
        <v>0.65</v>
      </c>
      <c r="L23" s="387"/>
      <c r="M23" s="388">
        <v>0.6</v>
      </c>
      <c r="N23" s="387"/>
      <c r="O23" s="388">
        <v>0.72</v>
      </c>
      <c r="P23" s="387"/>
      <c r="Q23" s="388">
        <v>0.64</v>
      </c>
      <c r="R23" s="387"/>
      <c r="S23" s="388"/>
      <c r="T23" s="387"/>
      <c r="U23" s="776"/>
      <c r="V23" s="226"/>
      <c r="W23" s="1177"/>
      <c r="X23" s="1255">
        <f t="shared" ref="X23:X24" si="4">AVERAGE(O23,M23,S23,K23,Q23)</f>
        <v>0.65249999999999997</v>
      </c>
    </row>
    <row r="24" spans="1:24" ht="15" customHeight="1" x14ac:dyDescent="0.2">
      <c r="A24" s="677" t="s">
        <v>73</v>
      </c>
      <c r="B24" s="306"/>
      <c r="C24" s="390">
        <v>0.27</v>
      </c>
      <c r="D24" s="389"/>
      <c r="E24" s="390">
        <v>0.28999999999999998</v>
      </c>
      <c r="F24" s="389"/>
      <c r="G24" s="390">
        <v>0.08</v>
      </c>
      <c r="H24" s="389"/>
      <c r="I24" s="390">
        <v>0.11</v>
      </c>
      <c r="J24" s="389"/>
      <c r="K24" s="390">
        <v>0.3</v>
      </c>
      <c r="L24" s="389"/>
      <c r="M24" s="390">
        <v>0.35</v>
      </c>
      <c r="N24" s="389"/>
      <c r="O24" s="390">
        <v>0.22</v>
      </c>
      <c r="P24" s="389"/>
      <c r="Q24" s="390">
        <v>0.36</v>
      </c>
      <c r="R24" s="389"/>
      <c r="S24" s="390"/>
      <c r="T24" s="389"/>
      <c r="U24" s="777"/>
      <c r="V24" s="226"/>
      <c r="W24" s="1177"/>
      <c r="X24" s="1255">
        <f t="shared" si="4"/>
        <v>0.3075</v>
      </c>
    </row>
    <row r="25" spans="1:24" ht="15" customHeight="1" thickBot="1" x14ac:dyDescent="0.25">
      <c r="A25" s="751" t="s">
        <v>75</v>
      </c>
      <c r="B25" s="308"/>
      <c r="C25" s="309"/>
      <c r="D25" s="308"/>
      <c r="E25" s="309"/>
      <c r="F25" s="308"/>
      <c r="G25" s="309"/>
      <c r="H25" s="308"/>
      <c r="I25" s="309"/>
      <c r="J25" s="308"/>
      <c r="K25" s="309"/>
      <c r="L25" s="308"/>
      <c r="M25" s="309"/>
      <c r="N25" s="308"/>
      <c r="O25" s="309"/>
      <c r="P25" s="308"/>
      <c r="Q25" s="309"/>
      <c r="R25" s="308"/>
      <c r="S25" s="309"/>
      <c r="T25" s="308"/>
      <c r="U25" s="310"/>
      <c r="V25" s="226"/>
      <c r="W25" s="854"/>
      <c r="X25" s="543" t="e">
        <f>AVERAGE(O25,M25,S25,U25,Q25)</f>
        <v>#DIV/0!</v>
      </c>
    </row>
    <row r="26" spans="1:24" ht="18.75" customHeight="1" thickTop="1" thickBot="1" x14ac:dyDescent="0.25">
      <c r="A26" s="221" t="s">
        <v>78</v>
      </c>
      <c r="B26" s="1380"/>
      <c r="C26" s="1381"/>
      <c r="D26" s="1380"/>
      <c r="E26" s="1381"/>
      <c r="F26" s="1380"/>
      <c r="G26" s="1381"/>
      <c r="H26" s="1380"/>
      <c r="I26" s="1381"/>
      <c r="J26" s="1380"/>
      <c r="K26" s="1381"/>
      <c r="L26" s="1380"/>
      <c r="M26" s="1381"/>
      <c r="N26" s="1380"/>
      <c r="O26" s="1381"/>
      <c r="P26" s="1380"/>
      <c r="Q26" s="1381"/>
      <c r="R26" s="1380"/>
      <c r="S26" s="1381"/>
      <c r="T26" s="1380"/>
      <c r="U26" s="1383"/>
      <c r="V26" s="226"/>
      <c r="W26" s="1382"/>
      <c r="X26" s="1383"/>
    </row>
    <row r="27" spans="1:24" ht="15" customHeight="1" thickBot="1" x14ac:dyDescent="0.25">
      <c r="A27" s="847" t="s">
        <v>210</v>
      </c>
      <c r="B27" s="223"/>
      <c r="C27" s="224">
        <v>23.8</v>
      </c>
      <c r="D27" s="223"/>
      <c r="E27" s="224">
        <v>24.1</v>
      </c>
      <c r="F27" s="223"/>
      <c r="G27" s="224">
        <v>23.5</v>
      </c>
      <c r="H27" s="223"/>
      <c r="I27" s="224">
        <v>24.1</v>
      </c>
      <c r="J27" s="223"/>
      <c r="K27" s="224">
        <v>23.9</v>
      </c>
      <c r="L27" s="223"/>
      <c r="M27" s="224">
        <v>23.8</v>
      </c>
      <c r="N27" s="223"/>
      <c r="O27" s="224">
        <v>24.6</v>
      </c>
      <c r="P27" s="223"/>
      <c r="Q27" s="755">
        <v>25</v>
      </c>
      <c r="R27" s="223"/>
      <c r="S27" s="224">
        <v>25</v>
      </c>
      <c r="T27" s="756"/>
      <c r="U27" s="757"/>
      <c r="V27" s="226"/>
      <c r="W27" s="247"/>
      <c r="X27" s="757">
        <f>AVERAGE(O27,M27,U27,Q27,S27)</f>
        <v>24.6</v>
      </c>
    </row>
    <row r="28" spans="1:24" ht="18.75" customHeight="1" thickTop="1" thickBot="1" x14ac:dyDescent="0.25">
      <c r="A28" s="314" t="s">
        <v>22</v>
      </c>
      <c r="B28" s="1380"/>
      <c r="C28" s="1381"/>
      <c r="D28" s="1380"/>
      <c r="E28" s="1381"/>
      <c r="F28" s="1380"/>
      <c r="G28" s="1381"/>
      <c r="H28" s="1380"/>
      <c r="I28" s="1381"/>
      <c r="J28" s="1380"/>
      <c r="K28" s="1381"/>
      <c r="L28" s="1380"/>
      <c r="M28" s="1381"/>
      <c r="N28" s="1380"/>
      <c r="O28" s="1381"/>
      <c r="P28" s="1380"/>
      <c r="Q28" s="1381"/>
      <c r="R28" s="1380"/>
      <c r="S28" s="1381"/>
      <c r="T28" s="1380"/>
      <c r="U28" s="1383"/>
      <c r="V28" s="226"/>
      <c r="W28" s="1382"/>
      <c r="X28" s="1383"/>
    </row>
    <row r="29" spans="1:24" ht="15" customHeight="1" x14ac:dyDescent="0.2">
      <c r="A29" s="677" t="s">
        <v>24</v>
      </c>
      <c r="B29" s="315"/>
      <c r="C29" s="48">
        <v>8893</v>
      </c>
      <c r="D29" s="45"/>
      <c r="E29" s="47">
        <v>8340</v>
      </c>
      <c r="F29" s="46"/>
      <c r="G29" s="47">
        <v>9457</v>
      </c>
      <c r="H29" s="46"/>
      <c r="I29" s="47">
        <v>9748</v>
      </c>
      <c r="J29" s="46"/>
      <c r="K29" s="47">
        <v>8957</v>
      </c>
      <c r="L29" s="46"/>
      <c r="M29" s="47">
        <v>8369</v>
      </c>
      <c r="N29" s="46"/>
      <c r="O29" s="47">
        <v>7130</v>
      </c>
      <c r="P29" s="46"/>
      <c r="Q29" s="47">
        <v>7016</v>
      </c>
      <c r="R29" s="46"/>
      <c r="S29" s="47">
        <v>6152</v>
      </c>
      <c r="T29" s="315"/>
      <c r="U29" s="1273"/>
      <c r="V29" s="226"/>
      <c r="W29" s="50"/>
      <c r="X29" s="51">
        <f>AVERAGE(O29,M29,S29,K29,Q29)</f>
        <v>7524.8</v>
      </c>
    </row>
    <row r="30" spans="1:24" ht="15" customHeight="1" x14ac:dyDescent="0.2">
      <c r="A30" s="677" t="s">
        <v>25</v>
      </c>
      <c r="B30" s="315"/>
      <c r="C30" s="48">
        <v>3913</v>
      </c>
      <c r="D30" s="45"/>
      <c r="E30" s="47">
        <v>3666</v>
      </c>
      <c r="F30" s="46"/>
      <c r="G30" s="47">
        <v>3930</v>
      </c>
      <c r="H30" s="46"/>
      <c r="I30" s="47">
        <v>4262</v>
      </c>
      <c r="J30" s="46"/>
      <c r="K30" s="47">
        <v>3853</v>
      </c>
      <c r="L30" s="46"/>
      <c r="M30" s="47">
        <v>3242</v>
      </c>
      <c r="N30" s="46"/>
      <c r="O30" s="47">
        <v>3112</v>
      </c>
      <c r="P30" s="46"/>
      <c r="Q30" s="47">
        <v>2688</v>
      </c>
      <c r="R30" s="46"/>
      <c r="S30" s="47">
        <v>2354</v>
      </c>
      <c r="T30" s="315"/>
      <c r="U30" s="1273"/>
      <c r="V30" s="226"/>
      <c r="W30" s="52"/>
      <c r="X30" s="51">
        <f t="shared" ref="X30:X33" si="5">AVERAGE(O30,M30,S30,K30,Q30)</f>
        <v>3049.8</v>
      </c>
    </row>
    <row r="31" spans="1:24" ht="15" customHeight="1" x14ac:dyDescent="0.2">
      <c r="A31" s="677" t="s">
        <v>26</v>
      </c>
      <c r="B31" s="315"/>
      <c r="C31" s="48">
        <v>678</v>
      </c>
      <c r="D31" s="45"/>
      <c r="E31" s="47">
        <v>652</v>
      </c>
      <c r="F31" s="46"/>
      <c r="G31" s="47">
        <v>614</v>
      </c>
      <c r="H31" s="46"/>
      <c r="I31" s="47">
        <v>801</v>
      </c>
      <c r="J31" s="46"/>
      <c r="K31" s="47">
        <v>887</v>
      </c>
      <c r="L31" s="46"/>
      <c r="M31" s="47">
        <v>566</v>
      </c>
      <c r="N31" s="46"/>
      <c r="O31" s="47">
        <v>400</v>
      </c>
      <c r="P31" s="46"/>
      <c r="Q31" s="47">
        <v>348</v>
      </c>
      <c r="R31" s="46"/>
      <c r="S31" s="47">
        <v>453</v>
      </c>
      <c r="T31" s="315"/>
      <c r="U31" s="1273"/>
      <c r="V31" s="226"/>
      <c r="W31" s="52"/>
      <c r="X31" s="51">
        <f t="shared" si="5"/>
        <v>530.79999999999995</v>
      </c>
    </row>
    <row r="32" spans="1:24" ht="15" customHeight="1" thickBot="1" x14ac:dyDescent="0.25">
      <c r="A32" s="849" t="s">
        <v>27</v>
      </c>
      <c r="B32" s="83"/>
      <c r="C32" s="54">
        <v>217</v>
      </c>
      <c r="D32" s="45"/>
      <c r="E32" s="53">
        <v>217</v>
      </c>
      <c r="F32" s="46"/>
      <c r="G32" s="53">
        <v>245</v>
      </c>
      <c r="H32" s="46"/>
      <c r="I32" s="53">
        <v>168</v>
      </c>
      <c r="J32" s="46"/>
      <c r="K32" s="53">
        <v>202</v>
      </c>
      <c r="L32" s="46"/>
      <c r="M32" s="53">
        <v>217</v>
      </c>
      <c r="N32" s="46"/>
      <c r="O32" s="53">
        <v>171</v>
      </c>
      <c r="P32" s="46"/>
      <c r="Q32" s="53">
        <v>177</v>
      </c>
      <c r="R32" s="46"/>
      <c r="S32" s="53">
        <v>193</v>
      </c>
      <c r="T32" s="83"/>
      <c r="U32" s="1274"/>
      <c r="V32" s="226"/>
      <c r="W32" s="63"/>
      <c r="X32" s="484">
        <f t="shared" si="5"/>
        <v>192</v>
      </c>
    </row>
    <row r="33" spans="1:27" ht="15" customHeight="1" thickBot="1" x14ac:dyDescent="0.25">
      <c r="A33" s="850" t="s">
        <v>28</v>
      </c>
      <c r="B33" s="328"/>
      <c r="C33" s="329">
        <f>SUM(C29:C32)</f>
        <v>13701</v>
      </c>
      <c r="D33" s="330"/>
      <c r="E33" s="331">
        <f>SUM(E29:E32)</f>
        <v>12875</v>
      </c>
      <c r="F33" s="328"/>
      <c r="G33" s="331">
        <f>SUM(G29:G32)</f>
        <v>14246</v>
      </c>
      <c r="H33" s="328"/>
      <c r="I33" s="331">
        <f>SUM(I29:I32)</f>
        <v>14979</v>
      </c>
      <c r="J33" s="328"/>
      <c r="K33" s="331">
        <f>SUM(K29:K32)</f>
        <v>13899</v>
      </c>
      <c r="L33" s="328"/>
      <c r="M33" s="331">
        <f>SUM(M29:M32)</f>
        <v>12394</v>
      </c>
      <c r="N33" s="328"/>
      <c r="O33" s="331">
        <f>SUM(O29:O32)</f>
        <v>10813</v>
      </c>
      <c r="P33" s="328"/>
      <c r="Q33" s="331">
        <f>SUM(Q29:Q32)</f>
        <v>10229</v>
      </c>
      <c r="R33" s="328"/>
      <c r="S33" s="331">
        <f>SUM(S29:S32)</f>
        <v>9152</v>
      </c>
      <c r="T33" s="328"/>
      <c r="U33" s="1277">
        <f>SUM(U29:U32)</f>
        <v>0</v>
      </c>
      <c r="V33" s="226"/>
      <c r="W33" s="485"/>
      <c r="X33" s="486">
        <f t="shared" si="5"/>
        <v>11297.4</v>
      </c>
    </row>
    <row r="34" spans="1:27" ht="15" customHeight="1" thickTop="1" thickBot="1" x14ac:dyDescent="0.25">
      <c r="A34" s="280"/>
      <c r="B34" s="332"/>
      <c r="C34" s="333"/>
      <c r="D34" s="332"/>
      <c r="E34" s="333"/>
      <c r="F34" s="332"/>
      <c r="G34" s="333"/>
      <c r="H34" s="332"/>
      <c r="I34" s="333"/>
      <c r="J34" s="332"/>
      <c r="K34" s="333"/>
      <c r="L34" s="332"/>
      <c r="M34" s="333"/>
      <c r="N34" s="332"/>
      <c r="O34" s="333"/>
      <c r="P34" s="332"/>
      <c r="Q34" s="333"/>
      <c r="R34" s="332"/>
      <c r="S34" s="333"/>
      <c r="T34" s="332"/>
      <c r="U34" s="333"/>
      <c r="V34" s="334"/>
      <c r="W34" s="335"/>
      <c r="X34" s="333"/>
    </row>
    <row r="35" spans="1:27" ht="18.75" customHeight="1" thickTop="1" thickBot="1" x14ac:dyDescent="0.25">
      <c r="A35" s="175" t="s">
        <v>29</v>
      </c>
      <c r="B35" s="1385" t="s">
        <v>30</v>
      </c>
      <c r="C35" s="1395"/>
      <c r="D35" s="1385" t="s">
        <v>31</v>
      </c>
      <c r="E35" s="1396"/>
      <c r="F35" s="1385" t="s">
        <v>32</v>
      </c>
      <c r="G35" s="1396"/>
      <c r="H35" s="1385" t="s">
        <v>33</v>
      </c>
      <c r="I35" s="1396"/>
      <c r="J35" s="1385" t="s">
        <v>34</v>
      </c>
      <c r="K35" s="1396"/>
      <c r="L35" s="1385" t="s">
        <v>35</v>
      </c>
      <c r="M35" s="1396"/>
      <c r="N35" s="1385" t="s">
        <v>36</v>
      </c>
      <c r="O35" s="1396"/>
      <c r="P35" s="1385" t="s">
        <v>37</v>
      </c>
      <c r="Q35" s="1396"/>
      <c r="R35" s="1385" t="s">
        <v>38</v>
      </c>
      <c r="S35" s="1396"/>
      <c r="T35" s="1385" t="s">
        <v>302</v>
      </c>
      <c r="U35" s="1386"/>
      <c r="V35" s="176"/>
      <c r="W35" s="1382" t="s">
        <v>9</v>
      </c>
      <c r="X35" s="1383"/>
      <c r="Y35" s="56"/>
      <c r="Z35" s="56"/>
      <c r="AA35" s="57"/>
    </row>
    <row r="36" spans="1:27" ht="15" customHeight="1" x14ac:dyDescent="0.2">
      <c r="A36" s="1176" t="s">
        <v>267</v>
      </c>
      <c r="B36" s="177"/>
      <c r="C36" s="154">
        <v>5.3999999999999999E-2</v>
      </c>
      <c r="D36" s="281"/>
      <c r="E36" s="129">
        <v>5.3999999999999999E-2</v>
      </c>
      <c r="F36" s="282"/>
      <c r="G36" s="129">
        <v>8.1000000000000003E-2</v>
      </c>
      <c r="H36" s="128"/>
      <c r="I36" s="129">
        <v>8.6999999999999994E-2</v>
      </c>
      <c r="J36" s="128"/>
      <c r="K36" s="129">
        <v>0.09</v>
      </c>
      <c r="L36" s="128"/>
      <c r="M36" s="401">
        <v>8.8999999999999996E-2</v>
      </c>
      <c r="N36" s="128"/>
      <c r="O36" s="401">
        <v>7.8E-2</v>
      </c>
      <c r="P36" s="128"/>
      <c r="Q36" s="401">
        <v>6.8000000000000005E-2</v>
      </c>
      <c r="R36" s="128"/>
      <c r="S36" s="401">
        <v>6.2E-2</v>
      </c>
      <c r="T36" s="181"/>
      <c r="U36" s="182">
        <v>5.8000000000000003E-2</v>
      </c>
      <c r="V36" s="183"/>
      <c r="W36" s="469"/>
      <c r="X36" s="594">
        <f>AVERAGE(Q36,O36,M36,U36,S36)</f>
        <v>7.1000000000000008E-2</v>
      </c>
      <c r="Y36" s="56"/>
      <c r="Z36" s="56"/>
      <c r="AA36" s="57"/>
    </row>
    <row r="37" spans="1:27" ht="15" customHeight="1" x14ac:dyDescent="0.2">
      <c r="A37" s="874" t="s">
        <v>268</v>
      </c>
      <c r="B37" s="184"/>
      <c r="C37" s="155">
        <v>3.6999999999999998E-2</v>
      </c>
      <c r="D37" s="283"/>
      <c r="E37" s="131">
        <v>3.3000000000000002E-2</v>
      </c>
      <c r="F37" s="284"/>
      <c r="G37" s="131">
        <v>3.6999999999999998E-2</v>
      </c>
      <c r="H37" s="130"/>
      <c r="I37" s="131">
        <v>2.7E-2</v>
      </c>
      <c r="J37" s="130"/>
      <c r="K37" s="131">
        <v>3.2000000000000001E-2</v>
      </c>
      <c r="L37" s="128"/>
      <c r="M37" s="131">
        <v>4.8000000000000001E-2</v>
      </c>
      <c r="N37" s="128"/>
      <c r="O37" s="131">
        <v>4.2000000000000003E-2</v>
      </c>
      <c r="P37" s="128"/>
      <c r="Q37" s="131">
        <v>4.2000000000000003E-2</v>
      </c>
      <c r="R37" s="128"/>
      <c r="S37" s="131">
        <v>4.9000000000000002E-2</v>
      </c>
      <c r="T37" s="186"/>
      <c r="U37" s="187">
        <v>4.1000000000000002E-2</v>
      </c>
      <c r="V37" s="183"/>
      <c r="W37" s="469"/>
      <c r="X37" s="594">
        <f>AVERAGE(Q37,O37,M37,U37,S37)</f>
        <v>4.4400000000000009E-2</v>
      </c>
      <c r="Y37" s="56"/>
      <c r="Z37" s="56"/>
      <c r="AA37" s="57"/>
    </row>
    <row r="38" spans="1:27" ht="15" customHeight="1" thickBot="1" x14ac:dyDescent="0.25">
      <c r="A38" s="846" t="s">
        <v>271</v>
      </c>
      <c r="B38" s="1403">
        <f>1-C36-C37</f>
        <v>0.90899999999999992</v>
      </c>
      <c r="C38" s="1404"/>
      <c r="D38" s="1403">
        <f>1-E36-E37</f>
        <v>0.91299999999999992</v>
      </c>
      <c r="E38" s="1404"/>
      <c r="F38" s="1403">
        <f>1-G36-G37</f>
        <v>0.88200000000000001</v>
      </c>
      <c r="G38" s="1404"/>
      <c r="H38" s="1403">
        <f>1-I36-I37</f>
        <v>0.88600000000000001</v>
      </c>
      <c r="I38" s="1404"/>
      <c r="J38" s="1403">
        <f>1-K36-K37</f>
        <v>0.878</v>
      </c>
      <c r="K38" s="1404"/>
      <c r="L38" s="1403">
        <f>1-M36-M37</f>
        <v>0.86299999999999999</v>
      </c>
      <c r="M38" s="1404"/>
      <c r="N38" s="1403">
        <f>1-O36-O37</f>
        <v>0.88</v>
      </c>
      <c r="O38" s="1404"/>
      <c r="P38" s="1403">
        <f>1-Q36-Q37</f>
        <v>0.8899999999999999</v>
      </c>
      <c r="Q38" s="1404"/>
      <c r="R38" s="1403">
        <f>1-S36-S37</f>
        <v>0.8889999999999999</v>
      </c>
      <c r="S38" s="1404"/>
      <c r="T38" s="1403">
        <f>1-U36-U37</f>
        <v>0.90099999999999991</v>
      </c>
      <c r="U38" s="1406"/>
      <c r="V38" s="183"/>
      <c r="W38" s="1390">
        <f>1-X36-X37</f>
        <v>0.88460000000000005</v>
      </c>
      <c r="X38" s="1391"/>
      <c r="Y38" s="58"/>
      <c r="Z38" s="56"/>
      <c r="AA38" s="57"/>
    </row>
    <row r="39" spans="1:27" s="3" customFormat="1" ht="18" customHeight="1" thickTop="1" thickBot="1" x14ac:dyDescent="0.25">
      <c r="A39" s="194" t="s">
        <v>67</v>
      </c>
      <c r="B39" s="227" t="s">
        <v>39</v>
      </c>
      <c r="C39" s="788" t="s">
        <v>74</v>
      </c>
      <c r="D39" s="789" t="s">
        <v>39</v>
      </c>
      <c r="E39" s="228" t="s">
        <v>74</v>
      </c>
      <c r="F39" s="227" t="s">
        <v>39</v>
      </c>
      <c r="G39" s="788" t="s">
        <v>74</v>
      </c>
      <c r="H39" s="789" t="s">
        <v>39</v>
      </c>
      <c r="I39" s="228" t="s">
        <v>74</v>
      </c>
      <c r="J39" s="227" t="s">
        <v>39</v>
      </c>
      <c r="K39" s="788" t="s">
        <v>74</v>
      </c>
      <c r="L39" s="789" t="s">
        <v>39</v>
      </c>
      <c r="M39" s="228" t="s">
        <v>74</v>
      </c>
      <c r="N39" s="227" t="s">
        <v>39</v>
      </c>
      <c r="O39" s="788" t="s">
        <v>74</v>
      </c>
      <c r="P39" s="789" t="s">
        <v>39</v>
      </c>
      <c r="Q39" s="228" t="s">
        <v>74</v>
      </c>
      <c r="R39" s="227" t="s">
        <v>39</v>
      </c>
      <c r="S39" s="788" t="s">
        <v>74</v>
      </c>
      <c r="T39" s="227" t="s">
        <v>39</v>
      </c>
      <c r="U39" s="790" t="s">
        <v>74</v>
      </c>
      <c r="V39" s="230"/>
      <c r="W39" s="791" t="s">
        <v>39</v>
      </c>
      <c r="X39" s="790" t="s">
        <v>74</v>
      </c>
    </row>
    <row r="40" spans="1:27" ht="15" customHeight="1" x14ac:dyDescent="0.2">
      <c r="A40" s="899" t="s">
        <v>68</v>
      </c>
      <c r="B40" s="234"/>
      <c r="C40" s="235">
        <f>B40/B16</f>
        <v>0</v>
      </c>
      <c r="D40" s="234"/>
      <c r="E40" s="235">
        <f>D40/D16</f>
        <v>0</v>
      </c>
      <c r="F40" s="234"/>
      <c r="G40" s="235">
        <f>F40/F16</f>
        <v>0</v>
      </c>
      <c r="H40" s="234">
        <v>8</v>
      </c>
      <c r="I40" s="235">
        <f>H40/H16</f>
        <v>0.66666666666666663</v>
      </c>
      <c r="J40" s="234">
        <v>10</v>
      </c>
      <c r="K40" s="235">
        <f>J40/J16</f>
        <v>0.76923076923076927</v>
      </c>
      <c r="L40" s="234">
        <v>15</v>
      </c>
      <c r="M40" s="235">
        <f>L40/L16</f>
        <v>0.78947368421052633</v>
      </c>
      <c r="N40" s="234">
        <v>11</v>
      </c>
      <c r="O40" s="235">
        <f>N40/N16</f>
        <v>0.6875</v>
      </c>
      <c r="P40" s="234">
        <v>7</v>
      </c>
      <c r="Q40" s="235">
        <f>P40/P16</f>
        <v>0.53846153846153844</v>
      </c>
      <c r="R40" s="234">
        <v>9</v>
      </c>
      <c r="S40" s="235">
        <f>R40/R16</f>
        <v>0.6428571428571429</v>
      </c>
      <c r="T40" s="234"/>
      <c r="U40" s="236">
        <f>T40/T16</f>
        <v>0</v>
      </c>
      <c r="V40" s="226"/>
      <c r="W40" s="237">
        <f>AVERAGE(N40,L40,R40,T40,P40)</f>
        <v>10.5</v>
      </c>
      <c r="X40" s="480">
        <f>+W40/W16</f>
        <v>0.69078947368421051</v>
      </c>
    </row>
    <row r="41" spans="1:27" ht="15" customHeight="1" thickBot="1" x14ac:dyDescent="0.25">
      <c r="A41" s="751" t="s">
        <v>69</v>
      </c>
      <c r="B41" s="239"/>
      <c r="C41" s="240">
        <f>B41/B17</f>
        <v>0</v>
      </c>
      <c r="D41" s="239"/>
      <c r="E41" s="240">
        <f>D41/D17</f>
        <v>0</v>
      </c>
      <c r="F41" s="239"/>
      <c r="G41" s="240">
        <f>F41/F17</f>
        <v>0</v>
      </c>
      <c r="H41" s="239">
        <v>12</v>
      </c>
      <c r="I41" s="240">
        <f>H41/H17</f>
        <v>0.44444444444444442</v>
      </c>
      <c r="J41" s="239">
        <v>11</v>
      </c>
      <c r="K41" s="240">
        <f>J41/J17</f>
        <v>0.45833333333333331</v>
      </c>
      <c r="L41" s="239">
        <v>12</v>
      </c>
      <c r="M41" s="240">
        <f>L41/L17</f>
        <v>0.48</v>
      </c>
      <c r="N41" s="239">
        <v>14</v>
      </c>
      <c r="O41" s="901">
        <f>N41/N17</f>
        <v>0.7</v>
      </c>
      <c r="P41" s="239">
        <v>13</v>
      </c>
      <c r="Q41" s="240">
        <f>P41/P17</f>
        <v>0.5</v>
      </c>
      <c r="R41" s="239">
        <v>13</v>
      </c>
      <c r="S41" s="901">
        <f>R41/R17</f>
        <v>0.65</v>
      </c>
      <c r="T41" s="239"/>
      <c r="U41" s="241">
        <f>T41/T17</f>
        <v>0</v>
      </c>
      <c r="V41" s="226"/>
      <c r="W41" s="242">
        <f>AVERAGE(N41,L41,R41,T41,P41)</f>
        <v>13</v>
      </c>
      <c r="X41" s="241">
        <f>+W41/W17</f>
        <v>0.5803571428571429</v>
      </c>
    </row>
    <row r="42" spans="1:27" s="85" customFormat="1" ht="15" customHeight="1" thickTop="1" x14ac:dyDescent="0.2">
      <c r="A42" s="37" t="s">
        <v>288</v>
      </c>
      <c r="B42" s="650"/>
      <c r="C42" s="650"/>
      <c r="D42" s="650"/>
      <c r="E42" s="650"/>
      <c r="F42" s="650"/>
      <c r="G42" s="650"/>
      <c r="H42" s="650"/>
      <c r="I42" s="650"/>
      <c r="J42" s="650"/>
      <c r="K42" s="650"/>
      <c r="L42" s="650"/>
      <c r="M42" s="650"/>
      <c r="N42" s="650"/>
      <c r="O42" s="650"/>
      <c r="P42" s="650"/>
      <c r="Q42" s="650"/>
      <c r="R42" s="650"/>
      <c r="S42" s="650"/>
      <c r="T42" s="650"/>
      <c r="U42" s="650"/>
      <c r="V42" s="651"/>
      <c r="W42" s="650"/>
      <c r="X42" s="650"/>
      <c r="Y42" s="56"/>
      <c r="Z42" s="56"/>
      <c r="AA42" s="57"/>
    </row>
    <row r="43" spans="1:27" s="85" customFormat="1" ht="15" customHeight="1" thickBot="1" x14ac:dyDescent="0.25">
      <c r="A43" s="37"/>
      <c r="B43" s="650"/>
      <c r="C43" s="650"/>
      <c r="D43" s="650"/>
      <c r="E43" s="650"/>
      <c r="F43" s="650"/>
      <c r="G43" s="650"/>
      <c r="H43" s="650"/>
      <c r="I43" s="650"/>
      <c r="J43" s="650"/>
      <c r="K43" s="650"/>
      <c r="L43" s="650"/>
      <c r="M43" s="650"/>
      <c r="N43" s="650"/>
      <c r="O43" s="650"/>
      <c r="P43" s="650"/>
      <c r="Q43" s="650"/>
      <c r="R43" s="650"/>
      <c r="S43" s="650"/>
      <c r="T43" s="650"/>
      <c r="U43" s="650"/>
      <c r="V43" s="651"/>
      <c r="W43" s="650"/>
      <c r="X43" s="650"/>
      <c r="Y43" s="56"/>
      <c r="Z43" s="56"/>
      <c r="AA43" s="57"/>
    </row>
    <row r="44" spans="1:27" s="1" customFormat="1" ht="18.75" customHeight="1" thickTop="1" thickBot="1" x14ac:dyDescent="0.25">
      <c r="A44" s="175" t="s">
        <v>247</v>
      </c>
      <c r="B44" s="1385" t="s">
        <v>30</v>
      </c>
      <c r="C44" s="1395"/>
      <c r="D44" s="1385" t="s">
        <v>31</v>
      </c>
      <c r="E44" s="1396"/>
      <c r="F44" s="1385" t="s">
        <v>32</v>
      </c>
      <c r="G44" s="1396"/>
      <c r="H44" s="1385" t="s">
        <v>33</v>
      </c>
      <c r="I44" s="1396"/>
      <c r="J44" s="1385" t="s">
        <v>34</v>
      </c>
      <c r="K44" s="1396"/>
      <c r="L44" s="1385" t="s">
        <v>35</v>
      </c>
      <c r="M44" s="1396"/>
      <c r="N44" s="1385" t="s">
        <v>36</v>
      </c>
      <c r="O44" s="1396"/>
      <c r="P44" s="1385" t="s">
        <v>37</v>
      </c>
      <c r="Q44" s="1396"/>
      <c r="R44" s="1385" t="s">
        <v>38</v>
      </c>
      <c r="S44" s="1396"/>
      <c r="T44" s="1385" t="s">
        <v>302</v>
      </c>
      <c r="U44" s="1386"/>
      <c r="V44" s="195"/>
      <c r="W44" s="1382" t="s">
        <v>9</v>
      </c>
      <c r="X44" s="1383"/>
    </row>
    <row r="45" spans="1:27" s="1" customFormat="1" ht="24" x14ac:dyDescent="0.2">
      <c r="A45" s="715" t="s">
        <v>289</v>
      </c>
      <c r="B45" s="711"/>
      <c r="C45" s="529"/>
      <c r="D45" s="711"/>
      <c r="E45" s="712"/>
      <c r="F45" s="711"/>
      <c r="G45" s="712"/>
      <c r="H45" s="711"/>
      <c r="I45" s="712"/>
      <c r="J45" s="711"/>
      <c r="K45" s="712"/>
      <c r="L45" s="711"/>
      <c r="M45" s="712"/>
      <c r="N45" s="711"/>
      <c r="O45" s="712"/>
      <c r="P45" s="711"/>
      <c r="Q45" s="712"/>
      <c r="R45" s="711"/>
      <c r="S45" s="712"/>
      <c r="T45" s="713"/>
      <c r="U45" s="714"/>
      <c r="V45" s="195"/>
      <c r="W45" s="272"/>
      <c r="X45" s="271"/>
    </row>
    <row r="46" spans="1:27" s="1" customFormat="1" ht="24" x14ac:dyDescent="0.2">
      <c r="A46" s="721" t="s">
        <v>237</v>
      </c>
      <c r="B46" s="186"/>
      <c r="C46" s="653">
        <v>13</v>
      </c>
      <c r="D46" s="186"/>
      <c r="E46" s="653">
        <v>15</v>
      </c>
      <c r="F46" s="186"/>
      <c r="G46" s="653">
        <v>14</v>
      </c>
      <c r="H46" s="186"/>
      <c r="I46" s="653">
        <v>13</v>
      </c>
      <c r="J46" s="186"/>
      <c r="K46" s="653">
        <v>13</v>
      </c>
      <c r="L46" s="186"/>
      <c r="M46" s="653">
        <v>13</v>
      </c>
      <c r="N46" s="186"/>
      <c r="O46" s="653">
        <v>11</v>
      </c>
      <c r="P46" s="186"/>
      <c r="Q46" s="653">
        <v>12</v>
      </c>
      <c r="R46" s="186"/>
      <c r="S46" s="653">
        <v>12</v>
      </c>
      <c r="T46" s="654"/>
      <c r="U46" s="340"/>
      <c r="V46" s="195"/>
      <c r="W46" s="347"/>
      <c r="X46" s="340">
        <f>AVERAGE(O46,M46,S46,U46,Q46)</f>
        <v>12</v>
      </c>
    </row>
    <row r="47" spans="1:27" s="1" customFormat="1" ht="24" x14ac:dyDescent="0.2">
      <c r="A47" s="721" t="s">
        <v>239</v>
      </c>
      <c r="B47" s="654"/>
      <c r="C47" s="716">
        <v>13</v>
      </c>
      <c r="D47" s="654"/>
      <c r="E47" s="716">
        <v>15</v>
      </c>
      <c r="F47" s="654"/>
      <c r="G47" s="716">
        <v>13</v>
      </c>
      <c r="H47" s="654"/>
      <c r="I47" s="716">
        <v>12</v>
      </c>
      <c r="J47" s="654"/>
      <c r="K47" s="716">
        <v>12</v>
      </c>
      <c r="L47" s="654"/>
      <c r="M47" s="716">
        <v>13</v>
      </c>
      <c r="N47" s="654"/>
      <c r="O47" s="716">
        <v>11</v>
      </c>
      <c r="P47" s="654"/>
      <c r="Q47" s="716">
        <v>12</v>
      </c>
      <c r="R47" s="654"/>
      <c r="S47" s="716">
        <v>12</v>
      </c>
      <c r="T47" s="654"/>
      <c r="U47" s="340"/>
      <c r="V47" s="195"/>
      <c r="W47" s="1252"/>
      <c r="X47" s="394">
        <f t="shared" ref="X47:X48" si="6">AVERAGE(O47,M47,S47,U47,Q47)</f>
        <v>12</v>
      </c>
    </row>
    <row r="48" spans="1:27" s="1" customFormat="1" ht="15" customHeight="1" thickBot="1" x14ac:dyDescent="0.25">
      <c r="A48" s="942" t="s">
        <v>238</v>
      </c>
      <c r="B48" s="943"/>
      <c r="C48" s="1179">
        <v>13</v>
      </c>
      <c r="D48" s="1180"/>
      <c r="E48" s="1179">
        <v>15</v>
      </c>
      <c r="F48" s="1180"/>
      <c r="G48" s="1179">
        <v>13.5</v>
      </c>
      <c r="H48" s="1180"/>
      <c r="I48" s="1179">
        <v>13</v>
      </c>
      <c r="J48" s="1180"/>
      <c r="K48" s="1179">
        <v>13</v>
      </c>
      <c r="L48" s="1180"/>
      <c r="M48" s="1179">
        <v>13</v>
      </c>
      <c r="N48" s="1180"/>
      <c r="O48" s="1179">
        <v>11</v>
      </c>
      <c r="P48" s="1180"/>
      <c r="Q48" s="1179">
        <v>12</v>
      </c>
      <c r="R48" s="1180"/>
      <c r="S48" s="1179">
        <v>12</v>
      </c>
      <c r="T48" s="1181"/>
      <c r="U48" s="1182"/>
      <c r="V48" s="195"/>
      <c r="W48" s="950"/>
      <c r="X48" s="1253">
        <f t="shared" si="6"/>
        <v>12</v>
      </c>
    </row>
    <row r="49" spans="1:24" s="1" customFormat="1" ht="18.75" customHeight="1" thickBot="1" x14ac:dyDescent="0.25">
      <c r="A49" s="872" t="s">
        <v>264</v>
      </c>
      <c r="B49" s="799" t="s">
        <v>40</v>
      </c>
      <c r="C49" s="798" t="s">
        <v>41</v>
      </c>
      <c r="D49" s="799" t="s">
        <v>40</v>
      </c>
      <c r="E49" s="798" t="s">
        <v>41</v>
      </c>
      <c r="F49" s="799" t="s">
        <v>40</v>
      </c>
      <c r="G49" s="798" t="s">
        <v>41</v>
      </c>
      <c r="H49" s="799" t="s">
        <v>40</v>
      </c>
      <c r="I49" s="798" t="s">
        <v>41</v>
      </c>
      <c r="J49" s="799" t="s">
        <v>40</v>
      </c>
      <c r="K49" s="798" t="s">
        <v>41</v>
      </c>
      <c r="L49" s="799" t="s">
        <v>40</v>
      </c>
      <c r="M49" s="798" t="s">
        <v>41</v>
      </c>
      <c r="N49" s="799" t="s">
        <v>40</v>
      </c>
      <c r="O49" s="798" t="s">
        <v>41</v>
      </c>
      <c r="P49" s="799" t="s">
        <v>40</v>
      </c>
      <c r="Q49" s="798" t="s">
        <v>41</v>
      </c>
      <c r="R49" s="799" t="s">
        <v>40</v>
      </c>
      <c r="S49" s="798" t="s">
        <v>41</v>
      </c>
      <c r="T49" s="799" t="s">
        <v>40</v>
      </c>
      <c r="U49" s="804" t="s">
        <v>41</v>
      </c>
      <c r="V49" s="955"/>
      <c r="W49" s="1254" t="s">
        <v>40</v>
      </c>
      <c r="X49" s="804" t="s">
        <v>41</v>
      </c>
    </row>
    <row r="50" spans="1:24" s="1" customFormat="1" ht="15" customHeight="1" x14ac:dyDescent="0.2">
      <c r="A50" s="680" t="s">
        <v>42</v>
      </c>
      <c r="B50" s="808"/>
      <c r="C50" s="805"/>
      <c r="D50" s="806"/>
      <c r="E50" s="807"/>
      <c r="F50" s="808"/>
      <c r="G50" s="807"/>
      <c r="H50" s="808"/>
      <c r="I50" s="807"/>
      <c r="J50" s="808"/>
      <c r="K50" s="807"/>
      <c r="L50" s="808"/>
      <c r="M50" s="807"/>
      <c r="N50" s="808"/>
      <c r="O50" s="807"/>
      <c r="P50" s="808"/>
      <c r="Q50" s="807"/>
      <c r="R50" s="808"/>
      <c r="S50" s="807"/>
      <c r="T50" s="808"/>
      <c r="U50" s="1013"/>
      <c r="V50" s="195"/>
      <c r="W50" s="1029"/>
      <c r="X50" s="1030"/>
    </row>
    <row r="51" spans="1:24" s="1" customFormat="1" ht="15" customHeight="1" x14ac:dyDescent="0.2">
      <c r="A51" s="678" t="s">
        <v>43</v>
      </c>
      <c r="B51" s="258"/>
      <c r="C51" s="1053">
        <v>13</v>
      </c>
      <c r="D51" s="260"/>
      <c r="E51" s="1044">
        <v>15</v>
      </c>
      <c r="F51" s="258"/>
      <c r="G51" s="1044">
        <v>14</v>
      </c>
      <c r="H51" s="258"/>
      <c r="I51" s="1044">
        <v>13</v>
      </c>
      <c r="J51" s="1065">
        <v>13</v>
      </c>
      <c r="K51" s="1044">
        <v>13</v>
      </c>
      <c r="L51" s="1065">
        <v>13</v>
      </c>
      <c r="M51" s="1044">
        <v>13</v>
      </c>
      <c r="N51" s="1036">
        <v>13</v>
      </c>
      <c r="O51" s="1044">
        <v>13</v>
      </c>
      <c r="P51" s="1036">
        <v>13</v>
      </c>
      <c r="Q51" s="1044">
        <v>13</v>
      </c>
      <c r="R51" s="1036">
        <v>13</v>
      </c>
      <c r="S51" s="1044">
        <v>13</v>
      </c>
      <c r="T51" s="813"/>
      <c r="U51" s="932"/>
      <c r="V51" s="195"/>
      <c r="W51" s="936">
        <f>AVERAGE(T51,L51,N51,P51,R51)</f>
        <v>13</v>
      </c>
      <c r="X51" s="1031">
        <f t="shared" ref="X51:X56" si="7">AVERAGE(O51,M51,S51,U51,Q51)</f>
        <v>13</v>
      </c>
    </row>
    <row r="52" spans="1:24" s="1" customFormat="1" ht="15" customHeight="1" x14ac:dyDescent="0.2">
      <c r="A52" s="678" t="s">
        <v>44</v>
      </c>
      <c r="B52" s="258"/>
      <c r="C52" s="1053">
        <v>1</v>
      </c>
      <c r="D52" s="260"/>
      <c r="E52" s="1044">
        <v>0</v>
      </c>
      <c r="F52" s="258"/>
      <c r="G52" s="1044">
        <v>0</v>
      </c>
      <c r="H52" s="258"/>
      <c r="I52" s="1044">
        <v>1</v>
      </c>
      <c r="J52" s="13">
        <v>1.1000000000000001</v>
      </c>
      <c r="K52" s="1044">
        <v>2</v>
      </c>
      <c r="L52" s="13">
        <v>0.7</v>
      </c>
      <c r="M52" s="1044">
        <v>1</v>
      </c>
      <c r="N52" s="1036">
        <v>0</v>
      </c>
      <c r="O52" s="1044">
        <v>0</v>
      </c>
      <c r="P52" s="1036">
        <v>0</v>
      </c>
      <c r="Q52" s="1044">
        <v>0</v>
      </c>
      <c r="R52" s="1036">
        <v>0</v>
      </c>
      <c r="S52" s="1044">
        <v>0</v>
      </c>
      <c r="T52" s="813"/>
      <c r="U52" s="932"/>
      <c r="V52" s="195"/>
      <c r="W52" s="936">
        <f t="shared" ref="W52:W56" si="8">AVERAGE(T52,L52,N52,P52,R52)</f>
        <v>0.17499999999999999</v>
      </c>
      <c r="X52" s="1031">
        <f t="shared" si="7"/>
        <v>0.25</v>
      </c>
    </row>
    <row r="53" spans="1:24" s="1" customFormat="1" ht="15" customHeight="1" x14ac:dyDescent="0.2">
      <c r="A53" s="676" t="s">
        <v>45</v>
      </c>
      <c r="B53" s="345"/>
      <c r="C53" s="1054"/>
      <c r="D53" s="11"/>
      <c r="E53" s="1045"/>
      <c r="F53" s="13"/>
      <c r="G53" s="1045"/>
      <c r="H53" s="13"/>
      <c r="I53" s="1045"/>
      <c r="J53" s="13"/>
      <c r="K53" s="1045"/>
      <c r="L53" s="13"/>
      <c r="M53" s="1045"/>
      <c r="N53" s="13"/>
      <c r="O53" s="1045"/>
      <c r="P53" s="13"/>
      <c r="Q53" s="1045"/>
      <c r="R53" s="13"/>
      <c r="S53" s="1045"/>
      <c r="T53" s="345"/>
      <c r="U53" s="933"/>
      <c r="V53" s="195"/>
      <c r="W53" s="936"/>
      <c r="X53" s="1031"/>
    </row>
    <row r="54" spans="1:24" s="1" customFormat="1" ht="15" customHeight="1" x14ac:dyDescent="0.2">
      <c r="A54" s="678" t="s">
        <v>43</v>
      </c>
      <c r="B54" s="258"/>
      <c r="C54" s="1054">
        <v>0</v>
      </c>
      <c r="D54" s="260"/>
      <c r="E54" s="1045">
        <v>0</v>
      </c>
      <c r="F54" s="258"/>
      <c r="G54" s="1045">
        <v>0</v>
      </c>
      <c r="H54" s="258"/>
      <c r="I54" s="1045">
        <v>0</v>
      </c>
      <c r="J54" s="1036">
        <v>0</v>
      </c>
      <c r="K54" s="1045">
        <v>0</v>
      </c>
      <c r="L54" s="1036">
        <v>0</v>
      </c>
      <c r="M54" s="1045">
        <v>0</v>
      </c>
      <c r="N54" s="1036">
        <v>0</v>
      </c>
      <c r="O54" s="1045">
        <v>0</v>
      </c>
      <c r="P54" s="1036">
        <v>0</v>
      </c>
      <c r="Q54" s="1045">
        <v>0</v>
      </c>
      <c r="R54" s="1036">
        <v>0</v>
      </c>
      <c r="S54" s="1045">
        <v>0</v>
      </c>
      <c r="T54" s="1036"/>
      <c r="U54" s="933"/>
      <c r="V54" s="195"/>
      <c r="W54" s="936">
        <f t="shared" si="8"/>
        <v>0</v>
      </c>
      <c r="X54" s="1031">
        <f t="shared" si="7"/>
        <v>0</v>
      </c>
    </row>
    <row r="55" spans="1:24" s="1" customFormat="1" ht="15" customHeight="1" thickBot="1" x14ac:dyDescent="0.25">
      <c r="A55" s="679" t="s">
        <v>44</v>
      </c>
      <c r="B55" s="1017"/>
      <c r="C55" s="1060">
        <v>0</v>
      </c>
      <c r="D55" s="1050"/>
      <c r="E55" s="1056">
        <v>0</v>
      </c>
      <c r="F55" s="1017"/>
      <c r="G55" s="1056">
        <v>0</v>
      </c>
      <c r="H55" s="1017"/>
      <c r="I55" s="1056">
        <v>0</v>
      </c>
      <c r="J55" s="1039">
        <v>0</v>
      </c>
      <c r="K55" s="1056">
        <v>0</v>
      </c>
      <c r="L55" s="1039">
        <v>0</v>
      </c>
      <c r="M55" s="1056">
        <v>0</v>
      </c>
      <c r="N55" s="1039">
        <v>0</v>
      </c>
      <c r="O55" s="1056">
        <v>0</v>
      </c>
      <c r="P55" s="1039">
        <v>0</v>
      </c>
      <c r="Q55" s="1056">
        <v>0</v>
      </c>
      <c r="R55" s="1039">
        <v>0</v>
      </c>
      <c r="S55" s="1056">
        <v>0</v>
      </c>
      <c r="T55" s="1039"/>
      <c r="U55" s="934"/>
      <c r="V55" s="195"/>
      <c r="W55" s="1020">
        <f t="shared" si="8"/>
        <v>0</v>
      </c>
      <c r="X55" s="1032">
        <f t="shared" si="7"/>
        <v>0</v>
      </c>
    </row>
    <row r="56" spans="1:24" s="1" customFormat="1" ht="15" customHeight="1" thickBot="1" x14ac:dyDescent="0.25">
      <c r="A56" s="796" t="s">
        <v>28</v>
      </c>
      <c r="B56" s="1150"/>
      <c r="C56" s="824">
        <f>SUM(C51:C55)</f>
        <v>14</v>
      </c>
      <c r="D56" s="1149"/>
      <c r="E56" s="826">
        <f>SUM(E51:E55)</f>
        <v>15</v>
      </c>
      <c r="F56" s="1150"/>
      <c r="G56" s="826">
        <f>SUM(G51:G55)</f>
        <v>14</v>
      </c>
      <c r="H56" s="1150"/>
      <c r="I56" s="826">
        <f t="shared" ref="I56:S56" si="9">SUM(I51:I55)</f>
        <v>14</v>
      </c>
      <c r="J56" s="1066">
        <f t="shared" si="9"/>
        <v>14.1</v>
      </c>
      <c r="K56" s="826">
        <f t="shared" si="9"/>
        <v>15</v>
      </c>
      <c r="L56" s="1066">
        <f t="shared" si="9"/>
        <v>13.7</v>
      </c>
      <c r="M56" s="826">
        <f t="shared" si="9"/>
        <v>14</v>
      </c>
      <c r="N56" s="1066">
        <f t="shared" si="9"/>
        <v>13</v>
      </c>
      <c r="O56" s="826">
        <f t="shared" si="9"/>
        <v>13</v>
      </c>
      <c r="P56" s="1066">
        <f t="shared" si="9"/>
        <v>13</v>
      </c>
      <c r="Q56" s="826">
        <f t="shared" si="9"/>
        <v>13</v>
      </c>
      <c r="R56" s="1066">
        <f t="shared" si="9"/>
        <v>13</v>
      </c>
      <c r="S56" s="826">
        <f t="shared" si="9"/>
        <v>13</v>
      </c>
      <c r="T56" s="1066">
        <f t="shared" ref="T56:U56" si="10">SUM(T51:T55)</f>
        <v>0</v>
      </c>
      <c r="U56" s="1023">
        <f t="shared" si="10"/>
        <v>0</v>
      </c>
      <c r="V56" s="195"/>
      <c r="W56" s="1028">
        <f t="shared" si="8"/>
        <v>10.540000000000001</v>
      </c>
      <c r="X56" s="1033">
        <f t="shared" si="7"/>
        <v>10.6</v>
      </c>
    </row>
    <row r="57" spans="1:24" s="1" customFormat="1" ht="18.75" customHeight="1" thickBot="1" x14ac:dyDescent="0.25">
      <c r="A57" s="795" t="s">
        <v>253</v>
      </c>
      <c r="B57" s="801" t="s">
        <v>39</v>
      </c>
      <c r="C57" s="954" t="s">
        <v>46</v>
      </c>
      <c r="D57" s="801" t="s">
        <v>39</v>
      </c>
      <c r="E57" s="798" t="s">
        <v>46</v>
      </c>
      <c r="F57" s="799" t="s">
        <v>39</v>
      </c>
      <c r="G57" s="798" t="s">
        <v>46</v>
      </c>
      <c r="H57" s="799" t="s">
        <v>39</v>
      </c>
      <c r="I57" s="798" t="s">
        <v>46</v>
      </c>
      <c r="J57" s="799" t="s">
        <v>39</v>
      </c>
      <c r="K57" s="798" t="s">
        <v>46</v>
      </c>
      <c r="L57" s="799" t="s">
        <v>39</v>
      </c>
      <c r="M57" s="798" t="s">
        <v>46</v>
      </c>
      <c r="N57" s="799" t="s">
        <v>39</v>
      </c>
      <c r="O57" s="798" t="s">
        <v>46</v>
      </c>
      <c r="P57" s="799" t="s">
        <v>39</v>
      </c>
      <c r="Q57" s="798" t="s">
        <v>46</v>
      </c>
      <c r="R57" s="799" t="s">
        <v>39</v>
      </c>
      <c r="S57" s="798" t="s">
        <v>46</v>
      </c>
      <c r="T57" s="799" t="s">
        <v>39</v>
      </c>
      <c r="U57" s="804" t="s">
        <v>46</v>
      </c>
      <c r="V57" s="195"/>
      <c r="W57" s="832" t="s">
        <v>39</v>
      </c>
      <c r="X57" s="804" t="s">
        <v>46</v>
      </c>
    </row>
    <row r="58" spans="1:24" s="1" customFormat="1" ht="18.75" customHeight="1" x14ac:dyDescent="0.2">
      <c r="A58" s="680" t="s">
        <v>265</v>
      </c>
      <c r="B58" s="938"/>
      <c r="C58" s="196"/>
      <c r="D58" s="938"/>
      <c r="E58" s="197"/>
      <c r="F58" s="937"/>
      <c r="G58" s="197"/>
      <c r="H58" s="937"/>
      <c r="I58" s="197"/>
      <c r="J58" s="937"/>
      <c r="K58" s="197"/>
      <c r="L58" s="937"/>
      <c r="M58" s="197"/>
      <c r="N58" s="937"/>
      <c r="O58" s="197"/>
      <c r="P58" s="937"/>
      <c r="Q58" s="197"/>
      <c r="R58" s="937"/>
      <c r="S58" s="197"/>
      <c r="T58" s="937"/>
      <c r="U58" s="199"/>
      <c r="V58" s="195"/>
      <c r="W58" s="1026"/>
      <c r="X58" s="199"/>
    </row>
    <row r="59" spans="1:24" s="1" customFormat="1" ht="15" customHeight="1" x14ac:dyDescent="0.2">
      <c r="A59" s="706" t="s">
        <v>47</v>
      </c>
      <c r="B59" s="156">
        <v>10</v>
      </c>
      <c r="C59" s="191">
        <f t="shared" ref="C59:C66" si="11">B59/C$56</f>
        <v>0.7142857142857143</v>
      </c>
      <c r="D59" s="156">
        <v>10</v>
      </c>
      <c r="E59" s="192">
        <f t="shared" ref="E59:E66" si="12">D59/E$56</f>
        <v>0.66666666666666663</v>
      </c>
      <c r="F59" s="160">
        <v>10</v>
      </c>
      <c r="G59" s="192">
        <f t="shared" ref="G59:G66" si="13">F59/G$56</f>
        <v>0.7142857142857143</v>
      </c>
      <c r="H59" s="160">
        <v>9</v>
      </c>
      <c r="I59" s="192">
        <f t="shared" ref="I59:I66" si="14">H59/I$56</f>
        <v>0.6428571428571429</v>
      </c>
      <c r="J59" s="160">
        <f>2+9</f>
        <v>11</v>
      </c>
      <c r="K59" s="192">
        <f t="shared" ref="K59:K66" si="15">J59/K$56</f>
        <v>0.73333333333333328</v>
      </c>
      <c r="L59" s="160">
        <v>10</v>
      </c>
      <c r="M59" s="192">
        <f t="shared" ref="M59:M64" si="16">L59/M$56</f>
        <v>0.7142857142857143</v>
      </c>
      <c r="N59" s="160">
        <v>9</v>
      </c>
      <c r="O59" s="192">
        <f t="shared" ref="O59:Q64" si="17">N59/O$56</f>
        <v>0.69230769230769229</v>
      </c>
      <c r="P59" s="160">
        <v>9</v>
      </c>
      <c r="Q59" s="192">
        <f t="shared" si="17"/>
        <v>0.69230769230769229</v>
      </c>
      <c r="R59" s="160">
        <v>9</v>
      </c>
      <c r="S59" s="192">
        <f t="shared" ref="S59:S64" si="18">R59/S$56</f>
        <v>0.69230769230769229</v>
      </c>
      <c r="T59" s="202"/>
      <c r="U59" s="203" t="e">
        <f t="shared" ref="U59:U64" si="19">T59/U$56</f>
        <v>#DIV/0!</v>
      </c>
      <c r="V59" s="204"/>
      <c r="W59" s="205">
        <f>AVERAGE(N59,L59,R59,T59,P59)</f>
        <v>9.25</v>
      </c>
      <c r="X59" s="206" t="e">
        <f>AVERAGE(O59,M59,S59,U59,Q59)</f>
        <v>#DIV/0!</v>
      </c>
    </row>
    <row r="60" spans="1:24" s="1" customFormat="1" ht="15" customHeight="1" x14ac:dyDescent="0.2">
      <c r="A60" s="207" t="s">
        <v>48</v>
      </c>
      <c r="B60" s="156">
        <v>0</v>
      </c>
      <c r="C60" s="191">
        <f t="shared" si="11"/>
        <v>0</v>
      </c>
      <c r="D60" s="156">
        <v>0</v>
      </c>
      <c r="E60" s="192">
        <f t="shared" si="12"/>
        <v>0</v>
      </c>
      <c r="F60" s="160">
        <v>0</v>
      </c>
      <c r="G60" s="192">
        <f t="shared" si="13"/>
        <v>0</v>
      </c>
      <c r="H60" s="160">
        <v>0</v>
      </c>
      <c r="I60" s="192">
        <f t="shared" si="14"/>
        <v>0</v>
      </c>
      <c r="J60" s="160">
        <f>0</f>
        <v>0</v>
      </c>
      <c r="K60" s="192">
        <f t="shared" si="15"/>
        <v>0</v>
      </c>
      <c r="L60" s="160">
        <v>0</v>
      </c>
      <c r="M60" s="192">
        <f t="shared" si="16"/>
        <v>0</v>
      </c>
      <c r="N60" s="160">
        <v>0</v>
      </c>
      <c r="O60" s="192">
        <f t="shared" si="17"/>
        <v>0</v>
      </c>
      <c r="P60" s="160">
        <v>0</v>
      </c>
      <c r="Q60" s="192">
        <f t="shared" si="17"/>
        <v>0</v>
      </c>
      <c r="R60" s="160">
        <v>0</v>
      </c>
      <c r="S60" s="192">
        <f t="shared" si="18"/>
        <v>0</v>
      </c>
      <c r="T60" s="202"/>
      <c r="U60" s="203" t="e">
        <f t="shared" si="19"/>
        <v>#DIV/0!</v>
      </c>
      <c r="V60" s="204"/>
      <c r="W60" s="205">
        <f t="shared" ref="W60:X78" si="20">AVERAGE(N60,L60,R60,T60,P60)</f>
        <v>0</v>
      </c>
      <c r="X60" s="206" t="e">
        <f t="shared" si="20"/>
        <v>#DIV/0!</v>
      </c>
    </row>
    <row r="61" spans="1:24" s="1" customFormat="1" ht="15" customHeight="1" x14ac:dyDescent="0.2">
      <c r="A61" s="207" t="s">
        <v>49</v>
      </c>
      <c r="B61" s="156">
        <v>0</v>
      </c>
      <c r="C61" s="191">
        <f t="shared" si="11"/>
        <v>0</v>
      </c>
      <c r="D61" s="156">
        <v>0</v>
      </c>
      <c r="E61" s="192">
        <f t="shared" si="12"/>
        <v>0</v>
      </c>
      <c r="F61" s="160">
        <v>0</v>
      </c>
      <c r="G61" s="192">
        <f t="shared" si="13"/>
        <v>0</v>
      </c>
      <c r="H61" s="160">
        <v>1</v>
      </c>
      <c r="I61" s="192">
        <f t="shared" si="14"/>
        <v>7.1428571428571425E-2</v>
      </c>
      <c r="J61" s="160">
        <f>1</f>
        <v>1</v>
      </c>
      <c r="K61" s="192">
        <f t="shared" si="15"/>
        <v>6.6666666666666666E-2</v>
      </c>
      <c r="L61" s="160">
        <v>1</v>
      </c>
      <c r="M61" s="192">
        <f t="shared" si="16"/>
        <v>7.1428571428571425E-2</v>
      </c>
      <c r="N61" s="160">
        <v>0</v>
      </c>
      <c r="O61" s="192">
        <f t="shared" si="17"/>
        <v>0</v>
      </c>
      <c r="P61" s="160">
        <v>0</v>
      </c>
      <c r="Q61" s="192">
        <f t="shared" si="17"/>
        <v>0</v>
      </c>
      <c r="R61" s="160">
        <v>0</v>
      </c>
      <c r="S61" s="192">
        <f t="shared" si="18"/>
        <v>0</v>
      </c>
      <c r="T61" s="202"/>
      <c r="U61" s="203" t="e">
        <f t="shared" si="19"/>
        <v>#DIV/0!</v>
      </c>
      <c r="V61" s="204"/>
      <c r="W61" s="205">
        <f t="shared" si="20"/>
        <v>0.25</v>
      </c>
      <c r="X61" s="206" t="e">
        <f t="shared" si="20"/>
        <v>#DIV/0!</v>
      </c>
    </row>
    <row r="62" spans="1:24" s="1" customFormat="1" ht="15" customHeight="1" x14ac:dyDescent="0.2">
      <c r="A62" s="207" t="s">
        <v>50</v>
      </c>
      <c r="B62" s="156">
        <v>0</v>
      </c>
      <c r="C62" s="191">
        <f t="shared" si="11"/>
        <v>0</v>
      </c>
      <c r="D62" s="156">
        <v>0</v>
      </c>
      <c r="E62" s="192">
        <f t="shared" si="12"/>
        <v>0</v>
      </c>
      <c r="F62" s="160">
        <v>0</v>
      </c>
      <c r="G62" s="192">
        <f t="shared" si="13"/>
        <v>0</v>
      </c>
      <c r="H62" s="160">
        <v>0</v>
      </c>
      <c r="I62" s="192">
        <f t="shared" si="14"/>
        <v>0</v>
      </c>
      <c r="J62" s="160">
        <f>0</f>
        <v>0</v>
      </c>
      <c r="K62" s="192">
        <f t="shared" si="15"/>
        <v>0</v>
      </c>
      <c r="L62" s="160">
        <v>0</v>
      </c>
      <c r="M62" s="192">
        <f t="shared" si="16"/>
        <v>0</v>
      </c>
      <c r="N62" s="160">
        <v>0</v>
      </c>
      <c r="O62" s="192">
        <f t="shared" si="17"/>
        <v>0</v>
      </c>
      <c r="P62" s="160">
        <v>0</v>
      </c>
      <c r="Q62" s="192">
        <f t="shared" si="17"/>
        <v>0</v>
      </c>
      <c r="R62" s="160">
        <v>0</v>
      </c>
      <c r="S62" s="192">
        <f t="shared" si="18"/>
        <v>0</v>
      </c>
      <c r="T62" s="202"/>
      <c r="U62" s="203" t="e">
        <f t="shared" si="19"/>
        <v>#DIV/0!</v>
      </c>
      <c r="V62" s="204"/>
      <c r="W62" s="205">
        <f t="shared" si="20"/>
        <v>0</v>
      </c>
      <c r="X62" s="206" t="e">
        <f t="shared" si="20"/>
        <v>#DIV/0!</v>
      </c>
    </row>
    <row r="63" spans="1:24" s="1" customFormat="1" ht="15" customHeight="1" x14ac:dyDescent="0.2">
      <c r="A63" s="207" t="s">
        <v>51</v>
      </c>
      <c r="B63" s="156">
        <v>3</v>
      </c>
      <c r="C63" s="191">
        <f t="shared" si="11"/>
        <v>0.21428571428571427</v>
      </c>
      <c r="D63" s="156">
        <v>3</v>
      </c>
      <c r="E63" s="192">
        <f t="shared" si="12"/>
        <v>0.2</v>
      </c>
      <c r="F63" s="160">
        <v>2</v>
      </c>
      <c r="G63" s="192">
        <f t="shared" si="13"/>
        <v>0.14285714285714285</v>
      </c>
      <c r="H63" s="160">
        <v>2</v>
      </c>
      <c r="I63" s="192">
        <f t="shared" si="14"/>
        <v>0.14285714285714285</v>
      </c>
      <c r="J63" s="160">
        <f>2</f>
        <v>2</v>
      </c>
      <c r="K63" s="192">
        <f t="shared" si="15"/>
        <v>0.13333333333333333</v>
      </c>
      <c r="L63" s="160">
        <v>2</v>
      </c>
      <c r="M63" s="192">
        <f t="shared" si="16"/>
        <v>0.14285714285714285</v>
      </c>
      <c r="N63" s="160">
        <v>2</v>
      </c>
      <c r="O63" s="192">
        <f t="shared" si="17"/>
        <v>0.15384615384615385</v>
      </c>
      <c r="P63" s="160">
        <v>2</v>
      </c>
      <c r="Q63" s="192">
        <f t="shared" si="17"/>
        <v>0.15384615384615385</v>
      </c>
      <c r="R63" s="160">
        <v>2</v>
      </c>
      <c r="S63" s="192">
        <f t="shared" si="18"/>
        <v>0.15384615384615385</v>
      </c>
      <c r="T63" s="202"/>
      <c r="U63" s="203" t="e">
        <f t="shared" si="19"/>
        <v>#DIV/0!</v>
      </c>
      <c r="V63" s="204"/>
      <c r="W63" s="205">
        <f t="shared" si="20"/>
        <v>2</v>
      </c>
      <c r="X63" s="206" t="e">
        <f t="shared" si="20"/>
        <v>#DIV/0!</v>
      </c>
    </row>
    <row r="64" spans="1:24" s="1" customFormat="1" ht="15" customHeight="1" x14ac:dyDescent="0.2">
      <c r="A64" s="207" t="s">
        <v>52</v>
      </c>
      <c r="B64" s="156">
        <v>0</v>
      </c>
      <c r="C64" s="191">
        <f t="shared" si="11"/>
        <v>0</v>
      </c>
      <c r="D64" s="156">
        <v>1</v>
      </c>
      <c r="E64" s="192">
        <f t="shared" si="12"/>
        <v>6.6666666666666666E-2</v>
      </c>
      <c r="F64" s="160">
        <v>1</v>
      </c>
      <c r="G64" s="192">
        <f t="shared" si="13"/>
        <v>7.1428571428571425E-2</v>
      </c>
      <c r="H64" s="160">
        <v>1</v>
      </c>
      <c r="I64" s="192">
        <f t="shared" si="14"/>
        <v>7.1428571428571425E-2</v>
      </c>
      <c r="J64" s="160">
        <f>0</f>
        <v>0</v>
      </c>
      <c r="K64" s="192">
        <f t="shared" si="15"/>
        <v>0</v>
      </c>
      <c r="L64" s="160">
        <v>0</v>
      </c>
      <c r="M64" s="192">
        <f t="shared" si="16"/>
        <v>0</v>
      </c>
      <c r="N64" s="160">
        <v>1</v>
      </c>
      <c r="O64" s="192">
        <f t="shared" si="17"/>
        <v>7.6923076923076927E-2</v>
      </c>
      <c r="P64" s="160">
        <v>1</v>
      </c>
      <c r="Q64" s="192">
        <f t="shared" si="17"/>
        <v>7.6923076923076927E-2</v>
      </c>
      <c r="R64" s="160">
        <v>2</v>
      </c>
      <c r="S64" s="192">
        <f t="shared" si="18"/>
        <v>0.15384615384615385</v>
      </c>
      <c r="T64" s="202"/>
      <c r="U64" s="203" t="e">
        <f t="shared" si="19"/>
        <v>#DIV/0!</v>
      </c>
      <c r="V64" s="204"/>
      <c r="W64" s="205">
        <f t="shared" si="20"/>
        <v>1</v>
      </c>
      <c r="X64" s="206" t="e">
        <f t="shared" si="20"/>
        <v>#DIV/0!</v>
      </c>
    </row>
    <row r="65" spans="1:24" s="1" customFormat="1" ht="15" customHeight="1" x14ac:dyDescent="0.2">
      <c r="A65" s="207" t="s">
        <v>53</v>
      </c>
      <c r="B65" s="400"/>
      <c r="C65" s="191">
        <f t="shared" si="11"/>
        <v>0</v>
      </c>
      <c r="D65" s="1223"/>
      <c r="E65" s="1224"/>
      <c r="F65" s="1225"/>
      <c r="G65" s="1224"/>
      <c r="H65" s="162">
        <v>1</v>
      </c>
      <c r="I65" s="192">
        <f t="shared" si="14"/>
        <v>7.1428571428571425E-2</v>
      </c>
      <c r="J65" s="162">
        <f>1</f>
        <v>1</v>
      </c>
      <c r="K65" s="192">
        <f t="shared" si="15"/>
        <v>6.6666666666666666E-2</v>
      </c>
      <c r="L65" s="162">
        <v>1</v>
      </c>
      <c r="M65" s="192">
        <f>L65/M$56</f>
        <v>7.1428571428571425E-2</v>
      </c>
      <c r="N65" s="162">
        <v>1</v>
      </c>
      <c r="O65" s="192">
        <f>N65/O$56</f>
        <v>7.6923076923076927E-2</v>
      </c>
      <c r="P65" s="162">
        <v>1</v>
      </c>
      <c r="Q65" s="192">
        <f>P65/Q$56</f>
        <v>7.6923076923076927E-2</v>
      </c>
      <c r="R65" s="162">
        <v>0</v>
      </c>
      <c r="S65" s="192">
        <f>R65/S$56</f>
        <v>0</v>
      </c>
      <c r="T65" s="202"/>
      <c r="U65" s="203" t="e">
        <f>T65/U$56</f>
        <v>#DIV/0!</v>
      </c>
      <c r="V65" s="204"/>
      <c r="W65" s="205">
        <f t="shared" si="20"/>
        <v>0.75</v>
      </c>
      <c r="X65" s="206" t="e">
        <f t="shared" si="20"/>
        <v>#DIV/0!</v>
      </c>
    </row>
    <row r="66" spans="1:24" s="1" customFormat="1" ht="15" customHeight="1" thickBot="1" x14ac:dyDescent="0.25">
      <c r="A66" s="207" t="s">
        <v>54</v>
      </c>
      <c r="B66" s="158">
        <v>1</v>
      </c>
      <c r="C66" s="724">
        <f t="shared" si="11"/>
        <v>7.1428571428571425E-2</v>
      </c>
      <c r="D66" s="158">
        <v>1</v>
      </c>
      <c r="E66" s="725">
        <f t="shared" si="12"/>
        <v>6.6666666666666666E-2</v>
      </c>
      <c r="F66" s="162">
        <v>1</v>
      </c>
      <c r="G66" s="725">
        <f t="shared" si="13"/>
        <v>7.1428571428571425E-2</v>
      </c>
      <c r="H66" s="162">
        <v>0</v>
      </c>
      <c r="I66" s="725">
        <f t="shared" si="14"/>
        <v>0</v>
      </c>
      <c r="J66" s="162">
        <f>0</f>
        <v>0</v>
      </c>
      <c r="K66" s="725">
        <f t="shared" si="15"/>
        <v>0</v>
      </c>
      <c r="L66" s="162">
        <v>0</v>
      </c>
      <c r="M66" s="725">
        <f>L66/M$56</f>
        <v>0</v>
      </c>
      <c r="N66" s="162">
        <v>0</v>
      </c>
      <c r="O66" s="725">
        <f>N66/O$56</f>
        <v>0</v>
      </c>
      <c r="P66" s="162">
        <v>0</v>
      </c>
      <c r="Q66" s="725">
        <f>P66/Q$56</f>
        <v>0</v>
      </c>
      <c r="R66" s="162">
        <v>0</v>
      </c>
      <c r="S66" s="725">
        <f>R66/S$56</f>
        <v>0</v>
      </c>
      <c r="T66" s="193"/>
      <c r="U66" s="726" t="e">
        <f>T66/U$56</f>
        <v>#DIV/0!</v>
      </c>
      <c r="V66" s="204"/>
      <c r="W66" s="727">
        <f t="shared" si="20"/>
        <v>0</v>
      </c>
      <c r="X66" s="728" t="e">
        <f t="shared" si="20"/>
        <v>#DIV/0!</v>
      </c>
    </row>
    <row r="67" spans="1:24" s="1" customFormat="1" ht="18.75" customHeight="1" x14ac:dyDescent="0.2">
      <c r="A67" s="848" t="s">
        <v>55</v>
      </c>
      <c r="B67" s="912"/>
      <c r="C67" s="732"/>
      <c r="D67" s="912"/>
      <c r="E67" s="733"/>
      <c r="F67" s="914"/>
      <c r="G67" s="733"/>
      <c r="H67" s="914"/>
      <c r="I67" s="733"/>
      <c r="J67" s="914"/>
      <c r="K67" s="733"/>
      <c r="L67" s="914"/>
      <c r="M67" s="733"/>
      <c r="N67" s="914"/>
      <c r="O67" s="733"/>
      <c r="P67" s="914"/>
      <c r="Q67" s="733"/>
      <c r="R67" s="914"/>
      <c r="S67" s="733"/>
      <c r="T67" s="734"/>
      <c r="U67" s="735"/>
      <c r="V67" s="204"/>
      <c r="W67" s="736"/>
      <c r="X67" s="737"/>
    </row>
    <row r="68" spans="1:24" s="1" customFormat="1" ht="15" customHeight="1" x14ac:dyDescent="0.2">
      <c r="A68" s="200" t="s">
        <v>56</v>
      </c>
      <c r="B68" s="132">
        <v>10</v>
      </c>
      <c r="C68" s="191">
        <f>B68/C$56</f>
        <v>0.7142857142857143</v>
      </c>
      <c r="D68" s="132">
        <v>10</v>
      </c>
      <c r="E68" s="192">
        <f>D68/E$56</f>
        <v>0.66666666666666663</v>
      </c>
      <c r="F68" s="48">
        <v>11</v>
      </c>
      <c r="G68" s="192">
        <f>F68/G$56</f>
        <v>0.7857142857142857</v>
      </c>
      <c r="H68" s="48">
        <v>11</v>
      </c>
      <c r="I68" s="192">
        <f>H68/I$56</f>
        <v>0.7857142857142857</v>
      </c>
      <c r="J68" s="48">
        <f>2+10</f>
        <v>12</v>
      </c>
      <c r="K68" s="192">
        <f>J68/K$56</f>
        <v>0.8</v>
      </c>
      <c r="L68" s="48">
        <v>11</v>
      </c>
      <c r="M68" s="192">
        <f>L68/M$56</f>
        <v>0.7857142857142857</v>
      </c>
      <c r="N68" s="48">
        <v>11</v>
      </c>
      <c r="O68" s="192">
        <f>N68/O$56</f>
        <v>0.84615384615384615</v>
      </c>
      <c r="P68" s="48">
        <v>11</v>
      </c>
      <c r="Q68" s="192">
        <f>P68/Q$56</f>
        <v>0.84615384615384615</v>
      </c>
      <c r="R68" s="48">
        <v>10</v>
      </c>
      <c r="S68" s="192">
        <f>R68/S$56</f>
        <v>0.76923076923076927</v>
      </c>
      <c r="T68" s="209"/>
      <c r="U68" s="203" t="e">
        <f>T68/U$56</f>
        <v>#DIV/0!</v>
      </c>
      <c r="V68" s="204"/>
      <c r="W68" s="205">
        <f t="shared" si="20"/>
        <v>10.75</v>
      </c>
      <c r="X68" s="206" t="e">
        <f t="shared" si="20"/>
        <v>#DIV/0!</v>
      </c>
    </row>
    <row r="69" spans="1:24" s="1" customFormat="1" ht="15" customHeight="1" thickBot="1" x14ac:dyDescent="0.25">
      <c r="A69" s="207" t="s">
        <v>57</v>
      </c>
      <c r="B69" s="910">
        <v>4</v>
      </c>
      <c r="C69" s="724">
        <f>B69/C$56</f>
        <v>0.2857142857142857</v>
      </c>
      <c r="D69" s="910">
        <v>5</v>
      </c>
      <c r="E69" s="725">
        <f>D69/E$56</f>
        <v>0.33333333333333331</v>
      </c>
      <c r="F69" s="911">
        <v>3</v>
      </c>
      <c r="G69" s="725">
        <f>F69/G$56</f>
        <v>0.21428571428571427</v>
      </c>
      <c r="H69" s="911">
        <v>3</v>
      </c>
      <c r="I69" s="725">
        <f>H69/I$56</f>
        <v>0.21428571428571427</v>
      </c>
      <c r="J69" s="911">
        <f>3</f>
        <v>3</v>
      </c>
      <c r="K69" s="725">
        <f>J69/K$56</f>
        <v>0.2</v>
      </c>
      <c r="L69" s="911">
        <v>3</v>
      </c>
      <c r="M69" s="725">
        <f>L69/M$56</f>
        <v>0.21428571428571427</v>
      </c>
      <c r="N69" s="911">
        <v>2</v>
      </c>
      <c r="O69" s="725">
        <f>N69/O$56</f>
        <v>0.15384615384615385</v>
      </c>
      <c r="P69" s="911">
        <v>2</v>
      </c>
      <c r="Q69" s="725">
        <f>P69/Q$56</f>
        <v>0.15384615384615385</v>
      </c>
      <c r="R69" s="911">
        <v>3</v>
      </c>
      <c r="S69" s="725">
        <f>R69/S$56</f>
        <v>0.23076923076923078</v>
      </c>
      <c r="T69" s="730"/>
      <c r="U69" s="726" t="e">
        <f>T69/U$56</f>
        <v>#DIV/0!</v>
      </c>
      <c r="V69" s="204"/>
      <c r="W69" s="727">
        <f t="shared" si="20"/>
        <v>2.5</v>
      </c>
      <c r="X69" s="728" t="e">
        <f t="shared" si="20"/>
        <v>#DIV/0!</v>
      </c>
    </row>
    <row r="70" spans="1:24" s="1" customFormat="1" ht="18.75" customHeight="1" x14ac:dyDescent="0.2">
      <c r="A70" s="848" t="s">
        <v>58</v>
      </c>
      <c r="B70" s="917"/>
      <c r="C70" s="739"/>
      <c r="D70" s="917"/>
      <c r="E70" s="740"/>
      <c r="F70" s="918"/>
      <c r="G70" s="740"/>
      <c r="H70" s="918"/>
      <c r="I70" s="740"/>
      <c r="J70" s="918"/>
      <c r="K70" s="740"/>
      <c r="L70" s="918"/>
      <c r="M70" s="740"/>
      <c r="N70" s="918"/>
      <c r="O70" s="740"/>
      <c r="P70" s="918"/>
      <c r="Q70" s="740"/>
      <c r="R70" s="918"/>
      <c r="S70" s="740"/>
      <c r="T70" s="741"/>
      <c r="U70" s="742"/>
      <c r="V70" s="204"/>
      <c r="W70" s="736"/>
      <c r="X70" s="737"/>
    </row>
    <row r="71" spans="1:24" s="1" customFormat="1" ht="15" customHeight="1" x14ac:dyDescent="0.2">
      <c r="A71" s="200" t="s">
        <v>59</v>
      </c>
      <c r="B71" s="133">
        <v>11</v>
      </c>
      <c r="C71" s="191">
        <f>B71/C$56</f>
        <v>0.7857142857142857</v>
      </c>
      <c r="D71" s="133">
        <v>11</v>
      </c>
      <c r="E71" s="192">
        <f>D71/E$56</f>
        <v>0.73333333333333328</v>
      </c>
      <c r="F71" s="134">
        <v>11</v>
      </c>
      <c r="G71" s="192">
        <f>F71/G$56</f>
        <v>0.7857142857142857</v>
      </c>
      <c r="H71" s="134">
        <v>12</v>
      </c>
      <c r="I71" s="192">
        <f>H71/I$56</f>
        <v>0.8571428571428571</v>
      </c>
      <c r="J71" s="134">
        <f>1+11</f>
        <v>12</v>
      </c>
      <c r="K71" s="192">
        <f>J71/K$56</f>
        <v>0.8</v>
      </c>
      <c r="L71" s="134">
        <v>12</v>
      </c>
      <c r="M71" s="192">
        <f>L71/M$56</f>
        <v>0.8571428571428571</v>
      </c>
      <c r="N71" s="134">
        <v>10</v>
      </c>
      <c r="O71" s="192">
        <f>N71/O$56</f>
        <v>0.76923076923076927</v>
      </c>
      <c r="P71" s="134">
        <v>10</v>
      </c>
      <c r="Q71" s="192">
        <f>P71/Q$56</f>
        <v>0.76923076923076927</v>
      </c>
      <c r="R71" s="134">
        <v>10</v>
      </c>
      <c r="S71" s="192">
        <f>R71/S$56</f>
        <v>0.76923076923076927</v>
      </c>
      <c r="T71" s="211"/>
      <c r="U71" s="203" t="e">
        <f>T71/U$56</f>
        <v>#DIV/0!</v>
      </c>
      <c r="V71" s="204"/>
      <c r="W71" s="205">
        <f t="shared" si="20"/>
        <v>10.5</v>
      </c>
      <c r="X71" s="206" t="e">
        <f t="shared" si="20"/>
        <v>#DIV/0!</v>
      </c>
    </row>
    <row r="72" spans="1:24" s="1" customFormat="1" ht="15" customHeight="1" x14ac:dyDescent="0.2">
      <c r="A72" s="200" t="s">
        <v>60</v>
      </c>
      <c r="B72" s="133">
        <v>2</v>
      </c>
      <c r="C72" s="191">
        <f>B72/C$56</f>
        <v>0.14285714285714285</v>
      </c>
      <c r="D72" s="133">
        <v>4</v>
      </c>
      <c r="E72" s="192">
        <f>D72/E$56</f>
        <v>0.26666666666666666</v>
      </c>
      <c r="F72" s="134">
        <v>3</v>
      </c>
      <c r="G72" s="192">
        <f>F72/G$56</f>
        <v>0.21428571428571427</v>
      </c>
      <c r="H72" s="134">
        <v>2</v>
      </c>
      <c r="I72" s="192">
        <f>H72/I$56</f>
        <v>0.14285714285714285</v>
      </c>
      <c r="J72" s="134">
        <f>0+2</f>
        <v>2</v>
      </c>
      <c r="K72" s="192">
        <f>J72/K$56</f>
        <v>0.13333333333333333</v>
      </c>
      <c r="L72" s="134">
        <v>2</v>
      </c>
      <c r="M72" s="192">
        <f>L72/M$56</f>
        <v>0.14285714285714285</v>
      </c>
      <c r="N72" s="134">
        <v>1</v>
      </c>
      <c r="O72" s="192">
        <f>N72/O$56</f>
        <v>7.6923076923076927E-2</v>
      </c>
      <c r="P72" s="134">
        <v>2</v>
      </c>
      <c r="Q72" s="192">
        <f>P72/Q$56</f>
        <v>0.15384615384615385</v>
      </c>
      <c r="R72" s="134">
        <v>2</v>
      </c>
      <c r="S72" s="192">
        <f>R72/S$56</f>
        <v>0.15384615384615385</v>
      </c>
      <c r="T72" s="211"/>
      <c r="U72" s="203" t="e">
        <f>T72/U$56</f>
        <v>#DIV/0!</v>
      </c>
      <c r="V72" s="204"/>
      <c r="W72" s="205">
        <f t="shared" si="20"/>
        <v>1.75</v>
      </c>
      <c r="X72" s="206" t="e">
        <f t="shared" si="20"/>
        <v>#DIV/0!</v>
      </c>
    </row>
    <row r="73" spans="1:24" s="1" customFormat="1" ht="15" customHeight="1" thickBot="1" x14ac:dyDescent="0.25">
      <c r="A73" s="207" t="s">
        <v>61</v>
      </c>
      <c r="B73" s="910">
        <v>1</v>
      </c>
      <c r="C73" s="724">
        <f>B73/C$56</f>
        <v>7.1428571428571425E-2</v>
      </c>
      <c r="D73" s="910">
        <v>0</v>
      </c>
      <c r="E73" s="725">
        <f>D73/E$56</f>
        <v>0</v>
      </c>
      <c r="F73" s="911">
        <v>0</v>
      </c>
      <c r="G73" s="725">
        <f>F73/G$56</f>
        <v>0</v>
      </c>
      <c r="H73" s="911">
        <v>0</v>
      </c>
      <c r="I73" s="725">
        <f>H73/I$56</f>
        <v>0</v>
      </c>
      <c r="J73" s="911">
        <f>1</f>
        <v>1</v>
      </c>
      <c r="K73" s="725">
        <f>J73/K$56</f>
        <v>6.6666666666666666E-2</v>
      </c>
      <c r="L73" s="911">
        <v>0</v>
      </c>
      <c r="M73" s="725">
        <f>L73/M$56</f>
        <v>0</v>
      </c>
      <c r="N73" s="911">
        <v>2</v>
      </c>
      <c r="O73" s="725">
        <f>N73/O$56</f>
        <v>0.15384615384615385</v>
      </c>
      <c r="P73" s="911">
        <v>1</v>
      </c>
      <c r="Q73" s="725">
        <f>P73/Q$56</f>
        <v>7.6923076923076927E-2</v>
      </c>
      <c r="R73" s="911">
        <v>1</v>
      </c>
      <c r="S73" s="725">
        <f>R73/S$56</f>
        <v>7.6923076923076927E-2</v>
      </c>
      <c r="T73" s="730"/>
      <c r="U73" s="726" t="e">
        <f>T73/U$56</f>
        <v>#DIV/0!</v>
      </c>
      <c r="V73" s="204"/>
      <c r="W73" s="727">
        <f t="shared" si="20"/>
        <v>1</v>
      </c>
      <c r="X73" s="728" t="e">
        <f t="shared" si="20"/>
        <v>#DIV/0!</v>
      </c>
    </row>
    <row r="74" spans="1:24" s="1" customFormat="1" ht="18.75" customHeight="1" x14ac:dyDescent="0.2">
      <c r="A74" s="848" t="s">
        <v>62</v>
      </c>
      <c r="B74" s="917"/>
      <c r="C74" s="739"/>
      <c r="D74" s="917"/>
      <c r="E74" s="740"/>
      <c r="F74" s="918"/>
      <c r="G74" s="740"/>
      <c r="H74" s="918"/>
      <c r="I74" s="740"/>
      <c r="J74" s="918"/>
      <c r="K74" s="740"/>
      <c r="L74" s="918"/>
      <c r="M74" s="740"/>
      <c r="N74" s="918"/>
      <c r="O74" s="740"/>
      <c r="P74" s="918"/>
      <c r="Q74" s="740"/>
      <c r="R74" s="918"/>
      <c r="S74" s="740"/>
      <c r="T74" s="741"/>
      <c r="U74" s="742"/>
      <c r="V74" s="204"/>
      <c r="W74" s="736"/>
      <c r="X74" s="737"/>
    </row>
    <row r="75" spans="1:24" s="1" customFormat="1" ht="15" customHeight="1" x14ac:dyDescent="0.2">
      <c r="A75" s="200" t="s">
        <v>63</v>
      </c>
      <c r="B75" s="133">
        <v>13</v>
      </c>
      <c r="C75" s="191">
        <f>B75/C$56</f>
        <v>0.9285714285714286</v>
      </c>
      <c r="D75" s="133">
        <v>15</v>
      </c>
      <c r="E75" s="192">
        <f>D75/E$56</f>
        <v>1</v>
      </c>
      <c r="F75" s="134">
        <v>14</v>
      </c>
      <c r="G75" s="192">
        <f>F75/G$56</f>
        <v>1</v>
      </c>
      <c r="H75" s="134">
        <v>14</v>
      </c>
      <c r="I75" s="192">
        <f>H75/I$56</f>
        <v>1</v>
      </c>
      <c r="J75" s="134">
        <f>2+13</f>
        <v>15</v>
      </c>
      <c r="K75" s="192">
        <f>J75/K$56</f>
        <v>1</v>
      </c>
      <c r="L75" s="134">
        <v>14</v>
      </c>
      <c r="M75" s="192">
        <f>L75/M$56</f>
        <v>1</v>
      </c>
      <c r="N75" s="134">
        <v>13</v>
      </c>
      <c r="O75" s="192">
        <f>N75/O$56</f>
        <v>1</v>
      </c>
      <c r="P75" s="134">
        <v>13</v>
      </c>
      <c r="Q75" s="192">
        <f>P75/Q$56</f>
        <v>1</v>
      </c>
      <c r="R75" s="134">
        <v>13</v>
      </c>
      <c r="S75" s="192">
        <f>R75/S$56</f>
        <v>1</v>
      </c>
      <c r="T75" s="211"/>
      <c r="U75" s="203" t="e">
        <f>T75/U$56</f>
        <v>#DIV/0!</v>
      </c>
      <c r="V75" s="204"/>
      <c r="W75" s="205">
        <f t="shared" si="20"/>
        <v>13.25</v>
      </c>
      <c r="X75" s="206" t="e">
        <f t="shared" si="20"/>
        <v>#DIV/0!</v>
      </c>
    </row>
    <row r="76" spans="1:24" s="1" customFormat="1" ht="15" customHeight="1" x14ac:dyDescent="0.2">
      <c r="A76" s="200" t="s">
        <v>64</v>
      </c>
      <c r="B76" s="133">
        <v>0</v>
      </c>
      <c r="C76" s="191">
        <f>B76/C$56</f>
        <v>0</v>
      </c>
      <c r="D76" s="133">
        <v>0</v>
      </c>
      <c r="E76" s="192">
        <f>D76/E$56</f>
        <v>0</v>
      </c>
      <c r="F76" s="134">
        <v>0</v>
      </c>
      <c r="G76" s="192">
        <f>F76/G$56</f>
        <v>0</v>
      </c>
      <c r="H76" s="134">
        <v>0</v>
      </c>
      <c r="I76" s="192">
        <f>H76/I$56</f>
        <v>0</v>
      </c>
      <c r="J76" s="134">
        <f>0</f>
        <v>0</v>
      </c>
      <c r="K76" s="192">
        <f>J76/K$56</f>
        <v>0</v>
      </c>
      <c r="L76" s="134">
        <v>0</v>
      </c>
      <c r="M76" s="192">
        <f>L76/M$56</f>
        <v>0</v>
      </c>
      <c r="N76" s="134">
        <v>0</v>
      </c>
      <c r="O76" s="192">
        <f>N76/O$56</f>
        <v>0</v>
      </c>
      <c r="P76" s="134">
        <v>0</v>
      </c>
      <c r="Q76" s="192">
        <f>P76/Q$56</f>
        <v>0</v>
      </c>
      <c r="R76" s="134">
        <v>0</v>
      </c>
      <c r="S76" s="192">
        <f>R76/S$56</f>
        <v>0</v>
      </c>
      <c r="T76" s="211"/>
      <c r="U76" s="203" t="e">
        <f>T76/U$56</f>
        <v>#DIV/0!</v>
      </c>
      <c r="V76" s="204"/>
      <c r="W76" s="205">
        <f t="shared" si="20"/>
        <v>0</v>
      </c>
      <c r="X76" s="206" t="e">
        <f t="shared" si="20"/>
        <v>#DIV/0!</v>
      </c>
    </row>
    <row r="77" spans="1:24" s="1" customFormat="1" ht="15" customHeight="1" x14ac:dyDescent="0.2">
      <c r="A77" s="200" t="s">
        <v>65</v>
      </c>
      <c r="B77" s="133">
        <v>1</v>
      </c>
      <c r="C77" s="191">
        <f>B77/C$56</f>
        <v>7.1428571428571425E-2</v>
      </c>
      <c r="D77" s="133">
        <v>0</v>
      </c>
      <c r="E77" s="192">
        <f>D77/E$56</f>
        <v>0</v>
      </c>
      <c r="F77" s="134">
        <v>0</v>
      </c>
      <c r="G77" s="192">
        <f>F77/G$56</f>
        <v>0</v>
      </c>
      <c r="H77" s="134">
        <v>0</v>
      </c>
      <c r="I77" s="192">
        <f>H77/I$56</f>
        <v>0</v>
      </c>
      <c r="J77" s="134">
        <f>0</f>
        <v>0</v>
      </c>
      <c r="K77" s="192">
        <f>J77/K$56</f>
        <v>0</v>
      </c>
      <c r="L77" s="134">
        <v>0</v>
      </c>
      <c r="M77" s="192">
        <f>L77/M$56</f>
        <v>0</v>
      </c>
      <c r="N77" s="134">
        <v>0</v>
      </c>
      <c r="O77" s="192">
        <f>N77/O$56</f>
        <v>0</v>
      </c>
      <c r="P77" s="134">
        <v>0</v>
      </c>
      <c r="Q77" s="192">
        <f>P77/Q$56</f>
        <v>0</v>
      </c>
      <c r="R77" s="134">
        <v>0</v>
      </c>
      <c r="S77" s="192">
        <f>R77/S$56</f>
        <v>0</v>
      </c>
      <c r="T77" s="211"/>
      <c r="U77" s="203" t="e">
        <f>T77/U$56</f>
        <v>#DIV/0!</v>
      </c>
      <c r="V77" s="195"/>
      <c r="W77" s="205">
        <f t="shared" si="20"/>
        <v>0</v>
      </c>
      <c r="X77" s="206" t="e">
        <f t="shared" si="20"/>
        <v>#DIV/0!</v>
      </c>
    </row>
    <row r="78" spans="1:24" s="1" customFormat="1" ht="15" customHeight="1" thickBot="1" x14ac:dyDescent="0.25">
      <c r="A78" s="212" t="s">
        <v>66</v>
      </c>
      <c r="B78" s="159">
        <v>0</v>
      </c>
      <c r="C78" s="214">
        <f>B78/C$56</f>
        <v>0</v>
      </c>
      <c r="D78" s="159">
        <v>0</v>
      </c>
      <c r="E78" s="215">
        <f>D78/E$56</f>
        <v>0</v>
      </c>
      <c r="F78" s="163">
        <v>0</v>
      </c>
      <c r="G78" s="215">
        <f>F78/G$56</f>
        <v>0</v>
      </c>
      <c r="H78" s="163">
        <v>0</v>
      </c>
      <c r="I78" s="215">
        <f>H78/I$56</f>
        <v>0</v>
      </c>
      <c r="J78" s="163">
        <f>0</f>
        <v>0</v>
      </c>
      <c r="K78" s="215">
        <f>J78/K$56</f>
        <v>0</v>
      </c>
      <c r="L78" s="163">
        <v>0</v>
      </c>
      <c r="M78" s="215">
        <f>L78/M$56</f>
        <v>0</v>
      </c>
      <c r="N78" s="163">
        <v>0</v>
      </c>
      <c r="O78" s="215">
        <f>N78/O$56</f>
        <v>0</v>
      </c>
      <c r="P78" s="163">
        <v>0</v>
      </c>
      <c r="Q78" s="215">
        <f>P78/Q$56</f>
        <v>0</v>
      </c>
      <c r="R78" s="163">
        <v>0</v>
      </c>
      <c r="S78" s="215">
        <f>R78/S$56</f>
        <v>0</v>
      </c>
      <c r="T78" s="217"/>
      <c r="U78" s="218" t="e">
        <f>T78/U$56</f>
        <v>#DIV/0!</v>
      </c>
      <c r="V78" s="195"/>
      <c r="W78" s="219">
        <f t="shared" si="20"/>
        <v>0</v>
      </c>
      <c r="X78" s="220" t="e">
        <f t="shared" si="20"/>
        <v>#DIV/0!</v>
      </c>
    </row>
    <row r="79" spans="1:24" ht="13.5" thickTop="1" x14ac:dyDescent="0.2">
      <c r="A79" s="743" t="s">
        <v>248</v>
      </c>
    </row>
    <row r="80" spans="1:24" x14ac:dyDescent="0.2">
      <c r="A80" s="1"/>
      <c r="H80" s="65" t="s">
        <v>19</v>
      </c>
      <c r="J80" s="65" t="s">
        <v>19</v>
      </c>
      <c r="L80" s="65" t="s">
        <v>19</v>
      </c>
      <c r="N80" s="65" t="s">
        <v>19</v>
      </c>
      <c r="P80" s="65" t="s">
        <v>19</v>
      </c>
      <c r="R80" s="65" t="s">
        <v>19</v>
      </c>
      <c r="T80" s="65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x14ac:dyDescent="0.2">
      <c r="A84" s="1"/>
    </row>
    <row r="85" spans="1:1" x14ac:dyDescent="0.2">
      <c r="A85" s="1"/>
    </row>
    <row r="86" spans="1:1" x14ac:dyDescent="0.2">
      <c r="A86" s="1"/>
    </row>
    <row r="87" spans="1:1" x14ac:dyDescent="0.2">
      <c r="A87" s="1"/>
    </row>
    <row r="88" spans="1:1" x14ac:dyDescent="0.2">
      <c r="A88" s="1"/>
    </row>
    <row r="89" spans="1:1" x14ac:dyDescent="0.2">
      <c r="A89" s="1"/>
    </row>
    <row r="90" spans="1:1" x14ac:dyDescent="0.2">
      <c r="A90" s="1"/>
    </row>
    <row r="91" spans="1:1" x14ac:dyDescent="0.2">
      <c r="A91" s="1"/>
    </row>
    <row r="92" spans="1:1" x14ac:dyDescent="0.2">
      <c r="A92" s="1"/>
    </row>
    <row r="93" spans="1:1" x14ac:dyDescent="0.2">
      <c r="A93" s="1"/>
    </row>
    <row r="94" spans="1:1" x14ac:dyDescent="0.2">
      <c r="A94" s="1"/>
    </row>
    <row r="95" spans="1:1" x14ac:dyDescent="0.2">
      <c r="A95" s="1"/>
    </row>
    <row r="96" spans="1:1" x14ac:dyDescent="0.2">
      <c r="A96" s="1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x14ac:dyDescent="0.2">
      <c r="A100" s="1"/>
    </row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x14ac:dyDescent="0.2">
      <c r="A107" s="1"/>
    </row>
    <row r="108" spans="1:1" x14ac:dyDescent="0.2">
      <c r="A108" s="1"/>
    </row>
    <row r="109" spans="1:1" x14ac:dyDescent="0.2">
      <c r="A109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x14ac:dyDescent="0.2">
      <c r="A120" s="1"/>
    </row>
    <row r="121" spans="1:1" x14ac:dyDescent="0.2">
      <c r="A121" s="1"/>
    </row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x14ac:dyDescent="0.2">
      <c r="A128" s="1"/>
    </row>
    <row r="129" spans="1:1" x14ac:dyDescent="0.2">
      <c r="A129" s="1"/>
    </row>
    <row r="130" spans="1:1" x14ac:dyDescent="0.2">
      <c r="A130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x14ac:dyDescent="0.2">
      <c r="A152" s="1"/>
    </row>
    <row r="153" spans="1:1" x14ac:dyDescent="0.2">
      <c r="A153" s="1"/>
    </row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  <row r="177" spans="1:1" x14ac:dyDescent="0.2">
      <c r="A177" s="1"/>
    </row>
    <row r="178" spans="1:1" x14ac:dyDescent="0.2">
      <c r="A178" s="1"/>
    </row>
    <row r="179" spans="1:1" x14ac:dyDescent="0.2">
      <c r="A179" s="1"/>
    </row>
    <row r="180" spans="1:1" x14ac:dyDescent="0.2">
      <c r="A180" s="1"/>
    </row>
    <row r="181" spans="1:1" x14ac:dyDescent="0.2">
      <c r="A181" s="1"/>
    </row>
    <row r="182" spans="1:1" x14ac:dyDescent="0.2">
      <c r="A182" s="1"/>
    </row>
    <row r="183" spans="1:1" x14ac:dyDescent="0.2">
      <c r="A183" s="1"/>
    </row>
    <row r="184" spans="1:1" x14ac:dyDescent="0.2">
      <c r="A184" s="1"/>
    </row>
    <row r="185" spans="1:1" x14ac:dyDescent="0.2">
      <c r="A185" s="1"/>
    </row>
    <row r="186" spans="1:1" x14ac:dyDescent="0.2">
      <c r="A186" s="1"/>
    </row>
    <row r="187" spans="1:1" x14ac:dyDescent="0.2">
      <c r="A187" s="1"/>
    </row>
    <row r="188" spans="1:1" x14ac:dyDescent="0.2">
      <c r="A188" s="1"/>
    </row>
    <row r="189" spans="1:1" x14ac:dyDescent="0.2">
      <c r="A189" s="1"/>
    </row>
    <row r="190" spans="1:1" x14ac:dyDescent="0.2">
      <c r="A190" s="1"/>
    </row>
    <row r="191" spans="1:1" x14ac:dyDescent="0.2">
      <c r="A191" s="1"/>
    </row>
    <row r="192" spans="1:1" x14ac:dyDescent="0.2">
      <c r="A192" s="1"/>
    </row>
    <row r="193" spans="1:1" x14ac:dyDescent="0.2">
      <c r="A193" s="1"/>
    </row>
    <row r="194" spans="1:1" x14ac:dyDescent="0.2">
      <c r="A194" s="1"/>
    </row>
    <row r="195" spans="1:1" x14ac:dyDescent="0.2">
      <c r="A195" s="1"/>
    </row>
    <row r="196" spans="1:1" x14ac:dyDescent="0.2">
      <c r="A196" s="1"/>
    </row>
    <row r="197" spans="1:1" x14ac:dyDescent="0.2">
      <c r="A197" s="1"/>
    </row>
    <row r="198" spans="1:1" x14ac:dyDescent="0.2">
      <c r="A198" s="1"/>
    </row>
    <row r="199" spans="1:1" x14ac:dyDescent="0.2">
      <c r="A199" s="1"/>
    </row>
    <row r="200" spans="1:1" x14ac:dyDescent="0.2">
      <c r="A200" s="1"/>
    </row>
    <row r="201" spans="1:1" x14ac:dyDescent="0.2">
      <c r="A201" s="1"/>
    </row>
    <row r="202" spans="1:1" x14ac:dyDescent="0.2">
      <c r="A202" s="1"/>
    </row>
    <row r="203" spans="1:1" x14ac:dyDescent="0.2">
      <c r="A203" s="1"/>
    </row>
    <row r="204" spans="1:1" x14ac:dyDescent="0.2">
      <c r="A204" s="1"/>
    </row>
    <row r="205" spans="1:1" x14ac:dyDescent="0.2">
      <c r="A205" s="1"/>
    </row>
    <row r="206" spans="1:1" x14ac:dyDescent="0.2">
      <c r="A206" s="1"/>
    </row>
    <row r="207" spans="1:1" x14ac:dyDescent="0.2">
      <c r="A207" s="1"/>
    </row>
    <row r="208" spans="1:1" x14ac:dyDescent="0.2">
      <c r="A208" s="1"/>
    </row>
    <row r="209" spans="1:1" x14ac:dyDescent="0.2">
      <c r="A209" s="1"/>
    </row>
    <row r="210" spans="1:1" x14ac:dyDescent="0.2">
      <c r="A210" s="1"/>
    </row>
    <row r="211" spans="1:1" x14ac:dyDescent="0.2">
      <c r="A211" s="1"/>
    </row>
    <row r="212" spans="1:1" x14ac:dyDescent="0.2">
      <c r="A212" s="1"/>
    </row>
    <row r="213" spans="1:1" x14ac:dyDescent="0.2">
      <c r="A213" s="1"/>
    </row>
    <row r="214" spans="1:1" x14ac:dyDescent="0.2">
      <c r="A214" s="1"/>
    </row>
    <row r="215" spans="1:1" x14ac:dyDescent="0.2">
      <c r="A215" s="1"/>
    </row>
    <row r="216" spans="1:1" x14ac:dyDescent="0.2">
      <c r="A216" s="1"/>
    </row>
    <row r="217" spans="1:1" x14ac:dyDescent="0.2">
      <c r="A217" s="1"/>
    </row>
    <row r="218" spans="1:1" x14ac:dyDescent="0.2">
      <c r="A218" s="1"/>
    </row>
    <row r="219" spans="1:1" x14ac:dyDescent="0.2">
      <c r="A219" s="1"/>
    </row>
    <row r="220" spans="1:1" x14ac:dyDescent="0.2">
      <c r="A220" s="1"/>
    </row>
    <row r="221" spans="1:1" x14ac:dyDescent="0.2">
      <c r="A221" s="1"/>
    </row>
    <row r="222" spans="1:1" x14ac:dyDescent="0.2">
      <c r="A222" s="1"/>
    </row>
    <row r="223" spans="1:1" x14ac:dyDescent="0.2">
      <c r="A223" s="1"/>
    </row>
    <row r="224" spans="1:1" x14ac:dyDescent="0.2">
      <c r="A224" s="1"/>
    </row>
    <row r="225" spans="1:1" x14ac:dyDescent="0.2">
      <c r="A225" s="1"/>
    </row>
    <row r="226" spans="1:1" x14ac:dyDescent="0.2">
      <c r="A226" s="1"/>
    </row>
    <row r="227" spans="1:1" x14ac:dyDescent="0.2">
      <c r="A227" s="1"/>
    </row>
    <row r="228" spans="1:1" x14ac:dyDescent="0.2">
      <c r="A228" s="1"/>
    </row>
    <row r="229" spans="1:1" x14ac:dyDescent="0.2">
      <c r="A229" s="1"/>
    </row>
    <row r="230" spans="1:1" x14ac:dyDescent="0.2">
      <c r="A230" s="1"/>
    </row>
    <row r="231" spans="1:1" x14ac:dyDescent="0.2">
      <c r="A231" s="1"/>
    </row>
    <row r="232" spans="1:1" x14ac:dyDescent="0.2">
      <c r="A232" s="1"/>
    </row>
    <row r="233" spans="1:1" x14ac:dyDescent="0.2">
      <c r="A233" s="1"/>
    </row>
    <row r="234" spans="1:1" x14ac:dyDescent="0.2">
      <c r="A234" s="1"/>
    </row>
    <row r="235" spans="1:1" x14ac:dyDescent="0.2">
      <c r="A235" s="1"/>
    </row>
    <row r="236" spans="1:1" x14ac:dyDescent="0.2">
      <c r="A236" s="1"/>
    </row>
    <row r="237" spans="1:1" x14ac:dyDescent="0.2">
      <c r="A237" s="1"/>
    </row>
    <row r="238" spans="1:1" x14ac:dyDescent="0.2">
      <c r="A238" s="1"/>
    </row>
    <row r="239" spans="1:1" x14ac:dyDescent="0.2">
      <c r="A239" s="1"/>
    </row>
    <row r="240" spans="1:1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6" spans="1:1" x14ac:dyDescent="0.2">
      <c r="A296" s="1"/>
    </row>
    <row r="297" spans="1:1" x14ac:dyDescent="0.2">
      <c r="A297" s="1"/>
    </row>
    <row r="298" spans="1:1" x14ac:dyDescent="0.2">
      <c r="A298" s="1"/>
    </row>
    <row r="299" spans="1:1" x14ac:dyDescent="0.2">
      <c r="A299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  <row r="303" spans="1:1" x14ac:dyDescent="0.2">
      <c r="A303" s="1"/>
    </row>
    <row r="304" spans="1:1" x14ac:dyDescent="0.2">
      <c r="A304" s="1"/>
    </row>
    <row r="305" spans="1:1" x14ac:dyDescent="0.2">
      <c r="A305" s="1"/>
    </row>
    <row r="306" spans="1:1" x14ac:dyDescent="0.2">
      <c r="A306" s="1"/>
    </row>
    <row r="307" spans="1:1" x14ac:dyDescent="0.2">
      <c r="A307" s="1"/>
    </row>
    <row r="308" spans="1:1" x14ac:dyDescent="0.2">
      <c r="A308" s="1"/>
    </row>
    <row r="309" spans="1:1" x14ac:dyDescent="0.2">
      <c r="A309" s="1"/>
    </row>
    <row r="310" spans="1:1" x14ac:dyDescent="0.2">
      <c r="A310" s="1"/>
    </row>
    <row r="311" spans="1:1" x14ac:dyDescent="0.2">
      <c r="A311" s="1"/>
    </row>
    <row r="312" spans="1:1" x14ac:dyDescent="0.2">
      <c r="A312" s="1"/>
    </row>
    <row r="313" spans="1:1" x14ac:dyDescent="0.2">
      <c r="A313" s="1"/>
    </row>
    <row r="314" spans="1:1" x14ac:dyDescent="0.2">
      <c r="A314" s="1"/>
    </row>
    <row r="315" spans="1:1" x14ac:dyDescent="0.2">
      <c r="A315" s="1"/>
    </row>
    <row r="316" spans="1:1" x14ac:dyDescent="0.2">
      <c r="A316" s="1"/>
    </row>
    <row r="317" spans="1:1" x14ac:dyDescent="0.2">
      <c r="A317" s="1"/>
    </row>
    <row r="318" spans="1:1" x14ac:dyDescent="0.2">
      <c r="A318" s="1"/>
    </row>
    <row r="319" spans="1:1" x14ac:dyDescent="0.2">
      <c r="A319" s="1"/>
    </row>
    <row r="320" spans="1:1" x14ac:dyDescent="0.2">
      <c r="A320" s="1"/>
    </row>
    <row r="321" spans="1:1" x14ac:dyDescent="0.2">
      <c r="A321" s="1"/>
    </row>
    <row r="322" spans="1:1" x14ac:dyDescent="0.2">
      <c r="A322" s="1"/>
    </row>
    <row r="323" spans="1:1" x14ac:dyDescent="0.2">
      <c r="A323" s="1"/>
    </row>
    <row r="324" spans="1:1" x14ac:dyDescent="0.2">
      <c r="A324" s="1"/>
    </row>
    <row r="325" spans="1:1" x14ac:dyDescent="0.2">
      <c r="A325" s="1"/>
    </row>
    <row r="326" spans="1:1" x14ac:dyDescent="0.2">
      <c r="A326" s="1"/>
    </row>
    <row r="327" spans="1:1" x14ac:dyDescent="0.2">
      <c r="A327" s="1"/>
    </row>
    <row r="328" spans="1:1" x14ac:dyDescent="0.2">
      <c r="A328" s="1"/>
    </row>
    <row r="329" spans="1:1" x14ac:dyDescent="0.2">
      <c r="A329" s="1"/>
    </row>
    <row r="330" spans="1:1" x14ac:dyDescent="0.2">
      <c r="A330" s="1"/>
    </row>
    <row r="331" spans="1:1" x14ac:dyDescent="0.2">
      <c r="A331" s="1"/>
    </row>
    <row r="332" spans="1:1" x14ac:dyDescent="0.2">
      <c r="A332" s="1"/>
    </row>
    <row r="333" spans="1:1" x14ac:dyDescent="0.2">
      <c r="A333" s="1"/>
    </row>
    <row r="334" spans="1:1" x14ac:dyDescent="0.2">
      <c r="A334" s="1"/>
    </row>
    <row r="335" spans="1:1" x14ac:dyDescent="0.2">
      <c r="A335" s="1"/>
    </row>
    <row r="336" spans="1:1" x14ac:dyDescent="0.2">
      <c r="A336" s="1"/>
    </row>
    <row r="337" spans="1:1" x14ac:dyDescent="0.2">
      <c r="A337" s="1"/>
    </row>
    <row r="338" spans="1:1" x14ac:dyDescent="0.2">
      <c r="A338" s="1"/>
    </row>
    <row r="339" spans="1:1" x14ac:dyDescent="0.2">
      <c r="A339" s="1"/>
    </row>
    <row r="340" spans="1:1" x14ac:dyDescent="0.2">
      <c r="A340" s="1"/>
    </row>
    <row r="341" spans="1:1" x14ac:dyDescent="0.2">
      <c r="A341" s="1"/>
    </row>
    <row r="342" spans="1:1" x14ac:dyDescent="0.2">
      <c r="A342" s="1"/>
    </row>
    <row r="343" spans="1:1" x14ac:dyDescent="0.2">
      <c r="A343" s="1"/>
    </row>
    <row r="344" spans="1:1" x14ac:dyDescent="0.2">
      <c r="A344" s="1"/>
    </row>
    <row r="345" spans="1:1" x14ac:dyDescent="0.2">
      <c r="A345" s="1"/>
    </row>
    <row r="346" spans="1:1" x14ac:dyDescent="0.2">
      <c r="A346" s="1"/>
    </row>
    <row r="347" spans="1:1" x14ac:dyDescent="0.2">
      <c r="A347" s="1"/>
    </row>
    <row r="348" spans="1:1" x14ac:dyDescent="0.2">
      <c r="A348" s="1"/>
    </row>
    <row r="349" spans="1:1" x14ac:dyDescent="0.2">
      <c r="A349" s="1"/>
    </row>
    <row r="350" spans="1:1" x14ac:dyDescent="0.2">
      <c r="A350" s="1"/>
    </row>
    <row r="351" spans="1:1" x14ac:dyDescent="0.2">
      <c r="A351" s="1"/>
    </row>
    <row r="352" spans="1:1" x14ac:dyDescent="0.2">
      <c r="A352" s="1"/>
    </row>
    <row r="353" spans="1:1" x14ac:dyDescent="0.2">
      <c r="A353" s="1"/>
    </row>
    <row r="354" spans="1:1" x14ac:dyDescent="0.2">
      <c r="A354" s="1"/>
    </row>
    <row r="355" spans="1:1" x14ac:dyDescent="0.2">
      <c r="A355" s="1"/>
    </row>
    <row r="356" spans="1:1" x14ac:dyDescent="0.2">
      <c r="A356" s="1"/>
    </row>
    <row r="357" spans="1:1" x14ac:dyDescent="0.2">
      <c r="A357" s="1"/>
    </row>
    <row r="358" spans="1:1" x14ac:dyDescent="0.2">
      <c r="A358" s="1"/>
    </row>
    <row r="359" spans="1:1" x14ac:dyDescent="0.2">
      <c r="A359" s="1"/>
    </row>
    <row r="360" spans="1:1" x14ac:dyDescent="0.2">
      <c r="A360" s="1"/>
    </row>
    <row r="361" spans="1:1" x14ac:dyDescent="0.2">
      <c r="A361" s="1"/>
    </row>
    <row r="362" spans="1:1" x14ac:dyDescent="0.2">
      <c r="A362" s="1"/>
    </row>
    <row r="363" spans="1:1" x14ac:dyDescent="0.2">
      <c r="A363" s="1"/>
    </row>
    <row r="364" spans="1:1" x14ac:dyDescent="0.2">
      <c r="A364" s="1"/>
    </row>
    <row r="365" spans="1:1" x14ac:dyDescent="0.2">
      <c r="A365" s="1"/>
    </row>
    <row r="366" spans="1:1" x14ac:dyDescent="0.2">
      <c r="A366" s="1"/>
    </row>
    <row r="367" spans="1:1" x14ac:dyDescent="0.2">
      <c r="A367" s="1"/>
    </row>
    <row r="368" spans="1:1" x14ac:dyDescent="0.2">
      <c r="A368" s="1"/>
    </row>
    <row r="369" spans="1:1" x14ac:dyDescent="0.2">
      <c r="A369" s="1"/>
    </row>
    <row r="370" spans="1:1" x14ac:dyDescent="0.2">
      <c r="A370" s="1"/>
    </row>
    <row r="371" spans="1:1" x14ac:dyDescent="0.2">
      <c r="A371" s="1"/>
    </row>
    <row r="372" spans="1:1" x14ac:dyDescent="0.2">
      <c r="A372" s="1"/>
    </row>
    <row r="373" spans="1:1" x14ac:dyDescent="0.2">
      <c r="A373" s="1"/>
    </row>
    <row r="374" spans="1:1" x14ac:dyDescent="0.2">
      <c r="A374" s="1"/>
    </row>
    <row r="375" spans="1:1" x14ac:dyDescent="0.2">
      <c r="A375" s="1"/>
    </row>
    <row r="376" spans="1:1" x14ac:dyDescent="0.2">
      <c r="A376" s="1"/>
    </row>
    <row r="377" spans="1:1" x14ac:dyDescent="0.2">
      <c r="A377" s="1"/>
    </row>
    <row r="378" spans="1:1" x14ac:dyDescent="0.2">
      <c r="A378" s="1"/>
    </row>
    <row r="379" spans="1:1" x14ac:dyDescent="0.2">
      <c r="A379" s="1"/>
    </row>
    <row r="380" spans="1:1" x14ac:dyDescent="0.2">
      <c r="A380" s="1"/>
    </row>
    <row r="381" spans="1:1" x14ac:dyDescent="0.2">
      <c r="A381" s="1"/>
    </row>
    <row r="382" spans="1:1" x14ac:dyDescent="0.2">
      <c r="A382" s="1"/>
    </row>
    <row r="383" spans="1:1" x14ac:dyDescent="0.2">
      <c r="A383" s="1"/>
    </row>
    <row r="384" spans="1:1" x14ac:dyDescent="0.2">
      <c r="A384" s="1"/>
    </row>
    <row r="385" spans="1:1" x14ac:dyDescent="0.2">
      <c r="A385" s="1"/>
    </row>
    <row r="386" spans="1:1" x14ac:dyDescent="0.2">
      <c r="A386" s="1"/>
    </row>
    <row r="387" spans="1:1" x14ac:dyDescent="0.2">
      <c r="A387" s="1"/>
    </row>
    <row r="388" spans="1:1" x14ac:dyDescent="0.2">
      <c r="A388" s="1"/>
    </row>
    <row r="389" spans="1:1" x14ac:dyDescent="0.2">
      <c r="A389" s="1"/>
    </row>
    <row r="390" spans="1:1" x14ac:dyDescent="0.2">
      <c r="A390" s="1"/>
    </row>
    <row r="391" spans="1:1" x14ac:dyDescent="0.2">
      <c r="A391" s="1"/>
    </row>
    <row r="392" spans="1:1" x14ac:dyDescent="0.2">
      <c r="A392" s="1"/>
    </row>
    <row r="393" spans="1:1" x14ac:dyDescent="0.2">
      <c r="A393" s="1"/>
    </row>
    <row r="394" spans="1:1" x14ac:dyDescent="0.2">
      <c r="A394" s="1"/>
    </row>
    <row r="395" spans="1:1" x14ac:dyDescent="0.2">
      <c r="A395" s="1"/>
    </row>
    <row r="396" spans="1:1" x14ac:dyDescent="0.2">
      <c r="A396" s="1"/>
    </row>
    <row r="397" spans="1:1" x14ac:dyDescent="0.2">
      <c r="A397" s="1"/>
    </row>
    <row r="398" spans="1:1" x14ac:dyDescent="0.2">
      <c r="A398" s="1"/>
    </row>
    <row r="399" spans="1:1" x14ac:dyDescent="0.2">
      <c r="A399" s="1"/>
    </row>
    <row r="400" spans="1:1" x14ac:dyDescent="0.2">
      <c r="A400" s="1"/>
    </row>
    <row r="401" spans="1:1" x14ac:dyDescent="0.2">
      <c r="A401" s="1"/>
    </row>
    <row r="402" spans="1:1" x14ac:dyDescent="0.2">
      <c r="A402" s="1"/>
    </row>
    <row r="403" spans="1:1" x14ac:dyDescent="0.2">
      <c r="A403" s="1"/>
    </row>
    <row r="404" spans="1:1" x14ac:dyDescent="0.2">
      <c r="A404" s="1"/>
    </row>
    <row r="405" spans="1:1" x14ac:dyDescent="0.2">
      <c r="A405" s="1"/>
    </row>
    <row r="406" spans="1:1" x14ac:dyDescent="0.2">
      <c r="A406" s="1"/>
    </row>
    <row r="407" spans="1:1" x14ac:dyDescent="0.2">
      <c r="A407" s="1"/>
    </row>
    <row r="408" spans="1:1" x14ac:dyDescent="0.2">
      <c r="A408" s="1"/>
    </row>
    <row r="409" spans="1:1" x14ac:dyDescent="0.2">
      <c r="A409" s="1"/>
    </row>
    <row r="410" spans="1:1" x14ac:dyDescent="0.2">
      <c r="A410" s="1"/>
    </row>
    <row r="411" spans="1:1" x14ac:dyDescent="0.2">
      <c r="A411" s="1"/>
    </row>
    <row r="412" spans="1:1" x14ac:dyDescent="0.2">
      <c r="A412" s="1"/>
    </row>
    <row r="413" spans="1:1" x14ac:dyDescent="0.2">
      <c r="A413" s="1"/>
    </row>
    <row r="414" spans="1:1" x14ac:dyDescent="0.2">
      <c r="A414" s="1"/>
    </row>
    <row r="415" spans="1:1" x14ac:dyDescent="0.2">
      <c r="A415" s="1"/>
    </row>
    <row r="416" spans="1:1" x14ac:dyDescent="0.2">
      <c r="A416" s="1"/>
    </row>
    <row r="417" spans="1:1" x14ac:dyDescent="0.2">
      <c r="A417" s="1"/>
    </row>
    <row r="418" spans="1:1" x14ac:dyDescent="0.2">
      <c r="A418" s="1"/>
    </row>
    <row r="419" spans="1:1" x14ac:dyDescent="0.2">
      <c r="A419" s="1"/>
    </row>
    <row r="420" spans="1:1" x14ac:dyDescent="0.2">
      <c r="A420" s="1"/>
    </row>
    <row r="421" spans="1:1" x14ac:dyDescent="0.2">
      <c r="A421" s="1"/>
    </row>
    <row r="422" spans="1:1" x14ac:dyDescent="0.2">
      <c r="A422" s="1"/>
    </row>
    <row r="423" spans="1:1" x14ac:dyDescent="0.2">
      <c r="A423" s="1"/>
    </row>
    <row r="424" spans="1:1" x14ac:dyDescent="0.2">
      <c r="A424" s="1"/>
    </row>
    <row r="425" spans="1:1" x14ac:dyDescent="0.2">
      <c r="A425" s="1"/>
    </row>
  </sheetData>
  <mergeCells count="77">
    <mergeCell ref="W9:X9"/>
    <mergeCell ref="B9:C9"/>
    <mergeCell ref="D9:E9"/>
    <mergeCell ref="F9:G9"/>
    <mergeCell ref="H9:I9"/>
    <mergeCell ref="J9:K9"/>
    <mergeCell ref="R9:S9"/>
    <mergeCell ref="T9:U9"/>
    <mergeCell ref="L21:M21"/>
    <mergeCell ref="N21:O21"/>
    <mergeCell ref="L9:M9"/>
    <mergeCell ref="N9:O9"/>
    <mergeCell ref="P9:Q9"/>
    <mergeCell ref="B21:C21"/>
    <mergeCell ref="D21:E21"/>
    <mergeCell ref="F21:G21"/>
    <mergeCell ref="H21:I21"/>
    <mergeCell ref="J21:K21"/>
    <mergeCell ref="P26:Q26"/>
    <mergeCell ref="R26:S26"/>
    <mergeCell ref="W26:X26"/>
    <mergeCell ref="R21:S21"/>
    <mergeCell ref="W21:X21"/>
    <mergeCell ref="P21:Q21"/>
    <mergeCell ref="T21:U21"/>
    <mergeCell ref="T26:U26"/>
    <mergeCell ref="J26:K26"/>
    <mergeCell ref="L26:M26"/>
    <mergeCell ref="N26:O26"/>
    <mergeCell ref="B26:C26"/>
    <mergeCell ref="D26:E26"/>
    <mergeCell ref="F26:G26"/>
    <mergeCell ref="H26:I26"/>
    <mergeCell ref="B35:C35"/>
    <mergeCell ref="D35:E35"/>
    <mergeCell ref="F35:G35"/>
    <mergeCell ref="H35:I35"/>
    <mergeCell ref="P35:Q35"/>
    <mergeCell ref="J35:K35"/>
    <mergeCell ref="L35:M35"/>
    <mergeCell ref="N35:O35"/>
    <mergeCell ref="R28:S28"/>
    <mergeCell ref="W28:X28"/>
    <mergeCell ref="P28:Q28"/>
    <mergeCell ref="B28:C28"/>
    <mergeCell ref="D28:E28"/>
    <mergeCell ref="F28:G28"/>
    <mergeCell ref="H28:I28"/>
    <mergeCell ref="J28:K28"/>
    <mergeCell ref="L28:M28"/>
    <mergeCell ref="N28:O28"/>
    <mergeCell ref="T28:U28"/>
    <mergeCell ref="R35:S35"/>
    <mergeCell ref="W38:X38"/>
    <mergeCell ref="P38:Q38"/>
    <mergeCell ref="R38:S38"/>
    <mergeCell ref="J38:K38"/>
    <mergeCell ref="L38:M38"/>
    <mergeCell ref="N38:O38"/>
    <mergeCell ref="W35:X35"/>
    <mergeCell ref="T35:U35"/>
    <mergeCell ref="T38:U38"/>
    <mergeCell ref="P44:Q44"/>
    <mergeCell ref="R44:S44"/>
    <mergeCell ref="W44:X44"/>
    <mergeCell ref="B44:C44"/>
    <mergeCell ref="D44:E44"/>
    <mergeCell ref="F44:G44"/>
    <mergeCell ref="H44:I44"/>
    <mergeCell ref="J44:K44"/>
    <mergeCell ref="T44:U44"/>
    <mergeCell ref="B38:C38"/>
    <mergeCell ref="D38:E38"/>
    <mergeCell ref="F38:G38"/>
    <mergeCell ref="L44:M44"/>
    <mergeCell ref="N44:O44"/>
    <mergeCell ref="H38:I38"/>
  </mergeCells>
  <pageMargins left="0.5" right="0.5" top="0.5" bottom="0.5" header="0.25" footer="0.25"/>
  <pageSetup scale="70" orientation="landscape" r:id="rId1"/>
  <headerFooter alignWithMargins="0">
    <oddFooter>&amp;LPrepared by Planning and Analysis&amp;C&amp;P of &amp;N&amp;R&amp;9Updated &amp;D</oddFooter>
  </headerFooter>
  <rowBreaks count="1" manualBreakCount="1">
    <brk id="42" max="21" man="1"/>
  </rowBreaks>
  <colBreaks count="1" manualBreakCount="1">
    <brk id="21" max="1048575" man="1"/>
  </colBreaks>
  <ignoredErrors>
    <ignoredError sqref="J59:J80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L419"/>
  <sheetViews>
    <sheetView zoomScaleNormal="100" zoomScaleSheetLayoutView="100" workbookViewId="0">
      <pane xSplit="1" ySplit="8" topLeftCell="T9" activePane="bottomRight" state="frozen"/>
      <selection activeCell="T36" sqref="T36:U36"/>
      <selection pane="topRight" activeCell="T36" sqref="T36:U36"/>
      <selection pane="bottomLeft" activeCell="T36" sqref="T36:U36"/>
      <selection pane="bottomRight" activeCell="T36" sqref="T36:U36"/>
    </sheetView>
  </sheetViews>
  <sheetFormatPr defaultColWidth="10.28515625" defaultRowHeight="12.75" x14ac:dyDescent="0.2"/>
  <cols>
    <col min="1" max="1" width="32.7109375" customWidth="1"/>
    <col min="2" max="2" width="6.7109375" hidden="1" customWidth="1"/>
    <col min="3" max="3" width="10.7109375" hidden="1" customWidth="1"/>
    <col min="4" max="4" width="6.7109375" hidden="1" customWidth="1"/>
    <col min="5" max="5" width="10.7109375" hidden="1" customWidth="1"/>
    <col min="6" max="6" width="6.7109375" customWidth="1"/>
    <col min="7" max="7" width="10.7109375" customWidth="1"/>
    <col min="8" max="8" width="6.7109375" customWidth="1"/>
    <col min="9" max="9" width="10.7109375" customWidth="1"/>
    <col min="10" max="10" width="6.7109375" customWidth="1"/>
    <col min="11" max="11" width="10.7109375" customWidth="1"/>
    <col min="12" max="12" width="6.7109375" customWidth="1"/>
    <col min="13" max="13" width="10.7109375" customWidth="1"/>
    <col min="14" max="14" width="6.7109375" customWidth="1"/>
    <col min="15" max="15" width="10.7109375" customWidth="1"/>
    <col min="16" max="16" width="6.7109375" customWidth="1"/>
    <col min="17" max="17" width="10.7109375" customWidth="1"/>
    <col min="18" max="18" width="6.7109375" customWidth="1"/>
    <col min="19" max="19" width="10.7109375" customWidth="1"/>
    <col min="20" max="20" width="6.7109375" customWidth="1"/>
    <col min="21" max="21" width="10.7109375" customWidth="1"/>
    <col min="22" max="22" width="3.28515625" customWidth="1"/>
    <col min="23" max="23" width="6.7109375" customWidth="1"/>
    <col min="24" max="24" width="10.7109375" customWidth="1"/>
    <col min="25" max="25" width="1.5703125" customWidth="1"/>
  </cols>
  <sheetData>
    <row r="1" spans="1:38" s="1" customFormat="1" ht="15.75" x14ac:dyDescent="0.25">
      <c r="A1" s="667" t="s">
        <v>240</v>
      </c>
      <c r="B1"/>
      <c r="C1"/>
      <c r="D1"/>
      <c r="E1"/>
      <c r="F1" s="564"/>
      <c r="G1" s="564"/>
      <c r="H1" s="564"/>
      <c r="I1" s="564"/>
    </row>
    <row r="2" spans="1:38" s="1" customFormat="1" ht="15.75" x14ac:dyDescent="0.25">
      <c r="A2" s="667" t="s">
        <v>241</v>
      </c>
      <c r="B2"/>
      <c r="C2"/>
      <c r="D2"/>
      <c r="E2"/>
      <c r="F2" s="564"/>
      <c r="G2" s="564"/>
      <c r="H2" s="564"/>
      <c r="I2" s="564"/>
    </row>
    <row r="3" spans="1:38" s="1" customFormat="1" ht="5.25" customHeight="1" x14ac:dyDescent="0.25">
      <c r="A3" s="667"/>
      <c r="B3"/>
      <c r="C3"/>
      <c r="D3"/>
      <c r="E3"/>
      <c r="F3" s="564"/>
      <c r="G3" s="564"/>
      <c r="H3" s="564"/>
      <c r="I3" s="564"/>
    </row>
    <row r="4" spans="1:38" s="1" customFormat="1" ht="15.75" x14ac:dyDescent="0.25">
      <c r="A4" s="668" t="s">
        <v>261</v>
      </c>
      <c r="B4"/>
      <c r="C4"/>
      <c r="D4"/>
      <c r="E4"/>
      <c r="F4" s="564"/>
      <c r="G4" s="564"/>
      <c r="H4" s="564"/>
      <c r="I4" s="564"/>
    </row>
    <row r="5" spans="1:38" s="1" customFormat="1" ht="6" customHeight="1" x14ac:dyDescent="0.25">
      <c r="A5" s="668"/>
      <c r="B5"/>
      <c r="C5"/>
      <c r="D5"/>
      <c r="E5"/>
      <c r="F5" s="564"/>
      <c r="G5" s="564"/>
      <c r="H5" s="564"/>
      <c r="I5" s="564"/>
    </row>
    <row r="6" spans="1:38" s="85" customFormat="1" x14ac:dyDescent="0.2">
      <c r="A6" s="669" t="s">
        <v>256</v>
      </c>
      <c r="B6" s="670"/>
      <c r="C6" s="670"/>
      <c r="D6" s="670"/>
      <c r="E6" s="670"/>
      <c r="F6" s="671"/>
      <c r="G6" s="671"/>
      <c r="H6" s="671"/>
      <c r="I6" s="671"/>
      <c r="J6" s="670"/>
      <c r="K6" s="670"/>
      <c r="L6" s="670"/>
      <c r="M6" s="670"/>
      <c r="N6" s="670"/>
      <c r="O6" s="670"/>
      <c r="P6" s="670" t="s">
        <v>19</v>
      </c>
      <c r="Q6" s="670"/>
      <c r="R6" s="670"/>
      <c r="S6" s="670"/>
      <c r="T6" s="670"/>
      <c r="U6" s="670"/>
      <c r="V6" s="670"/>
      <c r="W6" s="670"/>
      <c r="X6" s="670"/>
      <c r="Y6" s="670"/>
      <c r="Z6" s="670"/>
      <c r="AA6" s="670"/>
      <c r="AB6" s="670"/>
      <c r="AC6" s="670"/>
      <c r="AD6" s="670"/>
      <c r="AE6" s="670"/>
      <c r="AF6" s="670"/>
      <c r="AG6" s="1"/>
      <c r="AH6" s="670"/>
      <c r="AI6" s="670"/>
      <c r="AJ6" s="670"/>
      <c r="AK6" s="670"/>
      <c r="AL6" s="670"/>
    </row>
    <row r="7" spans="1:38" s="1" customFormat="1" ht="12" x14ac:dyDescent="0.2">
      <c r="A7" s="57">
        <v>3670020120</v>
      </c>
      <c r="B7" s="673"/>
      <c r="C7" s="674"/>
      <c r="D7" s="673"/>
      <c r="E7" s="674"/>
      <c r="F7" s="79"/>
      <c r="G7" s="56"/>
      <c r="H7" s="79"/>
      <c r="I7" s="56"/>
      <c r="J7" s="79"/>
      <c r="K7" s="56"/>
      <c r="L7" s="79"/>
      <c r="M7" s="56"/>
      <c r="N7" s="79"/>
      <c r="O7" s="56"/>
      <c r="P7" s="79"/>
      <c r="Q7" s="56"/>
      <c r="R7" s="79"/>
      <c r="S7" s="56"/>
      <c r="T7" s="79"/>
      <c r="U7" s="56"/>
      <c r="V7" s="79"/>
      <c r="W7" s="56"/>
      <c r="X7" s="79"/>
      <c r="Y7" s="56"/>
      <c r="Z7" s="79"/>
      <c r="AA7" s="56"/>
      <c r="AB7" s="79"/>
      <c r="AC7" s="56"/>
      <c r="AF7" s="670"/>
    </row>
    <row r="8" spans="1:38" s="1" customFormat="1" ht="13.5" customHeight="1" thickBot="1" x14ac:dyDescent="0.25">
      <c r="A8" s="673"/>
      <c r="B8" s="670"/>
      <c r="C8" s="670"/>
      <c r="D8" s="670"/>
      <c r="E8" s="670"/>
      <c r="F8" s="671"/>
      <c r="G8" s="671"/>
      <c r="H8" s="671"/>
      <c r="I8" s="671"/>
      <c r="J8" s="671"/>
      <c r="K8" s="671"/>
      <c r="L8" s="671"/>
      <c r="M8" s="671"/>
      <c r="N8" s="671"/>
      <c r="O8" s="671"/>
      <c r="P8" s="671"/>
      <c r="Q8" s="671"/>
      <c r="R8" s="671"/>
      <c r="S8" s="671"/>
      <c r="T8" s="671"/>
      <c r="U8" s="671"/>
      <c r="V8" s="671"/>
      <c r="W8" s="671"/>
      <c r="X8" s="671"/>
      <c r="Y8" s="671"/>
      <c r="Z8" s="671"/>
      <c r="AA8" s="671"/>
      <c r="AB8" s="671"/>
      <c r="AC8" s="671"/>
    </row>
    <row r="9" spans="1:38" ht="18" customHeight="1" thickTop="1" x14ac:dyDescent="0.2">
      <c r="A9" s="4"/>
      <c r="B9" s="1401" t="s">
        <v>0</v>
      </c>
      <c r="C9" s="1398"/>
      <c r="D9" s="1401" t="s">
        <v>1</v>
      </c>
      <c r="E9" s="1398"/>
      <c r="F9" s="1401" t="s">
        <v>2</v>
      </c>
      <c r="G9" s="1398"/>
      <c r="H9" s="1401" t="s">
        <v>3</v>
      </c>
      <c r="I9" s="1398"/>
      <c r="J9" s="1401" t="s">
        <v>4</v>
      </c>
      <c r="K9" s="1398"/>
      <c r="L9" s="1401" t="s">
        <v>5</v>
      </c>
      <c r="M9" s="1398"/>
      <c r="N9" s="1401" t="s">
        <v>6</v>
      </c>
      <c r="O9" s="1398"/>
      <c r="P9" s="1401" t="s">
        <v>7</v>
      </c>
      <c r="Q9" s="1398"/>
      <c r="R9" s="1401" t="s">
        <v>8</v>
      </c>
      <c r="S9" s="1398"/>
      <c r="T9" s="1401" t="s">
        <v>301</v>
      </c>
      <c r="U9" s="1402"/>
      <c r="W9" s="1407" t="s">
        <v>9</v>
      </c>
      <c r="X9" s="1408"/>
    </row>
    <row r="10" spans="1:38" ht="30" customHeight="1" thickBot="1" x14ac:dyDescent="0.25">
      <c r="A10" s="70" t="s">
        <v>246</v>
      </c>
      <c r="B10" s="782" t="s">
        <v>262</v>
      </c>
      <c r="C10" s="783" t="s">
        <v>263</v>
      </c>
      <c r="D10" s="784" t="s">
        <v>262</v>
      </c>
      <c r="E10" s="783" t="s">
        <v>263</v>
      </c>
      <c r="F10" s="782" t="s">
        <v>262</v>
      </c>
      <c r="G10" s="783" t="s">
        <v>263</v>
      </c>
      <c r="H10" s="782" t="s">
        <v>262</v>
      </c>
      <c r="I10" s="783" t="s">
        <v>263</v>
      </c>
      <c r="J10" s="782" t="s">
        <v>262</v>
      </c>
      <c r="K10" s="783" t="s">
        <v>263</v>
      </c>
      <c r="L10" s="782" t="s">
        <v>262</v>
      </c>
      <c r="M10" s="783" t="s">
        <v>263</v>
      </c>
      <c r="N10" s="782" t="s">
        <v>262</v>
      </c>
      <c r="O10" s="783" t="s">
        <v>263</v>
      </c>
      <c r="P10" s="782" t="s">
        <v>262</v>
      </c>
      <c r="Q10" s="783" t="s">
        <v>263</v>
      </c>
      <c r="R10" s="782" t="s">
        <v>262</v>
      </c>
      <c r="S10" s="783" t="s">
        <v>263</v>
      </c>
      <c r="T10" s="782" t="s">
        <v>262</v>
      </c>
      <c r="U10" s="785" t="s">
        <v>263</v>
      </c>
      <c r="W10" s="786" t="s">
        <v>262</v>
      </c>
      <c r="X10" s="1317" t="s">
        <v>263</v>
      </c>
    </row>
    <row r="11" spans="1:38" ht="23.25" customHeight="1" x14ac:dyDescent="0.2">
      <c r="A11" s="458" t="s">
        <v>105</v>
      </c>
      <c r="B11" s="13"/>
      <c r="C11" s="14"/>
      <c r="D11" s="11"/>
      <c r="E11" s="12"/>
      <c r="F11" s="13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2"/>
      <c r="R11" s="13"/>
      <c r="S11" s="12"/>
      <c r="T11" s="13"/>
      <c r="U11" s="15"/>
      <c r="V11" s="564"/>
      <c r="W11" s="779"/>
      <c r="X11" s="856"/>
    </row>
    <row r="12" spans="1:38" s="23" customFormat="1" ht="15" customHeight="1" x14ac:dyDescent="0.2">
      <c r="A12" s="349" t="s">
        <v>15</v>
      </c>
      <c r="B12" s="153">
        <v>17</v>
      </c>
      <c r="C12" s="262"/>
      <c r="D12" s="350">
        <v>14</v>
      </c>
      <c r="E12" s="264"/>
      <c r="F12" s="153">
        <v>15</v>
      </c>
      <c r="G12" s="264"/>
      <c r="H12" s="153">
        <v>22</v>
      </c>
      <c r="I12" s="264"/>
      <c r="J12" s="153">
        <v>19</v>
      </c>
      <c r="K12" s="264"/>
      <c r="L12" s="153">
        <v>29</v>
      </c>
      <c r="M12" s="264"/>
      <c r="N12" s="153">
        <v>18</v>
      </c>
      <c r="O12" s="264"/>
      <c r="P12" s="153">
        <v>31</v>
      </c>
      <c r="Q12" s="264"/>
      <c r="R12" s="153">
        <f>11+17</f>
        <v>28</v>
      </c>
      <c r="S12" s="264"/>
      <c r="T12" s="153">
        <v>19</v>
      </c>
      <c r="U12" s="266"/>
      <c r="V12" s="352"/>
      <c r="W12" s="347">
        <f>AVERAGE(N12,L12,R12,T12,P12)</f>
        <v>25</v>
      </c>
      <c r="X12" s="859"/>
    </row>
    <row r="13" spans="1:38" s="23" customFormat="1" ht="15" customHeight="1" thickBot="1" x14ac:dyDescent="0.25">
      <c r="A13" s="353" t="s">
        <v>16</v>
      </c>
      <c r="B13" s="354">
        <v>20</v>
      </c>
      <c r="C13" s="263"/>
      <c r="D13" s="355">
        <v>27</v>
      </c>
      <c r="E13" s="265"/>
      <c r="F13" s="354">
        <v>33</v>
      </c>
      <c r="G13" s="265"/>
      <c r="H13" s="354">
        <v>37</v>
      </c>
      <c r="I13" s="265"/>
      <c r="J13" s="354">
        <v>41</v>
      </c>
      <c r="K13" s="265"/>
      <c r="L13" s="354">
        <v>44</v>
      </c>
      <c r="M13" s="265"/>
      <c r="N13" s="354">
        <v>45</v>
      </c>
      <c r="O13" s="265"/>
      <c r="P13" s="354">
        <v>52</v>
      </c>
      <c r="Q13" s="265"/>
      <c r="R13" s="354">
        <f>13+34</f>
        <v>47</v>
      </c>
      <c r="S13" s="265"/>
      <c r="T13" s="354">
        <v>37</v>
      </c>
      <c r="U13" s="267"/>
      <c r="V13" s="352"/>
      <c r="W13" s="347">
        <f>AVERAGE(N13,L13,R13,T13,P13)</f>
        <v>45</v>
      </c>
      <c r="X13" s="860"/>
    </row>
    <row r="14" spans="1:38" s="73" customFormat="1" ht="15" customHeight="1" thickBot="1" x14ac:dyDescent="0.25">
      <c r="A14" s="357" t="s">
        <v>17</v>
      </c>
      <c r="B14" s="358">
        <f t="shared" ref="B14:R14" si="0">SUM(B12:B13)</f>
        <v>37</v>
      </c>
      <c r="C14" s="359">
        <v>7</v>
      </c>
      <c r="D14" s="358">
        <f t="shared" si="0"/>
        <v>41</v>
      </c>
      <c r="E14" s="359">
        <v>11</v>
      </c>
      <c r="F14" s="640">
        <f t="shared" si="0"/>
        <v>48</v>
      </c>
      <c r="G14" s="359">
        <v>6</v>
      </c>
      <c r="H14" s="640">
        <f t="shared" si="0"/>
        <v>59</v>
      </c>
      <c r="I14" s="359">
        <v>8</v>
      </c>
      <c r="J14" s="358">
        <f t="shared" si="0"/>
        <v>60</v>
      </c>
      <c r="K14" s="359">
        <v>13</v>
      </c>
      <c r="L14" s="358">
        <f t="shared" si="0"/>
        <v>73</v>
      </c>
      <c r="M14" s="359">
        <v>16</v>
      </c>
      <c r="N14" s="358">
        <f t="shared" si="0"/>
        <v>63</v>
      </c>
      <c r="O14" s="359">
        <v>14</v>
      </c>
      <c r="P14" s="358">
        <f t="shared" si="0"/>
        <v>83</v>
      </c>
      <c r="Q14" s="359">
        <v>13</v>
      </c>
      <c r="R14" s="358">
        <f t="shared" si="0"/>
        <v>75</v>
      </c>
      <c r="S14" s="359">
        <v>15</v>
      </c>
      <c r="T14" s="358">
        <v>56</v>
      </c>
      <c r="U14" s="1281"/>
      <c r="V14" s="360"/>
      <c r="W14" s="492">
        <f>AVERAGE(N14,L14,R14,T14,P14)</f>
        <v>70</v>
      </c>
      <c r="X14" s="862">
        <f>AVERAGE(O14,M14,K14,S14,Q14)</f>
        <v>14.2</v>
      </c>
    </row>
    <row r="15" spans="1:38" s="23" customFormat="1" ht="15" customHeight="1" x14ac:dyDescent="0.2">
      <c r="A15" s="353" t="s">
        <v>18</v>
      </c>
      <c r="B15" s="86">
        <v>1</v>
      </c>
      <c r="C15" s="26">
        <v>0</v>
      </c>
      <c r="D15" s="86">
        <v>1</v>
      </c>
      <c r="E15" s="25">
        <v>0</v>
      </c>
      <c r="F15" s="29">
        <v>2</v>
      </c>
      <c r="G15" s="25">
        <v>0</v>
      </c>
      <c r="H15" s="29">
        <v>4</v>
      </c>
      <c r="I15" s="25">
        <v>0</v>
      </c>
      <c r="J15" s="29">
        <v>4</v>
      </c>
      <c r="K15" s="25">
        <v>0</v>
      </c>
      <c r="L15" s="29">
        <v>3</v>
      </c>
      <c r="M15" s="25">
        <v>0</v>
      </c>
      <c r="N15" s="29">
        <v>2</v>
      </c>
      <c r="O15" s="25">
        <v>0</v>
      </c>
      <c r="P15" s="29">
        <v>3</v>
      </c>
      <c r="Q15" s="25">
        <v>0</v>
      </c>
      <c r="R15" s="29">
        <v>3</v>
      </c>
      <c r="S15" s="25">
        <v>1</v>
      </c>
      <c r="T15" s="153">
        <v>4</v>
      </c>
      <c r="U15" s="152"/>
      <c r="V15" s="352"/>
      <c r="W15" s="347">
        <f>AVERAGE(N15,L15,R15,T15,P15)</f>
        <v>3</v>
      </c>
      <c r="X15" s="871">
        <f t="shared" ref="X15:X16" si="1">AVERAGE(O15,M15,K15,S15,Q15)</f>
        <v>0.2</v>
      </c>
      <c r="Z15" s="23" t="s">
        <v>19</v>
      </c>
    </row>
    <row r="16" spans="1:38" s="23" customFormat="1" ht="15" customHeight="1" thickBot="1" x14ac:dyDescent="0.25">
      <c r="A16" s="362" t="s">
        <v>20</v>
      </c>
      <c r="B16" s="31">
        <v>11</v>
      </c>
      <c r="C16" s="34">
        <v>1</v>
      </c>
      <c r="D16" s="31">
        <v>9</v>
      </c>
      <c r="E16" s="32">
        <v>8</v>
      </c>
      <c r="F16" s="33">
        <v>10</v>
      </c>
      <c r="G16" s="32">
        <v>2</v>
      </c>
      <c r="H16" s="33">
        <v>17</v>
      </c>
      <c r="I16" s="32">
        <v>6</v>
      </c>
      <c r="J16" s="33">
        <v>20</v>
      </c>
      <c r="K16" s="32">
        <v>6</v>
      </c>
      <c r="L16" s="33">
        <v>22</v>
      </c>
      <c r="M16" s="32">
        <v>5</v>
      </c>
      <c r="N16" s="33">
        <v>26</v>
      </c>
      <c r="O16" s="32">
        <v>8</v>
      </c>
      <c r="P16" s="33">
        <v>32</v>
      </c>
      <c r="Q16" s="32">
        <v>15</v>
      </c>
      <c r="R16" s="33">
        <v>28</v>
      </c>
      <c r="S16" s="32">
        <v>9</v>
      </c>
      <c r="T16" s="365">
        <v>29</v>
      </c>
      <c r="U16" s="1282"/>
      <c r="V16" s="352"/>
      <c r="W16" s="347">
        <f>AVERAGE(N16,L16,R16,T16,P16)</f>
        <v>27.4</v>
      </c>
      <c r="X16" s="864">
        <f t="shared" si="1"/>
        <v>8.6</v>
      </c>
    </row>
    <row r="17" spans="1:27" ht="18" customHeight="1" thickTop="1" thickBot="1" x14ac:dyDescent="0.25">
      <c r="A17" s="298" t="s">
        <v>71</v>
      </c>
      <c r="B17" s="1380"/>
      <c r="C17" s="1381"/>
      <c r="D17" s="1380"/>
      <c r="E17" s="1381"/>
      <c r="F17" s="1380"/>
      <c r="G17" s="1381"/>
      <c r="H17" s="1380"/>
      <c r="I17" s="1381"/>
      <c r="J17" s="1380"/>
      <c r="K17" s="1381"/>
      <c r="L17" s="1380"/>
      <c r="M17" s="1381"/>
      <c r="N17" s="1380"/>
      <c r="O17" s="1381"/>
      <c r="P17" s="1380"/>
      <c r="Q17" s="1381"/>
      <c r="R17" s="1380"/>
      <c r="S17" s="1381"/>
      <c r="T17" s="1380"/>
      <c r="U17" s="1383"/>
      <c r="V17" s="226"/>
      <c r="W17" s="1382"/>
      <c r="X17" s="1383"/>
    </row>
    <row r="18" spans="1:27" ht="15" customHeight="1" x14ac:dyDescent="0.2">
      <c r="A18" s="749" t="s">
        <v>266</v>
      </c>
      <c r="B18" s="300"/>
      <c r="C18" s="385"/>
      <c r="D18" s="384"/>
      <c r="E18" s="385"/>
      <c r="F18" s="384"/>
      <c r="G18" s="385"/>
      <c r="H18" s="384"/>
      <c r="I18" s="385"/>
      <c r="J18" s="384"/>
      <c r="K18" s="385"/>
      <c r="L18" s="384"/>
      <c r="M18" s="385"/>
      <c r="N18" s="384"/>
      <c r="O18" s="385"/>
      <c r="P18" s="384"/>
      <c r="Q18" s="385"/>
      <c r="R18" s="384"/>
      <c r="S18" s="385"/>
      <c r="T18" s="384"/>
      <c r="U18" s="386"/>
      <c r="V18" s="226"/>
      <c r="W18" s="853"/>
      <c r="X18" s="852" t="e">
        <f>AVERAGE(O18,M18,I18,K18,Q18)</f>
        <v>#DIV/0!</v>
      </c>
    </row>
    <row r="19" spans="1:27" ht="15" customHeight="1" x14ac:dyDescent="0.2">
      <c r="A19" s="677" t="s">
        <v>72</v>
      </c>
      <c r="B19" s="304"/>
      <c r="C19" s="388">
        <v>0.33</v>
      </c>
      <c r="D19" s="387"/>
      <c r="E19" s="388">
        <v>0</v>
      </c>
      <c r="F19" s="387"/>
      <c r="G19" s="388">
        <v>0.6</v>
      </c>
      <c r="H19" s="387"/>
      <c r="I19" s="388">
        <v>0.43</v>
      </c>
      <c r="J19" s="387"/>
      <c r="K19" s="388">
        <v>0.38</v>
      </c>
      <c r="L19" s="387"/>
      <c r="M19" s="388">
        <v>0.42</v>
      </c>
      <c r="N19" s="387"/>
      <c r="O19" s="388">
        <v>0.2</v>
      </c>
      <c r="P19" s="387"/>
      <c r="Q19" s="388">
        <v>0.36</v>
      </c>
      <c r="R19" s="387"/>
      <c r="S19" s="388"/>
      <c r="T19" s="387"/>
      <c r="U19" s="1271"/>
      <c r="V19" s="226"/>
      <c r="W19" s="853"/>
      <c r="X19" s="1255">
        <f t="shared" ref="X19:X20" si="2">AVERAGE(O19,M19,K19,S19,Q19)</f>
        <v>0.33999999999999997</v>
      </c>
    </row>
    <row r="20" spans="1:27" ht="15" customHeight="1" thickBot="1" x14ac:dyDescent="0.25">
      <c r="A20" s="751" t="s">
        <v>73</v>
      </c>
      <c r="B20" s="546"/>
      <c r="C20" s="541">
        <v>0.5</v>
      </c>
      <c r="D20" s="540"/>
      <c r="E20" s="541">
        <v>1</v>
      </c>
      <c r="F20" s="540"/>
      <c r="G20" s="541">
        <v>0.2</v>
      </c>
      <c r="H20" s="540"/>
      <c r="I20" s="541">
        <v>0.43</v>
      </c>
      <c r="J20" s="540"/>
      <c r="K20" s="541">
        <v>0.54</v>
      </c>
      <c r="L20" s="540"/>
      <c r="M20" s="541">
        <v>0.42</v>
      </c>
      <c r="N20" s="540"/>
      <c r="O20" s="541">
        <v>0.8</v>
      </c>
      <c r="P20" s="540"/>
      <c r="Q20" s="541">
        <v>0.55000000000000004</v>
      </c>
      <c r="R20" s="540"/>
      <c r="S20" s="541"/>
      <c r="T20" s="540"/>
      <c r="U20" s="1272"/>
      <c r="V20" s="226"/>
      <c r="W20" s="854"/>
      <c r="X20" s="1255">
        <f t="shared" si="2"/>
        <v>0.57750000000000001</v>
      </c>
    </row>
    <row r="21" spans="1:27" ht="18" customHeight="1" thickTop="1" thickBot="1" x14ac:dyDescent="0.25">
      <c r="A21" s="221" t="s">
        <v>78</v>
      </c>
      <c r="B21" s="1380"/>
      <c r="C21" s="1381"/>
      <c r="D21" s="1380"/>
      <c r="E21" s="1381"/>
      <c r="F21" s="1380"/>
      <c r="G21" s="1381"/>
      <c r="H21" s="1380"/>
      <c r="I21" s="1381"/>
      <c r="J21" s="1380"/>
      <c r="K21" s="1381"/>
      <c r="L21" s="1380"/>
      <c r="M21" s="1381"/>
      <c r="N21" s="1380"/>
      <c r="O21" s="1381"/>
      <c r="P21" s="1380"/>
      <c r="Q21" s="1381"/>
      <c r="R21" s="1380"/>
      <c r="S21" s="1381"/>
      <c r="T21" s="1380"/>
      <c r="U21" s="1383"/>
      <c r="V21" s="226"/>
      <c r="W21" s="1382"/>
      <c r="X21" s="1383"/>
    </row>
    <row r="22" spans="1:27" ht="15" customHeight="1" thickBot="1" x14ac:dyDescent="0.25">
      <c r="A22" s="847" t="s">
        <v>141</v>
      </c>
      <c r="B22" s="223"/>
      <c r="C22" s="224">
        <v>24.8</v>
      </c>
      <c r="D22" s="223"/>
      <c r="E22" s="224">
        <v>25.2</v>
      </c>
      <c r="F22" s="223"/>
      <c r="G22" s="224">
        <v>24.2</v>
      </c>
      <c r="H22" s="223"/>
      <c r="I22" s="224">
        <v>24.1</v>
      </c>
      <c r="J22" s="223"/>
      <c r="K22" s="224">
        <v>24.1</v>
      </c>
      <c r="L22" s="223"/>
      <c r="M22" s="224">
        <v>24</v>
      </c>
      <c r="N22" s="223"/>
      <c r="O22" s="224">
        <v>24.8</v>
      </c>
      <c r="P22" s="223"/>
      <c r="Q22" s="224">
        <v>24.2</v>
      </c>
      <c r="R22" s="223"/>
      <c r="S22" s="224">
        <v>24.1</v>
      </c>
      <c r="T22" s="223"/>
      <c r="U22" s="225"/>
      <c r="V22" s="226"/>
      <c r="W22" s="247"/>
      <c r="X22" s="757">
        <f>AVERAGE(O22,M22,S22,U22,Q22)</f>
        <v>24.275000000000002</v>
      </c>
    </row>
    <row r="23" spans="1:27" ht="18" customHeight="1" thickTop="1" thickBot="1" x14ac:dyDescent="0.25">
      <c r="A23" s="314" t="s">
        <v>22</v>
      </c>
      <c r="B23" s="1380"/>
      <c r="C23" s="1381"/>
      <c r="D23" s="1380"/>
      <c r="E23" s="1381"/>
      <c r="F23" s="1380"/>
      <c r="G23" s="1381"/>
      <c r="H23" s="1380"/>
      <c r="I23" s="1381"/>
      <c r="J23" s="1380"/>
      <c r="K23" s="1381"/>
      <c r="L23" s="1380"/>
      <c r="M23" s="1381"/>
      <c r="N23" s="1380"/>
      <c r="O23" s="1381"/>
      <c r="P23" s="1380"/>
      <c r="Q23" s="1381"/>
      <c r="R23" s="1380"/>
      <c r="S23" s="1381"/>
      <c r="T23" s="1380"/>
      <c r="U23" s="1383"/>
      <c r="V23" s="226"/>
      <c r="W23" s="1382"/>
      <c r="X23" s="1383"/>
    </row>
    <row r="24" spans="1:27" ht="15" customHeight="1" x14ac:dyDescent="0.2">
      <c r="A24" s="677" t="s">
        <v>24</v>
      </c>
      <c r="B24" s="315"/>
      <c r="C24" s="48">
        <v>10826</v>
      </c>
      <c r="D24" s="45"/>
      <c r="E24" s="47">
        <v>11497</v>
      </c>
      <c r="F24" s="46"/>
      <c r="G24" s="47">
        <v>11396</v>
      </c>
      <c r="H24" s="46"/>
      <c r="I24" s="47">
        <v>11267</v>
      </c>
      <c r="J24" s="46"/>
      <c r="K24" s="47">
        <v>10931</v>
      </c>
      <c r="L24" s="46"/>
      <c r="M24" s="47">
        <v>10815</v>
      </c>
      <c r="N24" s="46"/>
      <c r="O24" s="47">
        <v>10940</v>
      </c>
      <c r="P24" s="46"/>
      <c r="Q24" s="47">
        <v>10347</v>
      </c>
      <c r="R24" s="46"/>
      <c r="S24" s="47">
        <v>9436</v>
      </c>
      <c r="T24" s="315"/>
      <c r="U24" s="1273"/>
      <c r="V24" s="226"/>
      <c r="W24" s="50"/>
      <c r="X24" s="51">
        <f>AVERAGE(O24,M24,S24,K24,Q24)</f>
        <v>10493.8</v>
      </c>
    </row>
    <row r="25" spans="1:27" ht="15" customHeight="1" x14ac:dyDescent="0.2">
      <c r="A25" s="677" t="s">
        <v>25</v>
      </c>
      <c r="B25" s="315"/>
      <c r="C25" s="48">
        <v>474</v>
      </c>
      <c r="D25" s="45"/>
      <c r="E25" s="47">
        <v>500</v>
      </c>
      <c r="F25" s="46"/>
      <c r="G25" s="47">
        <v>672</v>
      </c>
      <c r="H25" s="46"/>
      <c r="I25" s="47">
        <v>574</v>
      </c>
      <c r="J25" s="46"/>
      <c r="K25" s="47">
        <v>522</v>
      </c>
      <c r="L25" s="46"/>
      <c r="M25" s="47">
        <v>592</v>
      </c>
      <c r="N25" s="46"/>
      <c r="O25" s="47">
        <v>559</v>
      </c>
      <c r="P25" s="46"/>
      <c r="Q25" s="47">
        <v>660</v>
      </c>
      <c r="R25" s="46"/>
      <c r="S25" s="47">
        <v>547</v>
      </c>
      <c r="T25" s="315"/>
      <c r="U25" s="1273"/>
      <c r="V25" s="226"/>
      <c r="W25" s="52"/>
      <c r="X25" s="51">
        <f t="shared" ref="X25:X28" si="3">AVERAGE(O25,M25,S25,K25,Q25)</f>
        <v>576</v>
      </c>
    </row>
    <row r="26" spans="1:27" ht="15" customHeight="1" x14ac:dyDescent="0.2">
      <c r="A26" s="677" t="s">
        <v>26</v>
      </c>
      <c r="B26" s="315"/>
      <c r="C26" s="48">
        <v>162</v>
      </c>
      <c r="D26" s="45"/>
      <c r="E26" s="47">
        <v>155</v>
      </c>
      <c r="F26" s="46"/>
      <c r="G26" s="47">
        <v>223</v>
      </c>
      <c r="H26" s="46"/>
      <c r="I26" s="47">
        <v>372</v>
      </c>
      <c r="J26" s="46"/>
      <c r="K26" s="47">
        <v>385</v>
      </c>
      <c r="L26" s="46"/>
      <c r="M26" s="47">
        <v>443</v>
      </c>
      <c r="N26" s="46"/>
      <c r="O26" s="47">
        <v>602</v>
      </c>
      <c r="P26" s="46"/>
      <c r="Q26" s="47">
        <v>621</v>
      </c>
      <c r="R26" s="46"/>
      <c r="S26" s="47">
        <v>489</v>
      </c>
      <c r="T26" s="315"/>
      <c r="U26" s="1273"/>
      <c r="V26" s="226"/>
      <c r="W26" s="52"/>
      <c r="X26" s="51">
        <f t="shared" si="3"/>
        <v>508</v>
      </c>
    </row>
    <row r="27" spans="1:27" ht="15" customHeight="1" thickBot="1" x14ac:dyDescent="0.25">
      <c r="A27" s="677" t="s">
        <v>27</v>
      </c>
      <c r="B27" s="83"/>
      <c r="C27" s="54">
        <v>0</v>
      </c>
      <c r="D27" s="45"/>
      <c r="E27" s="53">
        <v>0</v>
      </c>
      <c r="F27" s="46"/>
      <c r="G27" s="53">
        <v>0</v>
      </c>
      <c r="H27" s="46"/>
      <c r="I27" s="53">
        <v>0</v>
      </c>
      <c r="J27" s="46"/>
      <c r="K27" s="53">
        <v>0</v>
      </c>
      <c r="L27" s="46"/>
      <c r="M27" s="53">
        <v>0</v>
      </c>
      <c r="N27" s="46"/>
      <c r="O27" s="53">
        <v>0</v>
      </c>
      <c r="P27" s="46"/>
      <c r="Q27" s="53">
        <v>0</v>
      </c>
      <c r="R27" s="46"/>
      <c r="S27" s="53">
        <v>0</v>
      </c>
      <c r="T27" s="83"/>
      <c r="U27" s="1274"/>
      <c r="V27" s="226"/>
      <c r="W27" s="63"/>
      <c r="X27" s="484">
        <f t="shared" si="3"/>
        <v>0</v>
      </c>
    </row>
    <row r="28" spans="1:27" ht="15" customHeight="1" thickBot="1" x14ac:dyDescent="0.25">
      <c r="A28" s="327" t="s">
        <v>28</v>
      </c>
      <c r="B28" s="328"/>
      <c r="C28" s="329">
        <f>SUM(C24:C27)</f>
        <v>11462</v>
      </c>
      <c r="D28" s="330"/>
      <c r="E28" s="331">
        <f>SUM(E24:E27)</f>
        <v>12152</v>
      </c>
      <c r="F28" s="328"/>
      <c r="G28" s="331">
        <f>SUM(G24:G27)</f>
        <v>12291</v>
      </c>
      <c r="H28" s="328"/>
      <c r="I28" s="331">
        <f>SUM(I24:I27)</f>
        <v>12213</v>
      </c>
      <c r="J28" s="328"/>
      <c r="K28" s="331">
        <f>SUM(K24:K27)</f>
        <v>11838</v>
      </c>
      <c r="L28" s="328"/>
      <c r="M28" s="331">
        <f>SUM(M24:M27)</f>
        <v>11850</v>
      </c>
      <c r="N28" s="328"/>
      <c r="O28" s="331">
        <f>SUM(O24:O27)</f>
        <v>12101</v>
      </c>
      <c r="P28" s="328"/>
      <c r="Q28" s="331">
        <f>SUM(Q24:Q27)</f>
        <v>11628</v>
      </c>
      <c r="R28" s="328"/>
      <c r="S28" s="331">
        <f>SUM(S24:S27)</f>
        <v>10472</v>
      </c>
      <c r="T28" s="328"/>
      <c r="U28" s="1277">
        <f>SUM(U24:U27)</f>
        <v>0</v>
      </c>
      <c r="V28" s="226"/>
      <c r="W28" s="485"/>
      <c r="X28" s="486">
        <f t="shared" si="3"/>
        <v>11577.8</v>
      </c>
    </row>
    <row r="29" spans="1:27" ht="15" customHeight="1" thickTop="1" thickBot="1" x14ac:dyDescent="0.25">
      <c r="A29" s="280"/>
      <c r="B29" s="332"/>
      <c r="C29" s="333"/>
      <c r="D29" s="332"/>
      <c r="E29" s="333"/>
      <c r="F29" s="332"/>
      <c r="G29" s="333"/>
      <c r="H29" s="332"/>
      <c r="I29" s="333"/>
      <c r="J29" s="332"/>
      <c r="K29" s="333"/>
      <c r="L29" s="332"/>
      <c r="M29" s="333"/>
      <c r="N29" s="332"/>
      <c r="O29" s="333"/>
      <c r="P29" s="332"/>
      <c r="Q29" s="333"/>
      <c r="R29" s="332"/>
      <c r="S29" s="333"/>
      <c r="T29" s="332"/>
      <c r="U29" s="333"/>
      <c r="V29" s="334"/>
      <c r="W29" s="335"/>
      <c r="X29" s="333"/>
    </row>
    <row r="30" spans="1:27" ht="18" customHeight="1" thickTop="1" thickBot="1" x14ac:dyDescent="0.25">
      <c r="A30" s="175" t="s">
        <v>29</v>
      </c>
      <c r="B30" s="1385" t="s">
        <v>30</v>
      </c>
      <c r="C30" s="1395"/>
      <c r="D30" s="1385" t="s">
        <v>31</v>
      </c>
      <c r="E30" s="1396"/>
      <c r="F30" s="1385" t="s">
        <v>32</v>
      </c>
      <c r="G30" s="1396"/>
      <c r="H30" s="1385" t="s">
        <v>33</v>
      </c>
      <c r="I30" s="1396"/>
      <c r="J30" s="1385" t="s">
        <v>34</v>
      </c>
      <c r="K30" s="1396"/>
      <c r="L30" s="1385" t="s">
        <v>35</v>
      </c>
      <c r="M30" s="1396"/>
      <c r="N30" s="1385" t="s">
        <v>36</v>
      </c>
      <c r="O30" s="1396"/>
      <c r="P30" s="1385" t="s">
        <v>37</v>
      </c>
      <c r="Q30" s="1396"/>
      <c r="R30" s="1385" t="s">
        <v>38</v>
      </c>
      <c r="S30" s="1396"/>
      <c r="T30" s="1385" t="s">
        <v>302</v>
      </c>
      <c r="U30" s="1386"/>
      <c r="V30" s="176"/>
      <c r="W30" s="1382" t="s">
        <v>9</v>
      </c>
      <c r="X30" s="1383"/>
      <c r="Y30" s="56"/>
      <c r="Z30" s="56"/>
      <c r="AA30" s="57"/>
    </row>
    <row r="31" spans="1:27" ht="15" customHeight="1" x14ac:dyDescent="0.2">
      <c r="A31" s="873" t="s">
        <v>267</v>
      </c>
      <c r="B31" s="177"/>
      <c r="C31" s="154">
        <v>3.5999999999999997E-2</v>
      </c>
      <c r="D31" s="281"/>
      <c r="E31" s="129">
        <v>2.9000000000000001E-2</v>
      </c>
      <c r="F31" s="282"/>
      <c r="G31" s="129">
        <v>3.6999999999999998E-2</v>
      </c>
      <c r="H31" s="128"/>
      <c r="I31" s="129">
        <v>4.2999999999999997E-2</v>
      </c>
      <c r="J31" s="128"/>
      <c r="K31" s="129">
        <v>0.04</v>
      </c>
      <c r="L31" s="128"/>
      <c r="M31" s="129">
        <v>4.7E-2</v>
      </c>
      <c r="N31" s="128"/>
      <c r="O31" s="129">
        <v>4.8000000000000001E-2</v>
      </c>
      <c r="P31" s="128"/>
      <c r="Q31" s="129">
        <v>5.0999999999999997E-2</v>
      </c>
      <c r="R31" s="128"/>
      <c r="S31" s="129">
        <v>6.7000000000000004E-2</v>
      </c>
      <c r="T31" s="181"/>
      <c r="U31" s="182">
        <v>5.8999999999999997E-2</v>
      </c>
      <c r="V31" s="183"/>
      <c r="W31" s="469"/>
      <c r="X31" s="594">
        <f>AVERAGE(Q31,O31,M31,U31,S31)</f>
        <v>5.4400000000000004E-2</v>
      </c>
      <c r="Y31" s="56"/>
      <c r="Z31" s="56"/>
      <c r="AA31" s="57"/>
    </row>
    <row r="32" spans="1:27" ht="15" customHeight="1" x14ac:dyDescent="0.2">
      <c r="A32" s="874" t="s">
        <v>268</v>
      </c>
      <c r="B32" s="184"/>
      <c r="C32" s="155">
        <v>1.0999999999999999E-2</v>
      </c>
      <c r="D32" s="283"/>
      <c r="E32" s="131">
        <v>8.9999999999999993E-3</v>
      </c>
      <c r="F32" s="284"/>
      <c r="G32" s="131">
        <v>0.01</v>
      </c>
      <c r="H32" s="130"/>
      <c r="I32" s="131">
        <v>1.4999999999999999E-2</v>
      </c>
      <c r="J32" s="130"/>
      <c r="K32" s="131">
        <v>1.9E-2</v>
      </c>
      <c r="L32" s="130"/>
      <c r="M32" s="131">
        <v>1.9E-2</v>
      </c>
      <c r="N32" s="130"/>
      <c r="O32" s="131">
        <v>3.2000000000000001E-2</v>
      </c>
      <c r="P32" s="130"/>
      <c r="Q32" s="131">
        <v>4.2000000000000003E-2</v>
      </c>
      <c r="R32" s="130"/>
      <c r="S32" s="131">
        <v>0.03</v>
      </c>
      <c r="T32" s="186"/>
      <c r="U32" s="187">
        <v>0.03</v>
      </c>
      <c r="V32" s="183"/>
      <c r="W32" s="469"/>
      <c r="X32" s="594">
        <f>AVERAGE(Q32,O32,M32,U32,S32)</f>
        <v>3.0600000000000006E-2</v>
      </c>
      <c r="Y32" s="56"/>
      <c r="Z32" s="56"/>
      <c r="AA32" s="57"/>
    </row>
    <row r="33" spans="1:27" ht="15" customHeight="1" thickBot="1" x14ac:dyDescent="0.25">
      <c r="A33" s="846" t="s">
        <v>269</v>
      </c>
      <c r="B33" s="1403">
        <f>1-C31-C32</f>
        <v>0.95299999999999996</v>
      </c>
      <c r="C33" s="1404"/>
      <c r="D33" s="1403">
        <f>1-E31-E32</f>
        <v>0.96199999999999997</v>
      </c>
      <c r="E33" s="1404"/>
      <c r="F33" s="1403">
        <f>1-G31-G32</f>
        <v>0.95299999999999996</v>
      </c>
      <c r="G33" s="1404"/>
      <c r="H33" s="1403">
        <f>1-I31-I32</f>
        <v>0.94199999999999995</v>
      </c>
      <c r="I33" s="1404"/>
      <c r="J33" s="1403">
        <f>1-K31-K32</f>
        <v>0.94099999999999995</v>
      </c>
      <c r="K33" s="1404"/>
      <c r="L33" s="1403">
        <f>1-M31-M32</f>
        <v>0.93399999999999994</v>
      </c>
      <c r="M33" s="1404"/>
      <c r="N33" s="1403">
        <f>1-O31-O32</f>
        <v>0.91999999999999993</v>
      </c>
      <c r="O33" s="1404"/>
      <c r="P33" s="1403">
        <f>1-Q31-Q32</f>
        <v>0.90699999999999992</v>
      </c>
      <c r="Q33" s="1404"/>
      <c r="R33" s="1403">
        <f>1-S31-S32</f>
        <v>0.90300000000000002</v>
      </c>
      <c r="S33" s="1404"/>
      <c r="T33" s="1403">
        <f>1-U31-U32</f>
        <v>0.91100000000000003</v>
      </c>
      <c r="U33" s="1406"/>
      <c r="V33" s="183"/>
      <c r="W33" s="1390">
        <f>1-X31-X32</f>
        <v>0.91500000000000004</v>
      </c>
      <c r="X33" s="1391"/>
      <c r="Y33" s="58"/>
      <c r="Z33" s="56"/>
      <c r="AA33" s="57"/>
    </row>
    <row r="34" spans="1:27" s="3" customFormat="1" ht="18" customHeight="1" thickTop="1" thickBot="1" x14ac:dyDescent="0.25">
      <c r="A34" s="194" t="s">
        <v>67</v>
      </c>
      <c r="B34" s="227" t="s">
        <v>39</v>
      </c>
      <c r="C34" s="788" t="s">
        <v>74</v>
      </c>
      <c r="D34" s="789" t="s">
        <v>39</v>
      </c>
      <c r="E34" s="228" t="s">
        <v>74</v>
      </c>
      <c r="F34" s="227" t="s">
        <v>39</v>
      </c>
      <c r="G34" s="788" t="s">
        <v>74</v>
      </c>
      <c r="H34" s="789" t="s">
        <v>39</v>
      </c>
      <c r="I34" s="228" t="s">
        <v>74</v>
      </c>
      <c r="J34" s="227" t="s">
        <v>39</v>
      </c>
      <c r="K34" s="788" t="s">
        <v>74</v>
      </c>
      <c r="L34" s="789" t="s">
        <v>39</v>
      </c>
      <c r="M34" s="228" t="s">
        <v>74</v>
      </c>
      <c r="N34" s="227" t="s">
        <v>39</v>
      </c>
      <c r="O34" s="788" t="s">
        <v>74</v>
      </c>
      <c r="P34" s="789" t="s">
        <v>39</v>
      </c>
      <c r="Q34" s="228" t="s">
        <v>74</v>
      </c>
      <c r="R34" s="789" t="s">
        <v>39</v>
      </c>
      <c r="S34" s="228" t="s">
        <v>74</v>
      </c>
      <c r="T34" s="227" t="s">
        <v>39</v>
      </c>
      <c r="U34" s="790" t="s">
        <v>74</v>
      </c>
      <c r="V34" s="230"/>
      <c r="W34" s="791" t="s">
        <v>39</v>
      </c>
      <c r="X34" s="790" t="s">
        <v>74</v>
      </c>
    </row>
    <row r="35" spans="1:27" ht="15" customHeight="1" thickBot="1" x14ac:dyDescent="0.25">
      <c r="A35" s="847" t="s">
        <v>68</v>
      </c>
      <c r="B35" s="838"/>
      <c r="C35" s="839"/>
      <c r="D35" s="838"/>
      <c r="E35" s="839"/>
      <c r="F35" s="838"/>
      <c r="G35" s="839"/>
      <c r="H35" s="536">
        <v>12</v>
      </c>
      <c r="I35" s="537">
        <f>H35/H16</f>
        <v>0.70588235294117652</v>
      </c>
      <c r="J35" s="536">
        <v>14</v>
      </c>
      <c r="K35" s="537">
        <f>J35/J16</f>
        <v>0.7</v>
      </c>
      <c r="L35" s="536">
        <v>10</v>
      </c>
      <c r="M35" s="537">
        <f>L35/L16</f>
        <v>0.45454545454545453</v>
      </c>
      <c r="N35" s="536">
        <v>11</v>
      </c>
      <c r="O35" s="537">
        <f>N35/N16</f>
        <v>0.42307692307692307</v>
      </c>
      <c r="P35" s="536">
        <v>15</v>
      </c>
      <c r="Q35" s="537">
        <f>P35/P16</f>
        <v>0.46875</v>
      </c>
      <c r="R35" s="536">
        <v>12</v>
      </c>
      <c r="S35" s="537">
        <f>R35/R16</f>
        <v>0.42857142857142855</v>
      </c>
      <c r="T35" s="536"/>
      <c r="U35" s="538">
        <f>T35/T16</f>
        <v>0</v>
      </c>
      <c r="V35" s="226"/>
      <c r="W35" s="242">
        <f>AVERAGE(N35,L35,R35,T35,P35)</f>
        <v>12</v>
      </c>
      <c r="X35" s="775">
        <f>AVERAGE(O35,M35,S35,K35,Q35)</f>
        <v>0.49498876123876123</v>
      </c>
    </row>
    <row r="36" spans="1:27" ht="15" customHeight="1" thickTop="1" x14ac:dyDescent="0.2">
      <c r="A36" s="311" t="s">
        <v>272</v>
      </c>
      <c r="B36" s="297"/>
      <c r="C36" s="312"/>
      <c r="D36" s="297"/>
      <c r="E36" s="312"/>
      <c r="F36" s="297"/>
      <c r="G36" s="312"/>
      <c r="H36" s="297"/>
      <c r="I36" s="312"/>
      <c r="J36" s="297"/>
      <c r="K36" s="312"/>
      <c r="L36" s="297"/>
      <c r="M36" s="312"/>
      <c r="N36" s="297"/>
      <c r="O36" s="312"/>
      <c r="P36" s="297"/>
      <c r="Q36" s="312"/>
      <c r="R36" s="297"/>
      <c r="S36" s="312"/>
      <c r="T36" s="297"/>
      <c r="U36" s="312"/>
      <c r="V36" s="226"/>
      <c r="W36" s="313"/>
      <c r="X36" s="313"/>
    </row>
    <row r="37" spans="1:27" s="85" customFormat="1" ht="15" customHeight="1" thickBot="1" x14ac:dyDescent="0.25">
      <c r="A37" s="649"/>
      <c r="B37" s="650"/>
      <c r="C37" s="650"/>
      <c r="D37" s="650"/>
      <c r="E37" s="650"/>
      <c r="F37" s="650"/>
      <c r="G37" s="650"/>
      <c r="H37" s="650"/>
      <c r="I37" s="650"/>
      <c r="J37" s="650"/>
      <c r="K37" s="650"/>
      <c r="L37" s="650"/>
      <c r="M37" s="650"/>
      <c r="N37" s="650"/>
      <c r="O37" s="650"/>
      <c r="P37" s="650"/>
      <c r="Q37" s="650"/>
      <c r="R37" s="650"/>
      <c r="S37" s="650"/>
      <c r="T37" s="650"/>
      <c r="U37" s="650"/>
      <c r="V37" s="651"/>
      <c r="W37" s="650"/>
      <c r="X37" s="650"/>
      <c r="Y37" s="56"/>
      <c r="Z37" s="56"/>
      <c r="AA37" s="57"/>
    </row>
    <row r="38" spans="1:27" s="1" customFormat="1" ht="18.75" customHeight="1" thickTop="1" thickBot="1" x14ac:dyDescent="0.25">
      <c r="A38" s="175" t="s">
        <v>247</v>
      </c>
      <c r="B38" s="1385" t="s">
        <v>30</v>
      </c>
      <c r="C38" s="1395"/>
      <c r="D38" s="1385" t="s">
        <v>31</v>
      </c>
      <c r="E38" s="1396"/>
      <c r="F38" s="1385" t="s">
        <v>32</v>
      </c>
      <c r="G38" s="1396"/>
      <c r="H38" s="1385" t="s">
        <v>33</v>
      </c>
      <c r="I38" s="1396"/>
      <c r="J38" s="1385" t="s">
        <v>34</v>
      </c>
      <c r="K38" s="1396"/>
      <c r="L38" s="1385" t="s">
        <v>35</v>
      </c>
      <c r="M38" s="1396"/>
      <c r="N38" s="1385" t="s">
        <v>36</v>
      </c>
      <c r="O38" s="1396"/>
      <c r="P38" s="1385" t="s">
        <v>37</v>
      </c>
      <c r="Q38" s="1396"/>
      <c r="R38" s="1385" t="s">
        <v>38</v>
      </c>
      <c r="S38" s="1396"/>
      <c r="T38" s="1385" t="s">
        <v>302</v>
      </c>
      <c r="U38" s="1386"/>
      <c r="V38" s="195"/>
      <c r="W38" s="1382" t="s">
        <v>9</v>
      </c>
      <c r="X38" s="1383"/>
    </row>
    <row r="39" spans="1:27" s="1" customFormat="1" ht="24" x14ac:dyDescent="0.2">
      <c r="A39" s="715" t="s">
        <v>259</v>
      </c>
      <c r="B39" s="711"/>
      <c r="C39" s="529"/>
      <c r="D39" s="711"/>
      <c r="E39" s="712"/>
      <c r="F39" s="711"/>
      <c r="G39" s="712"/>
      <c r="H39" s="711"/>
      <c r="I39" s="712"/>
      <c r="J39" s="711"/>
      <c r="K39" s="712"/>
      <c r="L39" s="711"/>
      <c r="M39" s="712"/>
      <c r="N39" s="711"/>
      <c r="O39" s="712"/>
      <c r="P39" s="711"/>
      <c r="Q39" s="712"/>
      <c r="R39" s="711"/>
      <c r="S39" s="712"/>
      <c r="T39" s="713"/>
      <c r="U39" s="714"/>
      <c r="V39" s="195"/>
      <c r="W39" s="272"/>
      <c r="X39" s="271"/>
    </row>
    <row r="40" spans="1:27" s="1" customFormat="1" ht="24" x14ac:dyDescent="0.2">
      <c r="A40" s="722" t="s">
        <v>237</v>
      </c>
      <c r="B40" s="181"/>
      <c r="C40" s="723">
        <v>7</v>
      </c>
      <c r="D40" s="181"/>
      <c r="E40" s="723">
        <v>9</v>
      </c>
      <c r="F40" s="181"/>
      <c r="G40" s="723">
        <v>9</v>
      </c>
      <c r="H40" s="181"/>
      <c r="I40" s="723">
        <v>8</v>
      </c>
      <c r="J40" s="181"/>
      <c r="K40" s="723">
        <v>7</v>
      </c>
      <c r="L40" s="181"/>
      <c r="M40" s="723">
        <v>6</v>
      </c>
      <c r="N40" s="181"/>
      <c r="O40" s="723">
        <v>8</v>
      </c>
      <c r="P40" s="181"/>
      <c r="Q40" s="723">
        <v>10</v>
      </c>
      <c r="R40" s="181"/>
      <c r="S40" s="723">
        <v>10</v>
      </c>
      <c r="T40" s="652"/>
      <c r="U40" s="323"/>
      <c r="V40" s="195"/>
      <c r="W40" s="347"/>
      <c r="X40" s="340">
        <f>AVERAGE(O40,M40,S40,U40,Q40)</f>
        <v>8.5</v>
      </c>
    </row>
    <row r="41" spans="1:27" s="1" customFormat="1" ht="24" x14ac:dyDescent="0.2">
      <c r="A41" s="721" t="s">
        <v>239</v>
      </c>
      <c r="B41" s="654"/>
      <c r="C41" s="716">
        <v>7</v>
      </c>
      <c r="D41" s="654"/>
      <c r="E41" s="716">
        <v>9</v>
      </c>
      <c r="F41" s="654"/>
      <c r="G41" s="716">
        <v>9</v>
      </c>
      <c r="H41" s="654"/>
      <c r="I41" s="716">
        <v>8</v>
      </c>
      <c r="J41" s="654"/>
      <c r="K41" s="716">
        <v>7</v>
      </c>
      <c r="L41" s="654"/>
      <c r="M41" s="716">
        <v>6</v>
      </c>
      <c r="N41" s="654"/>
      <c r="O41" s="716">
        <v>8</v>
      </c>
      <c r="P41" s="654"/>
      <c r="Q41" s="716">
        <v>10</v>
      </c>
      <c r="R41" s="654"/>
      <c r="S41" s="716">
        <v>10</v>
      </c>
      <c r="T41" s="654"/>
      <c r="U41" s="340"/>
      <c r="V41" s="195"/>
      <c r="W41" s="1252"/>
      <c r="X41" s="394">
        <f t="shared" ref="X41:X42" si="4">AVERAGE(O41,M41,S41,U41,Q41)</f>
        <v>8.5</v>
      </c>
    </row>
    <row r="42" spans="1:27" s="882" customFormat="1" ht="15" customHeight="1" thickBot="1" x14ac:dyDescent="0.25">
      <c r="A42" s="876" t="s">
        <v>238</v>
      </c>
      <c r="B42" s="877"/>
      <c r="C42" s="878">
        <v>7</v>
      </c>
      <c r="D42" s="877"/>
      <c r="E42" s="878">
        <v>9</v>
      </c>
      <c r="F42" s="877"/>
      <c r="G42" s="878">
        <v>9</v>
      </c>
      <c r="H42" s="877"/>
      <c r="I42" s="878">
        <v>8</v>
      </c>
      <c r="J42" s="877"/>
      <c r="K42" s="878">
        <v>7</v>
      </c>
      <c r="L42" s="877"/>
      <c r="M42" s="878">
        <v>6</v>
      </c>
      <c r="N42" s="877"/>
      <c r="O42" s="878">
        <v>8</v>
      </c>
      <c r="P42" s="877"/>
      <c r="Q42" s="878">
        <v>10</v>
      </c>
      <c r="R42" s="877"/>
      <c r="S42" s="878">
        <v>10</v>
      </c>
      <c r="T42" s="879"/>
      <c r="U42" s="880"/>
      <c r="V42" s="881"/>
      <c r="W42" s="950"/>
      <c r="X42" s="1253">
        <f t="shared" si="4"/>
        <v>8.5</v>
      </c>
    </row>
    <row r="43" spans="1:27" s="1" customFormat="1" ht="18" customHeight="1" thickBot="1" x14ac:dyDescent="0.25">
      <c r="A43" s="795" t="s">
        <v>264</v>
      </c>
      <c r="B43" s="797" t="s">
        <v>40</v>
      </c>
      <c r="C43" s="798" t="s">
        <v>41</v>
      </c>
      <c r="D43" s="799" t="s">
        <v>40</v>
      </c>
      <c r="E43" s="800" t="s">
        <v>41</v>
      </c>
      <c r="F43" s="797" t="s">
        <v>40</v>
      </c>
      <c r="G43" s="798" t="s">
        <v>41</v>
      </c>
      <c r="H43" s="799" t="s">
        <v>40</v>
      </c>
      <c r="I43" s="800" t="s">
        <v>41</v>
      </c>
      <c r="J43" s="797" t="s">
        <v>40</v>
      </c>
      <c r="K43" s="798" t="s">
        <v>41</v>
      </c>
      <c r="L43" s="799" t="s">
        <v>40</v>
      </c>
      <c r="M43" s="800" t="s">
        <v>41</v>
      </c>
      <c r="N43" s="797" t="s">
        <v>40</v>
      </c>
      <c r="O43" s="798" t="s">
        <v>41</v>
      </c>
      <c r="P43" s="799" t="s">
        <v>40</v>
      </c>
      <c r="Q43" s="800" t="s">
        <v>41</v>
      </c>
      <c r="R43" s="799" t="s">
        <v>40</v>
      </c>
      <c r="S43" s="800" t="s">
        <v>41</v>
      </c>
      <c r="T43" s="801" t="s">
        <v>40</v>
      </c>
      <c r="U43" s="802" t="s">
        <v>41</v>
      </c>
      <c r="V43" s="204"/>
      <c r="W43" s="1254" t="s">
        <v>40</v>
      </c>
      <c r="X43" s="804" t="s">
        <v>41</v>
      </c>
    </row>
    <row r="44" spans="1:27" s="1" customFormat="1" ht="15" customHeight="1" x14ac:dyDescent="0.2">
      <c r="A44" s="680" t="s">
        <v>42</v>
      </c>
      <c r="B44" s="681"/>
      <c r="C44" s="805"/>
      <c r="D44" s="806"/>
      <c r="E44" s="682"/>
      <c r="F44" s="681"/>
      <c r="G44" s="807"/>
      <c r="H44" s="808"/>
      <c r="I44" s="682"/>
      <c r="J44" s="681"/>
      <c r="K44" s="807"/>
      <c r="L44" s="808"/>
      <c r="M44" s="682"/>
      <c r="N44" s="681"/>
      <c r="O44" s="807"/>
      <c r="P44" s="808"/>
      <c r="Q44" s="682"/>
      <c r="R44" s="808"/>
      <c r="S44" s="682"/>
      <c r="T44" s="806"/>
      <c r="U44" s="683"/>
      <c r="V44" s="204"/>
      <c r="W44" s="1029"/>
      <c r="X44" s="1030"/>
    </row>
    <row r="45" spans="1:27" s="1" customFormat="1" ht="15" customHeight="1" x14ac:dyDescent="0.2">
      <c r="A45" s="678" t="s">
        <v>43</v>
      </c>
      <c r="B45" s="809"/>
      <c r="C45" s="810">
        <v>8</v>
      </c>
      <c r="D45" s="809"/>
      <c r="E45" s="321">
        <v>10</v>
      </c>
      <c r="F45" s="809"/>
      <c r="G45" s="811">
        <v>10</v>
      </c>
      <c r="H45" s="809"/>
      <c r="I45" s="321">
        <v>8</v>
      </c>
      <c r="J45" s="812">
        <v>8</v>
      </c>
      <c r="K45" s="811">
        <v>8</v>
      </c>
      <c r="L45" s="813">
        <v>7</v>
      </c>
      <c r="M45" s="321">
        <v>7</v>
      </c>
      <c r="N45" s="812">
        <v>9</v>
      </c>
      <c r="O45" s="811">
        <v>9</v>
      </c>
      <c r="P45" s="813">
        <v>10</v>
      </c>
      <c r="Q45" s="321">
        <v>10</v>
      </c>
      <c r="R45" s="813">
        <v>10</v>
      </c>
      <c r="S45" s="321">
        <v>10</v>
      </c>
      <c r="T45" s="814"/>
      <c r="U45" s="322"/>
      <c r="V45" s="204"/>
      <c r="W45" s="936">
        <f>AVERAGE(T45,L45,N45,P45,R45)</f>
        <v>9</v>
      </c>
      <c r="X45" s="1031">
        <f t="shared" ref="X45:X50" si="5">AVERAGE(O45,M45,S45,U45,Q45)</f>
        <v>9</v>
      </c>
    </row>
    <row r="46" spans="1:27" s="1" customFormat="1" ht="15" customHeight="1" x14ac:dyDescent="0.2">
      <c r="A46" s="678" t="s">
        <v>44</v>
      </c>
      <c r="B46" s="809"/>
      <c r="C46" s="810">
        <v>3</v>
      </c>
      <c r="D46" s="809"/>
      <c r="E46" s="321">
        <v>2</v>
      </c>
      <c r="F46" s="809"/>
      <c r="G46" s="811">
        <v>2</v>
      </c>
      <c r="H46" s="809"/>
      <c r="I46" s="321">
        <v>3</v>
      </c>
      <c r="J46" s="812">
        <v>1.9</v>
      </c>
      <c r="K46" s="811">
        <v>4</v>
      </c>
      <c r="L46" s="813">
        <v>2.2999999999999998</v>
      </c>
      <c r="M46" s="321">
        <v>5</v>
      </c>
      <c r="N46" s="812">
        <v>2.2999999999999998</v>
      </c>
      <c r="O46" s="811">
        <v>5</v>
      </c>
      <c r="P46" s="813">
        <v>2.2999999999999998</v>
      </c>
      <c r="Q46" s="321">
        <v>4</v>
      </c>
      <c r="R46" s="813">
        <v>2.2999999999999998</v>
      </c>
      <c r="S46" s="321">
        <v>4</v>
      </c>
      <c r="T46" s="814"/>
      <c r="U46" s="322"/>
      <c r="V46" s="204"/>
      <c r="W46" s="936">
        <f t="shared" ref="W46:W50" si="6">AVERAGE(T46,L46,N46,P46,R46)</f>
        <v>2.2999999999999998</v>
      </c>
      <c r="X46" s="1031">
        <f t="shared" si="5"/>
        <v>4.5</v>
      </c>
    </row>
    <row r="47" spans="1:27" s="1" customFormat="1" ht="15" customHeight="1" x14ac:dyDescent="0.2">
      <c r="A47" s="676" t="s">
        <v>45</v>
      </c>
      <c r="B47" s="663"/>
      <c r="C47" s="815"/>
      <c r="D47" s="663"/>
      <c r="E47" s="325"/>
      <c r="F47" s="663"/>
      <c r="G47" s="816"/>
      <c r="H47" s="663"/>
      <c r="I47" s="325"/>
      <c r="J47" s="812"/>
      <c r="K47" s="816"/>
      <c r="L47" s="813"/>
      <c r="M47" s="325"/>
      <c r="N47" s="812"/>
      <c r="O47" s="816"/>
      <c r="P47" s="813"/>
      <c r="Q47" s="325"/>
      <c r="R47" s="813"/>
      <c r="S47" s="325"/>
      <c r="T47" s="814"/>
      <c r="U47" s="340"/>
      <c r="V47" s="204"/>
      <c r="W47" s="936"/>
      <c r="X47" s="1031"/>
    </row>
    <row r="48" spans="1:27" s="1" customFormat="1" ht="15" customHeight="1" x14ac:dyDescent="0.2">
      <c r="A48" s="678" t="s">
        <v>43</v>
      </c>
      <c r="B48" s="809"/>
      <c r="C48" s="815">
        <v>0</v>
      </c>
      <c r="D48" s="809"/>
      <c r="E48" s="325">
        <v>0</v>
      </c>
      <c r="F48" s="809"/>
      <c r="G48" s="816">
        <v>0</v>
      </c>
      <c r="H48" s="809"/>
      <c r="I48" s="325">
        <v>1</v>
      </c>
      <c r="J48" s="812">
        <v>0</v>
      </c>
      <c r="K48" s="816">
        <v>0</v>
      </c>
      <c r="L48" s="813">
        <v>0</v>
      </c>
      <c r="M48" s="325">
        <v>0</v>
      </c>
      <c r="N48" s="812">
        <v>0</v>
      </c>
      <c r="O48" s="816">
        <v>0</v>
      </c>
      <c r="P48" s="813">
        <v>0</v>
      </c>
      <c r="Q48" s="325">
        <v>0</v>
      </c>
      <c r="R48" s="813">
        <v>0</v>
      </c>
      <c r="S48" s="325">
        <v>0</v>
      </c>
      <c r="T48" s="814"/>
      <c r="U48" s="340"/>
      <c r="V48" s="204"/>
      <c r="W48" s="936">
        <f t="shared" si="6"/>
        <v>0</v>
      </c>
      <c r="X48" s="1031">
        <f t="shared" si="5"/>
        <v>0</v>
      </c>
    </row>
    <row r="49" spans="1:24" s="1" customFormat="1" ht="15" customHeight="1" thickBot="1" x14ac:dyDescent="0.25">
      <c r="A49" s="679" t="s">
        <v>44</v>
      </c>
      <c r="B49" s="817"/>
      <c r="C49" s="818">
        <v>0</v>
      </c>
      <c r="D49" s="817"/>
      <c r="E49" s="476">
        <v>0</v>
      </c>
      <c r="F49" s="817"/>
      <c r="G49" s="819">
        <v>0</v>
      </c>
      <c r="H49" s="817"/>
      <c r="I49" s="476">
        <v>0</v>
      </c>
      <c r="J49" s="820">
        <v>0.4</v>
      </c>
      <c r="K49" s="819">
        <v>1</v>
      </c>
      <c r="L49" s="821">
        <v>0.4</v>
      </c>
      <c r="M49" s="476">
        <v>1</v>
      </c>
      <c r="N49" s="820">
        <v>0</v>
      </c>
      <c r="O49" s="819">
        <v>0</v>
      </c>
      <c r="P49" s="821">
        <v>0</v>
      </c>
      <c r="Q49" s="476">
        <v>0</v>
      </c>
      <c r="R49" s="821">
        <v>0</v>
      </c>
      <c r="S49" s="476">
        <v>0</v>
      </c>
      <c r="T49" s="822"/>
      <c r="U49" s="326"/>
      <c r="V49" s="204"/>
      <c r="W49" s="1020">
        <f t="shared" si="6"/>
        <v>0.1</v>
      </c>
      <c r="X49" s="1032">
        <f t="shared" si="5"/>
        <v>0.25</v>
      </c>
    </row>
    <row r="50" spans="1:24" s="1" customFormat="1" ht="15" customHeight="1" thickBot="1" x14ac:dyDescent="0.25">
      <c r="A50" s="796" t="s">
        <v>28</v>
      </c>
      <c r="B50" s="823"/>
      <c r="C50" s="824">
        <f>SUM(C45:C49)</f>
        <v>11</v>
      </c>
      <c r="D50" s="823"/>
      <c r="E50" s="825">
        <f>SUM(E45:E49)</f>
        <v>12</v>
      </c>
      <c r="F50" s="823"/>
      <c r="G50" s="826">
        <f>SUM(G45:G49)</f>
        <v>12</v>
      </c>
      <c r="H50" s="823"/>
      <c r="I50" s="825">
        <f t="shared" ref="I50:S50" si="7">SUM(I45:I49)</f>
        <v>12</v>
      </c>
      <c r="J50" s="827">
        <f t="shared" si="7"/>
        <v>10.3</v>
      </c>
      <c r="K50" s="826">
        <f t="shared" si="7"/>
        <v>13</v>
      </c>
      <c r="L50" s="827">
        <f t="shared" si="7"/>
        <v>9.7000000000000011</v>
      </c>
      <c r="M50" s="825">
        <f t="shared" si="7"/>
        <v>13</v>
      </c>
      <c r="N50" s="827">
        <f t="shared" si="7"/>
        <v>11.3</v>
      </c>
      <c r="O50" s="826">
        <f t="shared" si="7"/>
        <v>14</v>
      </c>
      <c r="P50" s="827">
        <f t="shared" si="7"/>
        <v>12.3</v>
      </c>
      <c r="Q50" s="825">
        <f t="shared" si="7"/>
        <v>14</v>
      </c>
      <c r="R50" s="827">
        <f t="shared" si="7"/>
        <v>12.3</v>
      </c>
      <c r="S50" s="825">
        <f t="shared" si="7"/>
        <v>14</v>
      </c>
      <c r="T50" s="827">
        <f t="shared" ref="T50:U50" si="8">SUM(T45:T49)</f>
        <v>0</v>
      </c>
      <c r="U50" s="828">
        <f t="shared" si="8"/>
        <v>0</v>
      </c>
      <c r="V50" s="204"/>
      <c r="W50" s="1028">
        <f t="shared" si="6"/>
        <v>9.1199999999999992</v>
      </c>
      <c r="X50" s="1033">
        <f t="shared" si="5"/>
        <v>11</v>
      </c>
    </row>
    <row r="51" spans="1:24" s="1" customFormat="1" ht="18" customHeight="1" thickBot="1" x14ac:dyDescent="0.25">
      <c r="A51" s="795" t="s">
        <v>253</v>
      </c>
      <c r="B51" s="344" t="s">
        <v>39</v>
      </c>
      <c r="C51" s="707" t="s">
        <v>46</v>
      </c>
      <c r="D51" s="344" t="s">
        <v>39</v>
      </c>
      <c r="E51" s="708" t="s">
        <v>46</v>
      </c>
      <c r="F51" s="829" t="s">
        <v>39</v>
      </c>
      <c r="G51" s="708" t="s">
        <v>46</v>
      </c>
      <c r="H51" s="709" t="s">
        <v>39</v>
      </c>
      <c r="I51" s="830" t="s">
        <v>46</v>
      </c>
      <c r="J51" s="829" t="s">
        <v>39</v>
      </c>
      <c r="K51" s="708" t="s">
        <v>46</v>
      </c>
      <c r="L51" s="709" t="s">
        <v>39</v>
      </c>
      <c r="M51" s="830" t="s">
        <v>46</v>
      </c>
      <c r="N51" s="829" t="s">
        <v>39</v>
      </c>
      <c r="O51" s="708" t="s">
        <v>46</v>
      </c>
      <c r="P51" s="709" t="s">
        <v>39</v>
      </c>
      <c r="Q51" s="830" t="s">
        <v>46</v>
      </c>
      <c r="R51" s="709" t="s">
        <v>39</v>
      </c>
      <c r="S51" s="830" t="s">
        <v>46</v>
      </c>
      <c r="T51" s="709" t="s">
        <v>39</v>
      </c>
      <c r="U51" s="710" t="s">
        <v>46</v>
      </c>
      <c r="V51" s="195"/>
      <c r="W51" s="832" t="s">
        <v>39</v>
      </c>
      <c r="X51" s="804" t="s">
        <v>46</v>
      </c>
    </row>
    <row r="52" spans="1:24" s="1" customFormat="1" ht="18" customHeight="1" x14ac:dyDescent="0.2">
      <c r="A52" s="848" t="s">
        <v>265</v>
      </c>
      <c r="B52" s="459"/>
      <c r="C52" s="792"/>
      <c r="D52" s="459"/>
      <c r="E52" s="793"/>
      <c r="F52" s="280"/>
      <c r="G52" s="793"/>
      <c r="H52" s="280"/>
      <c r="I52" s="793"/>
      <c r="J52" s="280"/>
      <c r="K52" s="793"/>
      <c r="L52" s="280"/>
      <c r="M52" s="793"/>
      <c r="N52" s="280"/>
      <c r="O52" s="793"/>
      <c r="P52" s="280"/>
      <c r="Q52" s="793"/>
      <c r="R52" s="280"/>
      <c r="S52" s="793"/>
      <c r="T52" s="280"/>
      <c r="U52" s="794"/>
      <c r="V52" s="195"/>
      <c r="W52" s="1026"/>
      <c r="X52" s="199"/>
    </row>
    <row r="53" spans="1:24" s="1" customFormat="1" ht="15" customHeight="1" x14ac:dyDescent="0.2">
      <c r="A53" s="706" t="s">
        <v>47</v>
      </c>
      <c r="B53" s="156">
        <v>8</v>
      </c>
      <c r="C53" s="191">
        <f t="shared" ref="C53:C60" si="9">B53/C$50</f>
        <v>0.72727272727272729</v>
      </c>
      <c r="D53" s="156">
        <f>8+2</f>
        <v>10</v>
      </c>
      <c r="E53" s="192">
        <f t="shared" ref="E53:E60" si="10">D53/E$50</f>
        <v>0.83333333333333337</v>
      </c>
      <c r="F53" s="160">
        <v>9</v>
      </c>
      <c r="G53" s="192">
        <f t="shared" ref="G53:G60" si="11">F53/G$50</f>
        <v>0.75</v>
      </c>
      <c r="H53" s="160">
        <v>9</v>
      </c>
      <c r="I53" s="192">
        <f t="shared" ref="I53:I60" si="12">H53/I$50</f>
        <v>0.75</v>
      </c>
      <c r="J53" s="160">
        <f>6+5</f>
        <v>11</v>
      </c>
      <c r="K53" s="192">
        <f t="shared" ref="K53:K60" si="13">J53/K$50</f>
        <v>0.84615384615384615</v>
      </c>
      <c r="L53" s="160">
        <v>11</v>
      </c>
      <c r="M53" s="192">
        <f t="shared" ref="M53:M58" si="14">L53/M$50</f>
        <v>0.84615384615384615</v>
      </c>
      <c r="N53" s="160">
        <f>5+7</f>
        <v>12</v>
      </c>
      <c r="O53" s="192">
        <f t="shared" ref="O53:Q58" si="15">N53/O$50</f>
        <v>0.8571428571428571</v>
      </c>
      <c r="P53" s="160">
        <v>12</v>
      </c>
      <c r="Q53" s="192">
        <f t="shared" si="15"/>
        <v>0.8571428571428571</v>
      </c>
      <c r="R53" s="160">
        <f>4+7</f>
        <v>11</v>
      </c>
      <c r="S53" s="192">
        <f t="shared" ref="S53:S58" si="16">R53/S$50</f>
        <v>0.7857142857142857</v>
      </c>
      <c r="T53" s="202"/>
      <c r="U53" s="203" t="e">
        <f t="shared" ref="U53:U58" si="17">T53/U$50</f>
        <v>#DIV/0!</v>
      </c>
      <c r="V53" s="204"/>
      <c r="W53" s="205">
        <f>AVERAGE(N53,L53,R53,T53,P53)</f>
        <v>11.5</v>
      </c>
      <c r="X53" s="206" t="e">
        <f>AVERAGE(O53,M53,S53,U53,Q53)</f>
        <v>#DIV/0!</v>
      </c>
    </row>
    <row r="54" spans="1:24" s="1" customFormat="1" ht="15" customHeight="1" x14ac:dyDescent="0.2">
      <c r="A54" s="207" t="s">
        <v>48</v>
      </c>
      <c r="B54" s="156">
        <v>0</v>
      </c>
      <c r="C54" s="191">
        <f t="shared" si="9"/>
        <v>0</v>
      </c>
      <c r="D54" s="156">
        <v>0</v>
      </c>
      <c r="E54" s="192">
        <f t="shared" si="10"/>
        <v>0</v>
      </c>
      <c r="F54" s="160">
        <v>0</v>
      </c>
      <c r="G54" s="192">
        <f t="shared" si="11"/>
        <v>0</v>
      </c>
      <c r="H54" s="160">
        <v>0</v>
      </c>
      <c r="I54" s="192">
        <f t="shared" si="12"/>
        <v>0</v>
      </c>
      <c r="J54" s="160">
        <f>0</f>
        <v>0</v>
      </c>
      <c r="K54" s="192">
        <f t="shared" si="13"/>
        <v>0</v>
      </c>
      <c r="L54" s="160">
        <v>0</v>
      </c>
      <c r="M54" s="192">
        <f t="shared" si="14"/>
        <v>0</v>
      </c>
      <c r="N54" s="160">
        <v>0</v>
      </c>
      <c r="O54" s="192">
        <f t="shared" si="15"/>
        <v>0</v>
      </c>
      <c r="P54" s="160">
        <v>0</v>
      </c>
      <c r="Q54" s="192">
        <f t="shared" si="15"/>
        <v>0</v>
      </c>
      <c r="R54" s="160">
        <v>0</v>
      </c>
      <c r="S54" s="192">
        <f t="shared" si="16"/>
        <v>0</v>
      </c>
      <c r="T54" s="202"/>
      <c r="U54" s="203" t="e">
        <f t="shared" si="17"/>
        <v>#DIV/0!</v>
      </c>
      <c r="V54" s="204"/>
      <c r="W54" s="205">
        <f t="shared" ref="W54:X72" si="18">AVERAGE(N54,L54,R54,T54,P54)</f>
        <v>0</v>
      </c>
      <c r="X54" s="206" t="e">
        <f t="shared" si="18"/>
        <v>#DIV/0!</v>
      </c>
    </row>
    <row r="55" spans="1:24" s="1" customFormat="1" ht="15" customHeight="1" x14ac:dyDescent="0.2">
      <c r="A55" s="207" t="s">
        <v>49</v>
      </c>
      <c r="B55" s="156">
        <v>1</v>
      </c>
      <c r="C55" s="191">
        <f t="shared" si="9"/>
        <v>9.0909090909090912E-2</v>
      </c>
      <c r="D55" s="156">
        <v>1</v>
      </c>
      <c r="E55" s="192">
        <f t="shared" si="10"/>
        <v>8.3333333333333329E-2</v>
      </c>
      <c r="F55" s="160">
        <v>1</v>
      </c>
      <c r="G55" s="192">
        <f t="shared" si="11"/>
        <v>8.3333333333333329E-2</v>
      </c>
      <c r="H55" s="160">
        <v>0</v>
      </c>
      <c r="I55" s="192">
        <f t="shared" si="12"/>
        <v>0</v>
      </c>
      <c r="J55" s="160">
        <f>0</f>
        <v>0</v>
      </c>
      <c r="K55" s="192">
        <f t="shared" si="13"/>
        <v>0</v>
      </c>
      <c r="L55" s="160">
        <v>0</v>
      </c>
      <c r="M55" s="192">
        <f t="shared" si="14"/>
        <v>0</v>
      </c>
      <c r="N55" s="160">
        <v>0</v>
      </c>
      <c r="O55" s="192">
        <f t="shared" si="15"/>
        <v>0</v>
      </c>
      <c r="P55" s="160">
        <v>0</v>
      </c>
      <c r="Q55" s="192">
        <f t="shared" si="15"/>
        <v>0</v>
      </c>
      <c r="R55" s="160">
        <v>0</v>
      </c>
      <c r="S55" s="192">
        <f t="shared" si="16"/>
        <v>0</v>
      </c>
      <c r="T55" s="202"/>
      <c r="U55" s="203" t="e">
        <f t="shared" si="17"/>
        <v>#DIV/0!</v>
      </c>
      <c r="V55" s="204"/>
      <c r="W55" s="205">
        <f t="shared" si="18"/>
        <v>0</v>
      </c>
      <c r="X55" s="206" t="e">
        <f t="shared" si="18"/>
        <v>#DIV/0!</v>
      </c>
    </row>
    <row r="56" spans="1:24" s="1" customFormat="1" ht="15" customHeight="1" x14ac:dyDescent="0.2">
      <c r="A56" s="207" t="s">
        <v>50</v>
      </c>
      <c r="B56" s="156">
        <v>0</v>
      </c>
      <c r="C56" s="191">
        <f t="shared" si="9"/>
        <v>0</v>
      </c>
      <c r="D56" s="156">
        <v>0</v>
      </c>
      <c r="E56" s="192">
        <f t="shared" si="10"/>
        <v>0</v>
      </c>
      <c r="F56" s="160">
        <v>0</v>
      </c>
      <c r="G56" s="192">
        <f t="shared" si="11"/>
        <v>0</v>
      </c>
      <c r="H56" s="160">
        <v>0</v>
      </c>
      <c r="I56" s="192">
        <f t="shared" si="12"/>
        <v>0</v>
      </c>
      <c r="J56" s="160">
        <f>0</f>
        <v>0</v>
      </c>
      <c r="K56" s="192">
        <f t="shared" si="13"/>
        <v>0</v>
      </c>
      <c r="L56" s="160">
        <v>0</v>
      </c>
      <c r="M56" s="192">
        <f t="shared" si="14"/>
        <v>0</v>
      </c>
      <c r="N56" s="160">
        <v>0</v>
      </c>
      <c r="O56" s="192">
        <f t="shared" si="15"/>
        <v>0</v>
      </c>
      <c r="P56" s="160">
        <v>0</v>
      </c>
      <c r="Q56" s="192">
        <f t="shared" si="15"/>
        <v>0</v>
      </c>
      <c r="R56" s="160">
        <v>0</v>
      </c>
      <c r="S56" s="192">
        <f t="shared" si="16"/>
        <v>0</v>
      </c>
      <c r="T56" s="202"/>
      <c r="U56" s="203" t="e">
        <f t="shared" si="17"/>
        <v>#DIV/0!</v>
      </c>
      <c r="V56" s="204"/>
      <c r="W56" s="205">
        <f t="shared" si="18"/>
        <v>0</v>
      </c>
      <c r="X56" s="206" t="e">
        <f t="shared" si="18"/>
        <v>#DIV/0!</v>
      </c>
    </row>
    <row r="57" spans="1:24" s="1" customFormat="1" ht="15" customHeight="1" x14ac:dyDescent="0.2">
      <c r="A57" s="207" t="s">
        <v>51</v>
      </c>
      <c r="B57" s="156">
        <v>1</v>
      </c>
      <c r="C57" s="191">
        <f t="shared" si="9"/>
        <v>9.0909090909090912E-2</v>
      </c>
      <c r="D57" s="156">
        <v>1</v>
      </c>
      <c r="E57" s="192">
        <f t="shared" si="10"/>
        <v>8.3333333333333329E-2</v>
      </c>
      <c r="F57" s="160">
        <v>2</v>
      </c>
      <c r="G57" s="192">
        <f t="shared" si="11"/>
        <v>0.16666666666666666</v>
      </c>
      <c r="H57" s="160">
        <v>2</v>
      </c>
      <c r="I57" s="192">
        <f t="shared" si="12"/>
        <v>0.16666666666666666</v>
      </c>
      <c r="J57" s="160">
        <f>2</f>
        <v>2</v>
      </c>
      <c r="K57" s="192">
        <f t="shared" si="13"/>
        <v>0.15384615384615385</v>
      </c>
      <c r="L57" s="160">
        <v>2</v>
      </c>
      <c r="M57" s="192">
        <f t="shared" si="14"/>
        <v>0.15384615384615385</v>
      </c>
      <c r="N57" s="160">
        <v>2</v>
      </c>
      <c r="O57" s="192">
        <f t="shared" si="15"/>
        <v>0.14285714285714285</v>
      </c>
      <c r="P57" s="160">
        <v>2</v>
      </c>
      <c r="Q57" s="192">
        <f t="shared" si="15"/>
        <v>0.14285714285714285</v>
      </c>
      <c r="R57" s="160">
        <v>2</v>
      </c>
      <c r="S57" s="192">
        <f t="shared" si="16"/>
        <v>0.14285714285714285</v>
      </c>
      <c r="T57" s="202"/>
      <c r="U57" s="203" t="e">
        <f t="shared" si="17"/>
        <v>#DIV/0!</v>
      </c>
      <c r="V57" s="204"/>
      <c r="W57" s="205">
        <f t="shared" si="18"/>
        <v>2</v>
      </c>
      <c r="X57" s="206" t="e">
        <f t="shared" si="18"/>
        <v>#DIV/0!</v>
      </c>
    </row>
    <row r="58" spans="1:24" s="1" customFormat="1" ht="15" customHeight="1" x14ac:dyDescent="0.2">
      <c r="A58" s="207" t="s">
        <v>52</v>
      </c>
      <c r="B58" s="156">
        <v>0</v>
      </c>
      <c r="C58" s="191">
        <f t="shared" si="9"/>
        <v>0</v>
      </c>
      <c r="D58" s="156">
        <v>0</v>
      </c>
      <c r="E58" s="192">
        <f t="shared" si="10"/>
        <v>0</v>
      </c>
      <c r="F58" s="160">
        <v>0</v>
      </c>
      <c r="G58" s="192">
        <f t="shared" si="11"/>
        <v>0</v>
      </c>
      <c r="H58" s="160">
        <v>1</v>
      </c>
      <c r="I58" s="192">
        <f t="shared" si="12"/>
        <v>8.3333333333333329E-2</v>
      </c>
      <c r="J58" s="160">
        <f>0</f>
        <v>0</v>
      </c>
      <c r="K58" s="192">
        <f t="shared" si="13"/>
        <v>0</v>
      </c>
      <c r="L58" s="160">
        <v>0</v>
      </c>
      <c r="M58" s="192">
        <f t="shared" si="14"/>
        <v>0</v>
      </c>
      <c r="N58" s="160">
        <v>0</v>
      </c>
      <c r="O58" s="192">
        <f t="shared" si="15"/>
        <v>0</v>
      </c>
      <c r="P58" s="160">
        <v>0</v>
      </c>
      <c r="Q58" s="192">
        <f t="shared" si="15"/>
        <v>0</v>
      </c>
      <c r="R58" s="160">
        <v>1</v>
      </c>
      <c r="S58" s="192">
        <f t="shared" si="16"/>
        <v>7.1428571428571425E-2</v>
      </c>
      <c r="T58" s="202"/>
      <c r="U58" s="203" t="e">
        <f t="shared" si="17"/>
        <v>#DIV/0!</v>
      </c>
      <c r="V58" s="204"/>
      <c r="W58" s="205">
        <f t="shared" si="18"/>
        <v>0.25</v>
      </c>
      <c r="X58" s="206" t="e">
        <f t="shared" si="18"/>
        <v>#DIV/0!</v>
      </c>
    </row>
    <row r="59" spans="1:24" s="1" customFormat="1" ht="15" customHeight="1" x14ac:dyDescent="0.2">
      <c r="A59" s="207" t="s">
        <v>53</v>
      </c>
      <c r="B59" s="164"/>
      <c r="C59" s="191">
        <f t="shared" si="9"/>
        <v>0</v>
      </c>
      <c r="D59" s="1223"/>
      <c r="E59" s="1224"/>
      <c r="F59" s="1225"/>
      <c r="G59" s="1224"/>
      <c r="H59" s="160">
        <v>0</v>
      </c>
      <c r="I59" s="192">
        <f t="shared" si="12"/>
        <v>0</v>
      </c>
      <c r="J59" s="160">
        <f>0</f>
        <v>0</v>
      </c>
      <c r="K59" s="192">
        <f t="shared" si="13"/>
        <v>0</v>
      </c>
      <c r="L59" s="160">
        <v>0</v>
      </c>
      <c r="M59" s="192">
        <f>L59/M$50</f>
        <v>0</v>
      </c>
      <c r="N59" s="160">
        <v>0</v>
      </c>
      <c r="O59" s="192">
        <f>N59/O$50</f>
        <v>0</v>
      </c>
      <c r="P59" s="160">
        <v>0</v>
      </c>
      <c r="Q59" s="192">
        <f>P59/Q$50</f>
        <v>0</v>
      </c>
      <c r="R59" s="160">
        <v>0</v>
      </c>
      <c r="S59" s="192">
        <f>R59/S$50</f>
        <v>0</v>
      </c>
      <c r="T59" s="202"/>
      <c r="U59" s="203" t="e">
        <f>T59/U$50</f>
        <v>#DIV/0!</v>
      </c>
      <c r="V59" s="204"/>
      <c r="W59" s="205">
        <f t="shared" si="18"/>
        <v>0</v>
      </c>
      <c r="X59" s="206" t="e">
        <f t="shared" si="18"/>
        <v>#DIV/0!</v>
      </c>
    </row>
    <row r="60" spans="1:24" s="1" customFormat="1" ht="15" customHeight="1" thickBot="1" x14ac:dyDescent="0.25">
      <c r="A60" s="696" t="s">
        <v>54</v>
      </c>
      <c r="B60" s="699">
        <v>1</v>
      </c>
      <c r="C60" s="698">
        <f t="shared" si="9"/>
        <v>9.0909090909090912E-2</v>
      </c>
      <c r="D60" s="699">
        <v>0</v>
      </c>
      <c r="E60" s="700">
        <f t="shared" si="10"/>
        <v>0</v>
      </c>
      <c r="F60" s="697">
        <v>0</v>
      </c>
      <c r="G60" s="700">
        <f t="shared" si="11"/>
        <v>0</v>
      </c>
      <c r="H60" s="697">
        <v>0</v>
      </c>
      <c r="I60" s="700">
        <f t="shared" si="12"/>
        <v>0</v>
      </c>
      <c r="J60" s="697">
        <f>0</f>
        <v>0</v>
      </c>
      <c r="K60" s="700">
        <f t="shared" si="13"/>
        <v>0</v>
      </c>
      <c r="L60" s="697">
        <v>0</v>
      </c>
      <c r="M60" s="700">
        <f>L60/M$50</f>
        <v>0</v>
      </c>
      <c r="N60" s="697">
        <v>0</v>
      </c>
      <c r="O60" s="700">
        <f>N60/O$50</f>
        <v>0</v>
      </c>
      <c r="P60" s="697">
        <v>0</v>
      </c>
      <c r="Q60" s="700">
        <f>P60/Q$50</f>
        <v>0</v>
      </c>
      <c r="R60" s="697">
        <v>0</v>
      </c>
      <c r="S60" s="700">
        <f>R60/S$50</f>
        <v>0</v>
      </c>
      <c r="T60" s="701"/>
      <c r="U60" s="702" t="e">
        <f>T60/U$50</f>
        <v>#DIV/0!</v>
      </c>
      <c r="V60" s="204"/>
      <c r="W60" s="727">
        <f t="shared" si="18"/>
        <v>0</v>
      </c>
      <c r="X60" s="728" t="e">
        <f t="shared" si="18"/>
        <v>#DIV/0!</v>
      </c>
    </row>
    <row r="61" spans="1:24" s="1" customFormat="1" ht="18" customHeight="1" x14ac:dyDescent="0.2">
      <c r="A61" s="680" t="s">
        <v>55</v>
      </c>
      <c r="B61" s="686"/>
      <c r="C61" s="685"/>
      <c r="D61" s="686"/>
      <c r="E61" s="687"/>
      <c r="F61" s="684"/>
      <c r="G61" s="687"/>
      <c r="H61" s="684"/>
      <c r="I61" s="687"/>
      <c r="J61" s="684"/>
      <c r="K61" s="687"/>
      <c r="L61" s="684"/>
      <c r="M61" s="687"/>
      <c r="N61" s="684"/>
      <c r="O61" s="687"/>
      <c r="P61" s="684"/>
      <c r="Q61" s="687"/>
      <c r="R61" s="684"/>
      <c r="S61" s="687"/>
      <c r="T61" s="688"/>
      <c r="U61" s="689"/>
      <c r="V61" s="204"/>
      <c r="W61" s="736"/>
      <c r="X61" s="737"/>
    </row>
    <row r="62" spans="1:24" s="1" customFormat="1" ht="15" customHeight="1" x14ac:dyDescent="0.2">
      <c r="A62" s="200" t="s">
        <v>56</v>
      </c>
      <c r="B62" s="132">
        <v>10</v>
      </c>
      <c r="C62" s="191">
        <f>B62/C$50</f>
        <v>0.90909090909090906</v>
      </c>
      <c r="D62" s="132">
        <f>9+2</f>
        <v>11</v>
      </c>
      <c r="E62" s="192">
        <f>D62/E$50</f>
        <v>0.91666666666666663</v>
      </c>
      <c r="F62" s="48">
        <v>11</v>
      </c>
      <c r="G62" s="192">
        <f>F62/G$50</f>
        <v>0.91666666666666663</v>
      </c>
      <c r="H62" s="48">
        <v>11</v>
      </c>
      <c r="I62" s="192">
        <f>H62/I$50</f>
        <v>0.91666666666666663</v>
      </c>
      <c r="J62" s="48">
        <f>4+8</f>
        <v>12</v>
      </c>
      <c r="K62" s="192">
        <f>J62/K$50</f>
        <v>0.92307692307692313</v>
      </c>
      <c r="L62" s="48">
        <v>12</v>
      </c>
      <c r="M62" s="192">
        <f>L62/M$50</f>
        <v>0.92307692307692313</v>
      </c>
      <c r="N62" s="48">
        <f>4+8</f>
        <v>12</v>
      </c>
      <c r="O62" s="192">
        <f>N62/O$50</f>
        <v>0.8571428571428571</v>
      </c>
      <c r="P62" s="48">
        <v>12</v>
      </c>
      <c r="Q62" s="192">
        <f>P62/Q$50</f>
        <v>0.8571428571428571</v>
      </c>
      <c r="R62" s="48">
        <v>12</v>
      </c>
      <c r="S62" s="192">
        <f>R62/S$50</f>
        <v>0.8571428571428571</v>
      </c>
      <c r="T62" s="209"/>
      <c r="U62" s="203" t="e">
        <f>T62/U$50</f>
        <v>#DIV/0!</v>
      </c>
      <c r="V62" s="204"/>
      <c r="W62" s="205">
        <f t="shared" si="18"/>
        <v>12</v>
      </c>
      <c r="X62" s="206" t="e">
        <f t="shared" si="18"/>
        <v>#DIV/0!</v>
      </c>
    </row>
    <row r="63" spans="1:24" s="1" customFormat="1" ht="15" customHeight="1" thickBot="1" x14ac:dyDescent="0.25">
      <c r="A63" s="696" t="s">
        <v>57</v>
      </c>
      <c r="B63" s="704">
        <v>1</v>
      </c>
      <c r="C63" s="698">
        <f>B63/C$50</f>
        <v>9.0909090909090912E-2</v>
      </c>
      <c r="D63" s="704">
        <v>1</v>
      </c>
      <c r="E63" s="700">
        <f>D63/E$50</f>
        <v>8.3333333333333329E-2</v>
      </c>
      <c r="F63" s="703">
        <v>1</v>
      </c>
      <c r="G63" s="700">
        <f>F63/G$50</f>
        <v>8.3333333333333329E-2</v>
      </c>
      <c r="H63" s="703">
        <v>1</v>
      </c>
      <c r="I63" s="700">
        <f>H63/I$50</f>
        <v>8.3333333333333329E-2</v>
      </c>
      <c r="J63" s="703">
        <f>1</f>
        <v>1</v>
      </c>
      <c r="K63" s="700">
        <f>J63/K$50</f>
        <v>7.6923076923076927E-2</v>
      </c>
      <c r="L63" s="703">
        <v>1</v>
      </c>
      <c r="M63" s="700">
        <f>L63/M$50</f>
        <v>7.6923076923076927E-2</v>
      </c>
      <c r="N63" s="703">
        <v>2</v>
      </c>
      <c r="O63" s="700">
        <f>N63/O$50</f>
        <v>0.14285714285714285</v>
      </c>
      <c r="P63" s="703">
        <v>2</v>
      </c>
      <c r="Q63" s="700">
        <f>P63/Q$50</f>
        <v>0.14285714285714285</v>
      </c>
      <c r="R63" s="703">
        <v>2</v>
      </c>
      <c r="S63" s="700">
        <f>R63/S$50</f>
        <v>0.14285714285714285</v>
      </c>
      <c r="T63" s="705"/>
      <c r="U63" s="702" t="e">
        <f>T63/U$50</f>
        <v>#DIV/0!</v>
      </c>
      <c r="V63" s="204"/>
      <c r="W63" s="727">
        <f t="shared" si="18"/>
        <v>1.75</v>
      </c>
      <c r="X63" s="728" t="e">
        <f t="shared" si="18"/>
        <v>#DIV/0!</v>
      </c>
    </row>
    <row r="64" spans="1:24" s="1" customFormat="1" ht="18" customHeight="1" x14ac:dyDescent="0.2">
      <c r="A64" s="680" t="s">
        <v>58</v>
      </c>
      <c r="B64" s="692"/>
      <c r="C64" s="691"/>
      <c r="D64" s="692"/>
      <c r="E64" s="693"/>
      <c r="F64" s="690"/>
      <c r="G64" s="693"/>
      <c r="H64" s="690"/>
      <c r="I64" s="693"/>
      <c r="J64" s="690"/>
      <c r="K64" s="693"/>
      <c r="L64" s="690"/>
      <c r="M64" s="693"/>
      <c r="N64" s="690"/>
      <c r="O64" s="693"/>
      <c r="P64" s="690"/>
      <c r="Q64" s="693"/>
      <c r="R64" s="690"/>
      <c r="S64" s="693"/>
      <c r="T64" s="694"/>
      <c r="U64" s="695"/>
      <c r="V64" s="204"/>
      <c r="W64" s="736"/>
      <c r="X64" s="737"/>
    </row>
    <row r="65" spans="1:24" s="1" customFormat="1" ht="15" customHeight="1" x14ac:dyDescent="0.2">
      <c r="A65" s="200" t="s">
        <v>59</v>
      </c>
      <c r="B65" s="133">
        <v>4</v>
      </c>
      <c r="C65" s="191">
        <f>B65/C$50</f>
        <v>0.36363636363636365</v>
      </c>
      <c r="D65" s="133">
        <v>4</v>
      </c>
      <c r="E65" s="192">
        <f>D65/E$50</f>
        <v>0.33333333333333331</v>
      </c>
      <c r="F65" s="134">
        <v>5</v>
      </c>
      <c r="G65" s="192">
        <f>F65/G$50</f>
        <v>0.41666666666666669</v>
      </c>
      <c r="H65" s="134">
        <v>4</v>
      </c>
      <c r="I65" s="192">
        <f>H65/I$50</f>
        <v>0.33333333333333331</v>
      </c>
      <c r="J65" s="134">
        <f>1+3</f>
        <v>4</v>
      </c>
      <c r="K65" s="192">
        <f>J65/K$50</f>
        <v>0.30769230769230771</v>
      </c>
      <c r="L65" s="134">
        <v>6</v>
      </c>
      <c r="M65" s="192">
        <f>L65/M$50</f>
        <v>0.46153846153846156</v>
      </c>
      <c r="N65" s="134">
        <f>1+7</f>
        <v>8</v>
      </c>
      <c r="O65" s="192">
        <f>N65/O$50</f>
        <v>0.5714285714285714</v>
      </c>
      <c r="P65" s="134">
        <v>7</v>
      </c>
      <c r="Q65" s="192">
        <f>P65/Q$50</f>
        <v>0.5</v>
      </c>
      <c r="R65" s="134">
        <v>6</v>
      </c>
      <c r="S65" s="192">
        <f>R65/S$50</f>
        <v>0.42857142857142855</v>
      </c>
      <c r="T65" s="211"/>
      <c r="U65" s="203" t="e">
        <f>T65/U$50</f>
        <v>#DIV/0!</v>
      </c>
      <c r="V65" s="204"/>
      <c r="W65" s="205">
        <f t="shared" si="18"/>
        <v>6.75</v>
      </c>
      <c r="X65" s="206" t="e">
        <f t="shared" si="18"/>
        <v>#DIV/0!</v>
      </c>
    </row>
    <row r="66" spans="1:24" s="1" customFormat="1" ht="15" customHeight="1" x14ac:dyDescent="0.2">
      <c r="A66" s="200" t="s">
        <v>60</v>
      </c>
      <c r="B66" s="133">
        <v>3</v>
      </c>
      <c r="C66" s="191">
        <f>B66/C$50</f>
        <v>0.27272727272727271</v>
      </c>
      <c r="D66" s="133">
        <v>5</v>
      </c>
      <c r="E66" s="192">
        <f>D66/E$50</f>
        <v>0.41666666666666669</v>
      </c>
      <c r="F66" s="134">
        <v>4</v>
      </c>
      <c r="G66" s="192">
        <f>F66/G$50</f>
        <v>0.33333333333333331</v>
      </c>
      <c r="H66" s="134">
        <v>4</v>
      </c>
      <c r="I66" s="192">
        <f>H66/I$50</f>
        <v>0.33333333333333331</v>
      </c>
      <c r="J66" s="134">
        <f>0+4</f>
        <v>4</v>
      </c>
      <c r="K66" s="192">
        <f>J66/K$50</f>
        <v>0.30769230769230771</v>
      </c>
      <c r="L66" s="134">
        <v>1</v>
      </c>
      <c r="M66" s="192">
        <f>L66/M$50</f>
        <v>7.6923076923076927E-2</v>
      </c>
      <c r="N66" s="134">
        <v>1</v>
      </c>
      <c r="O66" s="192">
        <f>N66/O$50</f>
        <v>7.1428571428571425E-2</v>
      </c>
      <c r="P66" s="134">
        <v>3</v>
      </c>
      <c r="Q66" s="192">
        <f>P66/Q$50</f>
        <v>0.21428571428571427</v>
      </c>
      <c r="R66" s="134">
        <v>4</v>
      </c>
      <c r="S66" s="192">
        <f>R66/S$50</f>
        <v>0.2857142857142857</v>
      </c>
      <c r="T66" s="211"/>
      <c r="U66" s="203" t="e">
        <f>T66/U$50</f>
        <v>#DIV/0!</v>
      </c>
      <c r="V66" s="204"/>
      <c r="W66" s="205">
        <f t="shared" si="18"/>
        <v>2.25</v>
      </c>
      <c r="X66" s="206" t="e">
        <f t="shared" si="18"/>
        <v>#DIV/0!</v>
      </c>
    </row>
    <row r="67" spans="1:24" s="1" customFormat="1" ht="15" customHeight="1" thickBot="1" x14ac:dyDescent="0.25">
      <c r="A67" s="696" t="s">
        <v>61</v>
      </c>
      <c r="B67" s="704">
        <v>4</v>
      </c>
      <c r="C67" s="698">
        <f>B67/C$50</f>
        <v>0.36363636363636365</v>
      </c>
      <c r="D67" s="704">
        <f>1+2</f>
        <v>3</v>
      </c>
      <c r="E67" s="700">
        <f>D67/E$50</f>
        <v>0.25</v>
      </c>
      <c r="F67" s="703">
        <v>3</v>
      </c>
      <c r="G67" s="700">
        <f>F67/G$50</f>
        <v>0.25</v>
      </c>
      <c r="H67" s="703">
        <v>4</v>
      </c>
      <c r="I67" s="700">
        <f>H67/I$50</f>
        <v>0.33333333333333331</v>
      </c>
      <c r="J67" s="703">
        <f>4+1</f>
        <v>5</v>
      </c>
      <c r="K67" s="700">
        <f>J67/K$50</f>
        <v>0.38461538461538464</v>
      </c>
      <c r="L67" s="703">
        <v>6</v>
      </c>
      <c r="M67" s="700">
        <f>L67/M$50</f>
        <v>0.46153846153846156</v>
      </c>
      <c r="N67" s="703">
        <f>4+1</f>
        <v>5</v>
      </c>
      <c r="O67" s="700">
        <f>N67/O$50</f>
        <v>0.35714285714285715</v>
      </c>
      <c r="P67" s="703">
        <v>4</v>
      </c>
      <c r="Q67" s="700">
        <f>P67/Q$50</f>
        <v>0.2857142857142857</v>
      </c>
      <c r="R67" s="703">
        <v>4</v>
      </c>
      <c r="S67" s="700">
        <f>R67/S$50</f>
        <v>0.2857142857142857</v>
      </c>
      <c r="T67" s="705"/>
      <c r="U67" s="702" t="e">
        <f>T67/U$50</f>
        <v>#DIV/0!</v>
      </c>
      <c r="V67" s="204"/>
      <c r="W67" s="727">
        <f t="shared" si="18"/>
        <v>4.75</v>
      </c>
      <c r="X67" s="728" t="e">
        <f t="shared" si="18"/>
        <v>#DIV/0!</v>
      </c>
    </row>
    <row r="68" spans="1:24" s="1" customFormat="1" ht="18" customHeight="1" x14ac:dyDescent="0.2">
      <c r="A68" s="680" t="s">
        <v>62</v>
      </c>
      <c r="B68" s="692"/>
      <c r="C68" s="691"/>
      <c r="D68" s="692"/>
      <c r="E68" s="693"/>
      <c r="F68" s="690"/>
      <c r="G68" s="693"/>
      <c r="H68" s="690"/>
      <c r="I68" s="693"/>
      <c r="J68" s="690"/>
      <c r="K68" s="693"/>
      <c r="L68" s="690"/>
      <c r="M68" s="693"/>
      <c r="N68" s="690"/>
      <c r="O68" s="693"/>
      <c r="P68" s="690"/>
      <c r="Q68" s="693"/>
      <c r="R68" s="690"/>
      <c r="S68" s="693"/>
      <c r="T68" s="694"/>
      <c r="U68" s="695"/>
      <c r="V68" s="204"/>
      <c r="W68" s="736"/>
      <c r="X68" s="737"/>
    </row>
    <row r="69" spans="1:24" s="1" customFormat="1" ht="15" customHeight="1" x14ac:dyDescent="0.2">
      <c r="A69" s="200" t="s">
        <v>63</v>
      </c>
      <c r="B69" s="133">
        <v>10</v>
      </c>
      <c r="C69" s="191">
        <f>B69/C$50</f>
        <v>0.90909090909090906</v>
      </c>
      <c r="D69" s="133">
        <f>10+2</f>
        <v>12</v>
      </c>
      <c r="E69" s="192">
        <f>D69/E$50</f>
        <v>1</v>
      </c>
      <c r="F69" s="134">
        <v>12</v>
      </c>
      <c r="G69" s="192">
        <f>F69/G$50</f>
        <v>1</v>
      </c>
      <c r="H69" s="134">
        <v>12</v>
      </c>
      <c r="I69" s="192">
        <f>H69/I$50</f>
        <v>1</v>
      </c>
      <c r="J69" s="134">
        <f>5+8</f>
        <v>13</v>
      </c>
      <c r="K69" s="192">
        <f>J69/K$50</f>
        <v>1</v>
      </c>
      <c r="L69" s="134">
        <v>12</v>
      </c>
      <c r="M69" s="192">
        <f>L69/M$50</f>
        <v>0.92307692307692313</v>
      </c>
      <c r="N69" s="134">
        <f>5+9</f>
        <v>14</v>
      </c>
      <c r="O69" s="192">
        <f>N69/O$50</f>
        <v>1</v>
      </c>
      <c r="P69" s="134">
        <v>14</v>
      </c>
      <c r="Q69" s="192">
        <f>P69/Q$50</f>
        <v>1</v>
      </c>
      <c r="R69" s="134">
        <v>14</v>
      </c>
      <c r="S69" s="192">
        <f>R69/S$50</f>
        <v>1</v>
      </c>
      <c r="T69" s="211"/>
      <c r="U69" s="203" t="e">
        <f>T69/U$50</f>
        <v>#DIV/0!</v>
      </c>
      <c r="V69" s="204"/>
      <c r="W69" s="205">
        <f t="shared" si="18"/>
        <v>13.5</v>
      </c>
      <c r="X69" s="206" t="e">
        <f t="shared" si="18"/>
        <v>#DIV/0!</v>
      </c>
    </row>
    <row r="70" spans="1:24" s="1" customFormat="1" ht="15" customHeight="1" x14ac:dyDescent="0.2">
      <c r="A70" s="200" t="s">
        <v>64</v>
      </c>
      <c r="B70" s="133">
        <v>1</v>
      </c>
      <c r="C70" s="191">
        <f>B70/C$50</f>
        <v>9.0909090909090912E-2</v>
      </c>
      <c r="D70" s="133">
        <v>0</v>
      </c>
      <c r="E70" s="192">
        <f>D70/E$50</f>
        <v>0</v>
      </c>
      <c r="F70" s="134">
        <v>0</v>
      </c>
      <c r="G70" s="192">
        <f>F70/G$50</f>
        <v>0</v>
      </c>
      <c r="H70" s="134">
        <v>0</v>
      </c>
      <c r="I70" s="192">
        <f>H70/I$50</f>
        <v>0</v>
      </c>
      <c r="J70" s="134">
        <f>0</f>
        <v>0</v>
      </c>
      <c r="K70" s="192">
        <f>J70/K$50</f>
        <v>0</v>
      </c>
      <c r="L70" s="134">
        <v>1</v>
      </c>
      <c r="M70" s="192">
        <f>L70/M$50</f>
        <v>7.6923076923076927E-2</v>
      </c>
      <c r="N70" s="134">
        <v>0</v>
      </c>
      <c r="O70" s="192">
        <f>N70/O$50</f>
        <v>0</v>
      </c>
      <c r="P70" s="134">
        <v>0</v>
      </c>
      <c r="Q70" s="192">
        <f>P70/Q$50</f>
        <v>0</v>
      </c>
      <c r="R70" s="134">
        <v>0</v>
      </c>
      <c r="S70" s="192">
        <f>R70/S$50</f>
        <v>0</v>
      </c>
      <c r="T70" s="211"/>
      <c r="U70" s="203" t="e">
        <f>T70/U$50</f>
        <v>#DIV/0!</v>
      </c>
      <c r="V70" s="204"/>
      <c r="W70" s="205">
        <f t="shared" si="18"/>
        <v>0.25</v>
      </c>
      <c r="X70" s="206" t="e">
        <f t="shared" si="18"/>
        <v>#DIV/0!</v>
      </c>
    </row>
    <row r="71" spans="1:24" s="1" customFormat="1" ht="15" customHeight="1" x14ac:dyDescent="0.2">
      <c r="A71" s="200" t="s">
        <v>65</v>
      </c>
      <c r="B71" s="133">
        <v>0</v>
      </c>
      <c r="C71" s="191">
        <f>B71/C$50</f>
        <v>0</v>
      </c>
      <c r="D71" s="133">
        <v>0</v>
      </c>
      <c r="E71" s="192">
        <f>D71/E$50</f>
        <v>0</v>
      </c>
      <c r="F71" s="134">
        <v>0</v>
      </c>
      <c r="G71" s="192">
        <f>F71/G$50</f>
        <v>0</v>
      </c>
      <c r="H71" s="134">
        <v>0</v>
      </c>
      <c r="I71" s="192">
        <f>H71/I$50</f>
        <v>0</v>
      </c>
      <c r="J71" s="134">
        <f>0</f>
        <v>0</v>
      </c>
      <c r="K71" s="192">
        <f>J71/K$50</f>
        <v>0</v>
      </c>
      <c r="L71" s="134">
        <v>0</v>
      </c>
      <c r="M71" s="192">
        <f>L71/M$50</f>
        <v>0</v>
      </c>
      <c r="N71" s="134">
        <v>0</v>
      </c>
      <c r="O71" s="192">
        <f>N71/O$50</f>
        <v>0</v>
      </c>
      <c r="P71" s="134">
        <v>0</v>
      </c>
      <c r="Q71" s="192">
        <f>P71/Q$50</f>
        <v>0</v>
      </c>
      <c r="R71" s="134">
        <v>0</v>
      </c>
      <c r="S71" s="192">
        <f>R71/S$50</f>
        <v>0</v>
      </c>
      <c r="T71" s="211"/>
      <c r="U71" s="203" t="e">
        <f>T71/U$50</f>
        <v>#DIV/0!</v>
      </c>
      <c r="V71" s="195"/>
      <c r="W71" s="205">
        <f t="shared" si="18"/>
        <v>0</v>
      </c>
      <c r="X71" s="206" t="e">
        <f t="shared" si="18"/>
        <v>#DIV/0!</v>
      </c>
    </row>
    <row r="72" spans="1:24" s="1" customFormat="1" ht="15" customHeight="1" thickBot="1" x14ac:dyDescent="0.25">
      <c r="A72" s="212" t="s">
        <v>66</v>
      </c>
      <c r="B72" s="159">
        <v>0</v>
      </c>
      <c r="C72" s="214">
        <f>B72/C$50</f>
        <v>0</v>
      </c>
      <c r="D72" s="159">
        <v>0</v>
      </c>
      <c r="E72" s="215">
        <f>D72/E$50</f>
        <v>0</v>
      </c>
      <c r="F72" s="163">
        <v>0</v>
      </c>
      <c r="G72" s="215">
        <f>F72/G$50</f>
        <v>0</v>
      </c>
      <c r="H72" s="163">
        <v>0</v>
      </c>
      <c r="I72" s="215">
        <f>H72/I$50</f>
        <v>0</v>
      </c>
      <c r="J72" s="163">
        <f>0</f>
        <v>0</v>
      </c>
      <c r="K72" s="215">
        <f>J72/K$50</f>
        <v>0</v>
      </c>
      <c r="L72" s="163">
        <v>0</v>
      </c>
      <c r="M72" s="215">
        <f>L72/M$50</f>
        <v>0</v>
      </c>
      <c r="N72" s="163">
        <v>0</v>
      </c>
      <c r="O72" s="215">
        <f>N72/O$50</f>
        <v>0</v>
      </c>
      <c r="P72" s="163">
        <v>0</v>
      </c>
      <c r="Q72" s="215">
        <f>P72/Q$50</f>
        <v>0</v>
      </c>
      <c r="R72" s="163">
        <v>0</v>
      </c>
      <c r="S72" s="215">
        <f>R72/S$50</f>
        <v>0</v>
      </c>
      <c r="T72" s="217"/>
      <c r="U72" s="218" t="e">
        <f>T72/U$50</f>
        <v>#DIV/0!</v>
      </c>
      <c r="V72" s="195"/>
      <c r="W72" s="219">
        <f t="shared" si="18"/>
        <v>0</v>
      </c>
      <c r="X72" s="220" t="e">
        <f t="shared" si="18"/>
        <v>#DIV/0!</v>
      </c>
    </row>
    <row r="73" spans="1:24" ht="13.5" thickTop="1" x14ac:dyDescent="0.2">
      <c r="A73" s="743" t="s">
        <v>248</v>
      </c>
    </row>
    <row r="74" spans="1:24" x14ac:dyDescent="0.2">
      <c r="A74" s="1"/>
      <c r="H74" s="65" t="s">
        <v>19</v>
      </c>
      <c r="J74" s="65" t="s">
        <v>19</v>
      </c>
      <c r="L74" s="65" t="s">
        <v>19</v>
      </c>
      <c r="N74" s="65" t="s">
        <v>19</v>
      </c>
      <c r="P74" s="65" t="s">
        <v>19</v>
      </c>
      <c r="R74" s="65" t="s">
        <v>19</v>
      </c>
      <c r="T74" s="65" t="s">
        <v>19</v>
      </c>
    </row>
    <row r="75" spans="1:24" x14ac:dyDescent="0.2">
      <c r="A75" s="1"/>
    </row>
    <row r="76" spans="1:24" x14ac:dyDescent="0.2">
      <c r="A76" s="1"/>
    </row>
    <row r="77" spans="1:24" x14ac:dyDescent="0.2">
      <c r="A77" s="1"/>
    </row>
    <row r="78" spans="1:24" x14ac:dyDescent="0.2">
      <c r="A78" s="1"/>
    </row>
    <row r="79" spans="1:24" x14ac:dyDescent="0.2">
      <c r="A79" s="1"/>
    </row>
    <row r="80" spans="1:24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x14ac:dyDescent="0.2">
      <c r="A84" s="1"/>
    </row>
    <row r="85" spans="1:1" x14ac:dyDescent="0.2">
      <c r="A85" s="1"/>
    </row>
    <row r="86" spans="1:1" x14ac:dyDescent="0.2">
      <c r="A86" s="1"/>
    </row>
    <row r="87" spans="1:1" x14ac:dyDescent="0.2">
      <c r="A87" s="1"/>
    </row>
    <row r="88" spans="1:1" x14ac:dyDescent="0.2">
      <c r="A88" s="1"/>
    </row>
    <row r="89" spans="1:1" x14ac:dyDescent="0.2">
      <c r="A89" s="1"/>
    </row>
    <row r="90" spans="1:1" x14ac:dyDescent="0.2">
      <c r="A90" s="1"/>
    </row>
    <row r="91" spans="1:1" x14ac:dyDescent="0.2">
      <c r="A91" s="1"/>
    </row>
    <row r="92" spans="1:1" x14ac:dyDescent="0.2">
      <c r="A92" s="1"/>
    </row>
    <row r="93" spans="1:1" x14ac:dyDescent="0.2">
      <c r="A93" s="1"/>
    </row>
    <row r="94" spans="1:1" x14ac:dyDescent="0.2">
      <c r="A94" s="1"/>
    </row>
    <row r="95" spans="1:1" x14ac:dyDescent="0.2">
      <c r="A95" s="1"/>
    </row>
    <row r="96" spans="1:1" x14ac:dyDescent="0.2">
      <c r="A96" s="1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x14ac:dyDescent="0.2">
      <c r="A100" s="1"/>
    </row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x14ac:dyDescent="0.2">
      <c r="A107" s="1"/>
    </row>
    <row r="108" spans="1:1" x14ac:dyDescent="0.2">
      <c r="A108" s="1"/>
    </row>
    <row r="109" spans="1:1" x14ac:dyDescent="0.2">
      <c r="A109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x14ac:dyDescent="0.2">
      <c r="A120" s="1"/>
    </row>
    <row r="121" spans="1:1" x14ac:dyDescent="0.2">
      <c r="A121" s="1"/>
    </row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x14ac:dyDescent="0.2">
      <c r="A128" s="1"/>
    </row>
    <row r="129" spans="1:1" x14ac:dyDescent="0.2">
      <c r="A129" s="1"/>
    </row>
    <row r="130" spans="1:1" x14ac:dyDescent="0.2">
      <c r="A130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x14ac:dyDescent="0.2">
      <c r="A152" s="1"/>
    </row>
    <row r="153" spans="1:1" x14ac:dyDescent="0.2">
      <c r="A153" s="1"/>
    </row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  <row r="177" spans="1:1" x14ac:dyDescent="0.2">
      <c r="A177" s="1"/>
    </row>
    <row r="178" spans="1:1" x14ac:dyDescent="0.2">
      <c r="A178" s="1"/>
    </row>
    <row r="179" spans="1:1" x14ac:dyDescent="0.2">
      <c r="A179" s="1"/>
    </row>
    <row r="180" spans="1:1" x14ac:dyDescent="0.2">
      <c r="A180" s="1"/>
    </row>
    <row r="181" spans="1:1" x14ac:dyDescent="0.2">
      <c r="A181" s="1"/>
    </row>
    <row r="182" spans="1:1" x14ac:dyDescent="0.2">
      <c r="A182" s="1"/>
    </row>
    <row r="183" spans="1:1" x14ac:dyDescent="0.2">
      <c r="A183" s="1"/>
    </row>
    <row r="184" spans="1:1" x14ac:dyDescent="0.2">
      <c r="A184" s="1"/>
    </row>
    <row r="185" spans="1:1" x14ac:dyDescent="0.2">
      <c r="A185" s="1"/>
    </row>
    <row r="186" spans="1:1" x14ac:dyDescent="0.2">
      <c r="A186" s="1"/>
    </row>
    <row r="187" spans="1:1" x14ac:dyDescent="0.2">
      <c r="A187" s="1"/>
    </row>
    <row r="188" spans="1:1" x14ac:dyDescent="0.2">
      <c r="A188" s="1"/>
    </row>
    <row r="189" spans="1:1" x14ac:dyDescent="0.2">
      <c r="A189" s="1"/>
    </row>
    <row r="190" spans="1:1" x14ac:dyDescent="0.2">
      <c r="A190" s="1"/>
    </row>
    <row r="191" spans="1:1" x14ac:dyDescent="0.2">
      <c r="A191" s="1"/>
    </row>
    <row r="192" spans="1:1" x14ac:dyDescent="0.2">
      <c r="A192" s="1"/>
    </row>
    <row r="193" spans="1:1" x14ac:dyDescent="0.2">
      <c r="A193" s="1"/>
    </row>
    <row r="194" spans="1:1" x14ac:dyDescent="0.2">
      <c r="A194" s="1"/>
    </row>
    <row r="195" spans="1:1" x14ac:dyDescent="0.2">
      <c r="A195" s="1"/>
    </row>
    <row r="196" spans="1:1" x14ac:dyDescent="0.2">
      <c r="A196" s="1"/>
    </row>
    <row r="197" spans="1:1" x14ac:dyDescent="0.2">
      <c r="A197" s="1"/>
    </row>
    <row r="198" spans="1:1" x14ac:dyDescent="0.2">
      <c r="A198" s="1"/>
    </row>
    <row r="199" spans="1:1" x14ac:dyDescent="0.2">
      <c r="A199" s="1"/>
    </row>
    <row r="200" spans="1:1" x14ac:dyDescent="0.2">
      <c r="A200" s="1"/>
    </row>
    <row r="201" spans="1:1" x14ac:dyDescent="0.2">
      <c r="A201" s="1"/>
    </row>
    <row r="202" spans="1:1" x14ac:dyDescent="0.2">
      <c r="A202" s="1"/>
    </row>
    <row r="203" spans="1:1" x14ac:dyDescent="0.2">
      <c r="A203" s="1"/>
    </row>
    <row r="204" spans="1:1" x14ac:dyDescent="0.2">
      <c r="A204" s="1"/>
    </row>
    <row r="205" spans="1:1" x14ac:dyDescent="0.2">
      <c r="A205" s="1"/>
    </row>
    <row r="206" spans="1:1" x14ac:dyDescent="0.2">
      <c r="A206" s="1"/>
    </row>
    <row r="207" spans="1:1" x14ac:dyDescent="0.2">
      <c r="A207" s="1"/>
    </row>
    <row r="208" spans="1:1" x14ac:dyDescent="0.2">
      <c r="A208" s="1"/>
    </row>
    <row r="209" spans="1:1" x14ac:dyDescent="0.2">
      <c r="A209" s="1"/>
    </row>
    <row r="210" spans="1:1" x14ac:dyDescent="0.2">
      <c r="A210" s="1"/>
    </row>
    <row r="211" spans="1:1" x14ac:dyDescent="0.2">
      <c r="A211" s="1"/>
    </row>
    <row r="212" spans="1:1" x14ac:dyDescent="0.2">
      <c r="A212" s="1"/>
    </row>
    <row r="213" spans="1:1" x14ac:dyDescent="0.2">
      <c r="A213" s="1"/>
    </row>
    <row r="214" spans="1:1" x14ac:dyDescent="0.2">
      <c r="A214" s="1"/>
    </row>
    <row r="215" spans="1:1" x14ac:dyDescent="0.2">
      <c r="A215" s="1"/>
    </row>
    <row r="216" spans="1:1" x14ac:dyDescent="0.2">
      <c r="A216" s="1"/>
    </row>
    <row r="217" spans="1:1" x14ac:dyDescent="0.2">
      <c r="A217" s="1"/>
    </row>
    <row r="218" spans="1:1" x14ac:dyDescent="0.2">
      <c r="A218" s="1"/>
    </row>
    <row r="219" spans="1:1" x14ac:dyDescent="0.2">
      <c r="A219" s="1"/>
    </row>
    <row r="220" spans="1:1" x14ac:dyDescent="0.2">
      <c r="A220" s="1"/>
    </row>
    <row r="221" spans="1:1" x14ac:dyDescent="0.2">
      <c r="A221" s="1"/>
    </row>
    <row r="222" spans="1:1" x14ac:dyDescent="0.2">
      <c r="A222" s="1"/>
    </row>
    <row r="223" spans="1:1" x14ac:dyDescent="0.2">
      <c r="A223" s="1"/>
    </row>
    <row r="224" spans="1:1" x14ac:dyDescent="0.2">
      <c r="A224" s="1"/>
    </row>
    <row r="225" spans="1:1" x14ac:dyDescent="0.2">
      <c r="A225" s="1"/>
    </row>
    <row r="226" spans="1:1" x14ac:dyDescent="0.2">
      <c r="A226" s="1"/>
    </row>
    <row r="227" spans="1:1" x14ac:dyDescent="0.2">
      <c r="A227" s="1"/>
    </row>
    <row r="228" spans="1:1" x14ac:dyDescent="0.2">
      <c r="A228" s="1"/>
    </row>
    <row r="229" spans="1:1" x14ac:dyDescent="0.2">
      <c r="A229" s="1"/>
    </row>
    <row r="230" spans="1:1" x14ac:dyDescent="0.2">
      <c r="A230" s="1"/>
    </row>
    <row r="231" spans="1:1" x14ac:dyDescent="0.2">
      <c r="A231" s="1"/>
    </row>
    <row r="232" spans="1:1" x14ac:dyDescent="0.2">
      <c r="A232" s="1"/>
    </row>
    <row r="233" spans="1:1" x14ac:dyDescent="0.2">
      <c r="A233" s="1"/>
    </row>
    <row r="234" spans="1:1" x14ac:dyDescent="0.2">
      <c r="A234" s="1"/>
    </row>
    <row r="235" spans="1:1" x14ac:dyDescent="0.2">
      <c r="A235" s="1"/>
    </row>
    <row r="236" spans="1:1" x14ac:dyDescent="0.2">
      <c r="A236" s="1"/>
    </row>
    <row r="237" spans="1:1" x14ac:dyDescent="0.2">
      <c r="A237" s="1"/>
    </row>
    <row r="238" spans="1:1" x14ac:dyDescent="0.2">
      <c r="A238" s="1"/>
    </row>
    <row r="239" spans="1:1" x14ac:dyDescent="0.2">
      <c r="A239" s="1"/>
    </row>
    <row r="240" spans="1:1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6" spans="1:1" x14ac:dyDescent="0.2">
      <c r="A296" s="1"/>
    </row>
    <row r="297" spans="1:1" x14ac:dyDescent="0.2">
      <c r="A297" s="1"/>
    </row>
    <row r="298" spans="1:1" x14ac:dyDescent="0.2">
      <c r="A298" s="1"/>
    </row>
    <row r="299" spans="1:1" x14ac:dyDescent="0.2">
      <c r="A299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  <row r="303" spans="1:1" x14ac:dyDescent="0.2">
      <c r="A303" s="1"/>
    </row>
    <row r="304" spans="1:1" x14ac:dyDescent="0.2">
      <c r="A304" s="1"/>
    </row>
    <row r="305" spans="1:1" x14ac:dyDescent="0.2">
      <c r="A305" s="1"/>
    </row>
    <row r="306" spans="1:1" x14ac:dyDescent="0.2">
      <c r="A306" s="1"/>
    </row>
    <row r="307" spans="1:1" x14ac:dyDescent="0.2">
      <c r="A307" s="1"/>
    </row>
    <row r="308" spans="1:1" x14ac:dyDescent="0.2">
      <c r="A308" s="1"/>
    </row>
    <row r="309" spans="1:1" x14ac:dyDescent="0.2">
      <c r="A309" s="1"/>
    </row>
    <row r="310" spans="1:1" x14ac:dyDescent="0.2">
      <c r="A310" s="1"/>
    </row>
    <row r="311" spans="1:1" x14ac:dyDescent="0.2">
      <c r="A311" s="1"/>
    </row>
    <row r="312" spans="1:1" x14ac:dyDescent="0.2">
      <c r="A312" s="1"/>
    </row>
    <row r="313" spans="1:1" x14ac:dyDescent="0.2">
      <c r="A313" s="1"/>
    </row>
    <row r="314" spans="1:1" x14ac:dyDescent="0.2">
      <c r="A314" s="1"/>
    </row>
    <row r="315" spans="1:1" x14ac:dyDescent="0.2">
      <c r="A315" s="1"/>
    </row>
    <row r="316" spans="1:1" x14ac:dyDescent="0.2">
      <c r="A316" s="1"/>
    </row>
    <row r="317" spans="1:1" x14ac:dyDescent="0.2">
      <c r="A317" s="1"/>
    </row>
    <row r="318" spans="1:1" x14ac:dyDescent="0.2">
      <c r="A318" s="1"/>
    </row>
    <row r="319" spans="1:1" x14ac:dyDescent="0.2">
      <c r="A319" s="1"/>
    </row>
    <row r="320" spans="1:1" x14ac:dyDescent="0.2">
      <c r="A320" s="1"/>
    </row>
    <row r="321" spans="1:1" x14ac:dyDescent="0.2">
      <c r="A321" s="1"/>
    </row>
    <row r="322" spans="1:1" x14ac:dyDescent="0.2">
      <c r="A322" s="1"/>
    </row>
    <row r="323" spans="1:1" x14ac:dyDescent="0.2">
      <c r="A323" s="1"/>
    </row>
    <row r="324" spans="1:1" x14ac:dyDescent="0.2">
      <c r="A324" s="1"/>
    </row>
    <row r="325" spans="1:1" x14ac:dyDescent="0.2">
      <c r="A325" s="1"/>
    </row>
    <row r="326" spans="1:1" x14ac:dyDescent="0.2">
      <c r="A326" s="1"/>
    </row>
    <row r="327" spans="1:1" x14ac:dyDescent="0.2">
      <c r="A327" s="1"/>
    </row>
    <row r="328" spans="1:1" x14ac:dyDescent="0.2">
      <c r="A328" s="1"/>
    </row>
    <row r="329" spans="1:1" x14ac:dyDescent="0.2">
      <c r="A329" s="1"/>
    </row>
    <row r="330" spans="1:1" x14ac:dyDescent="0.2">
      <c r="A330" s="1"/>
    </row>
    <row r="331" spans="1:1" x14ac:dyDescent="0.2">
      <c r="A331" s="1"/>
    </row>
    <row r="332" spans="1:1" x14ac:dyDescent="0.2">
      <c r="A332" s="1"/>
    </row>
    <row r="333" spans="1:1" x14ac:dyDescent="0.2">
      <c r="A333" s="1"/>
    </row>
    <row r="334" spans="1:1" x14ac:dyDescent="0.2">
      <c r="A334" s="1"/>
    </row>
    <row r="335" spans="1:1" x14ac:dyDescent="0.2">
      <c r="A335" s="1"/>
    </row>
    <row r="336" spans="1:1" x14ac:dyDescent="0.2">
      <c r="A336" s="1"/>
    </row>
    <row r="337" spans="1:1" x14ac:dyDescent="0.2">
      <c r="A337" s="1"/>
    </row>
    <row r="338" spans="1:1" x14ac:dyDescent="0.2">
      <c r="A338" s="1"/>
    </row>
    <row r="339" spans="1:1" x14ac:dyDescent="0.2">
      <c r="A339" s="1"/>
    </row>
    <row r="340" spans="1:1" x14ac:dyDescent="0.2">
      <c r="A340" s="1"/>
    </row>
    <row r="341" spans="1:1" x14ac:dyDescent="0.2">
      <c r="A341" s="1"/>
    </row>
    <row r="342" spans="1:1" x14ac:dyDescent="0.2">
      <c r="A342" s="1"/>
    </row>
    <row r="343" spans="1:1" x14ac:dyDescent="0.2">
      <c r="A343" s="1"/>
    </row>
    <row r="344" spans="1:1" x14ac:dyDescent="0.2">
      <c r="A344" s="1"/>
    </row>
    <row r="345" spans="1:1" x14ac:dyDescent="0.2">
      <c r="A345" s="1"/>
    </row>
    <row r="346" spans="1:1" x14ac:dyDescent="0.2">
      <c r="A346" s="1"/>
    </row>
    <row r="347" spans="1:1" x14ac:dyDescent="0.2">
      <c r="A347" s="1"/>
    </row>
    <row r="348" spans="1:1" x14ac:dyDescent="0.2">
      <c r="A348" s="1"/>
    </row>
    <row r="349" spans="1:1" x14ac:dyDescent="0.2">
      <c r="A349" s="1"/>
    </row>
    <row r="350" spans="1:1" x14ac:dyDescent="0.2">
      <c r="A350" s="1"/>
    </row>
    <row r="351" spans="1:1" x14ac:dyDescent="0.2">
      <c r="A351" s="1"/>
    </row>
    <row r="352" spans="1:1" x14ac:dyDescent="0.2">
      <c r="A352" s="1"/>
    </row>
    <row r="353" spans="1:1" x14ac:dyDescent="0.2">
      <c r="A353" s="1"/>
    </row>
    <row r="354" spans="1:1" x14ac:dyDescent="0.2">
      <c r="A354" s="1"/>
    </row>
    <row r="355" spans="1:1" x14ac:dyDescent="0.2">
      <c r="A355" s="1"/>
    </row>
    <row r="356" spans="1:1" x14ac:dyDescent="0.2">
      <c r="A356" s="1"/>
    </row>
    <row r="357" spans="1:1" x14ac:dyDescent="0.2">
      <c r="A357" s="1"/>
    </row>
    <row r="358" spans="1:1" x14ac:dyDescent="0.2">
      <c r="A358" s="1"/>
    </row>
    <row r="359" spans="1:1" x14ac:dyDescent="0.2">
      <c r="A359" s="1"/>
    </row>
    <row r="360" spans="1:1" x14ac:dyDescent="0.2">
      <c r="A360" s="1"/>
    </row>
    <row r="361" spans="1:1" x14ac:dyDescent="0.2">
      <c r="A361" s="1"/>
    </row>
    <row r="362" spans="1:1" x14ac:dyDescent="0.2">
      <c r="A362" s="1"/>
    </row>
    <row r="363" spans="1:1" x14ac:dyDescent="0.2">
      <c r="A363" s="1"/>
    </row>
    <row r="364" spans="1:1" x14ac:dyDescent="0.2">
      <c r="A364" s="1"/>
    </row>
    <row r="365" spans="1:1" x14ac:dyDescent="0.2">
      <c r="A365" s="1"/>
    </row>
    <row r="366" spans="1:1" x14ac:dyDescent="0.2">
      <c r="A366" s="1"/>
    </row>
    <row r="367" spans="1:1" x14ac:dyDescent="0.2">
      <c r="A367" s="1"/>
    </row>
    <row r="368" spans="1:1" x14ac:dyDescent="0.2">
      <c r="A368" s="1"/>
    </row>
    <row r="369" spans="1:1" x14ac:dyDescent="0.2">
      <c r="A369" s="1"/>
    </row>
    <row r="370" spans="1:1" x14ac:dyDescent="0.2">
      <c r="A370" s="1"/>
    </row>
    <row r="371" spans="1:1" x14ac:dyDescent="0.2">
      <c r="A371" s="1"/>
    </row>
    <row r="372" spans="1:1" x14ac:dyDescent="0.2">
      <c r="A372" s="1"/>
    </row>
    <row r="373" spans="1:1" x14ac:dyDescent="0.2">
      <c r="A373" s="1"/>
    </row>
    <row r="374" spans="1:1" x14ac:dyDescent="0.2">
      <c r="A374" s="1"/>
    </row>
    <row r="375" spans="1:1" x14ac:dyDescent="0.2">
      <c r="A375" s="1"/>
    </row>
    <row r="376" spans="1:1" x14ac:dyDescent="0.2">
      <c r="A376" s="1"/>
    </row>
    <row r="377" spans="1:1" x14ac:dyDescent="0.2">
      <c r="A377" s="1"/>
    </row>
    <row r="378" spans="1:1" x14ac:dyDescent="0.2">
      <c r="A378" s="1"/>
    </row>
    <row r="379" spans="1:1" x14ac:dyDescent="0.2">
      <c r="A379" s="1"/>
    </row>
    <row r="380" spans="1:1" x14ac:dyDescent="0.2">
      <c r="A380" s="1"/>
    </row>
    <row r="381" spans="1:1" x14ac:dyDescent="0.2">
      <c r="A381" s="1"/>
    </row>
    <row r="382" spans="1:1" x14ac:dyDescent="0.2">
      <c r="A382" s="1"/>
    </row>
    <row r="383" spans="1:1" x14ac:dyDescent="0.2">
      <c r="A383" s="1"/>
    </row>
    <row r="384" spans="1:1" x14ac:dyDescent="0.2">
      <c r="A384" s="1"/>
    </row>
    <row r="385" spans="1:1" x14ac:dyDescent="0.2">
      <c r="A385" s="1"/>
    </row>
    <row r="386" spans="1:1" x14ac:dyDescent="0.2">
      <c r="A386" s="1"/>
    </row>
    <row r="387" spans="1:1" x14ac:dyDescent="0.2">
      <c r="A387" s="1"/>
    </row>
    <row r="388" spans="1:1" x14ac:dyDescent="0.2">
      <c r="A388" s="1"/>
    </row>
    <row r="389" spans="1:1" x14ac:dyDescent="0.2">
      <c r="A389" s="1"/>
    </row>
    <row r="390" spans="1:1" x14ac:dyDescent="0.2">
      <c r="A390" s="1"/>
    </row>
    <row r="391" spans="1:1" x14ac:dyDescent="0.2">
      <c r="A391" s="1"/>
    </row>
    <row r="392" spans="1:1" x14ac:dyDescent="0.2">
      <c r="A392" s="1"/>
    </row>
    <row r="393" spans="1:1" x14ac:dyDescent="0.2">
      <c r="A393" s="1"/>
    </row>
    <row r="394" spans="1:1" x14ac:dyDescent="0.2">
      <c r="A394" s="1"/>
    </row>
    <row r="395" spans="1:1" x14ac:dyDescent="0.2">
      <c r="A395" s="1"/>
    </row>
    <row r="396" spans="1:1" x14ac:dyDescent="0.2">
      <c r="A396" s="1"/>
    </row>
    <row r="397" spans="1:1" x14ac:dyDescent="0.2">
      <c r="A397" s="1"/>
    </row>
    <row r="398" spans="1:1" x14ac:dyDescent="0.2">
      <c r="A398" s="1"/>
    </row>
    <row r="399" spans="1:1" x14ac:dyDescent="0.2">
      <c r="A399" s="1"/>
    </row>
    <row r="400" spans="1:1" x14ac:dyDescent="0.2">
      <c r="A400" s="1"/>
    </row>
    <row r="401" spans="1:1" x14ac:dyDescent="0.2">
      <c r="A401" s="1"/>
    </row>
    <row r="402" spans="1:1" x14ac:dyDescent="0.2">
      <c r="A402" s="1"/>
    </row>
    <row r="403" spans="1:1" x14ac:dyDescent="0.2">
      <c r="A403" s="1"/>
    </row>
    <row r="404" spans="1:1" x14ac:dyDescent="0.2">
      <c r="A404" s="1"/>
    </row>
    <row r="405" spans="1:1" x14ac:dyDescent="0.2">
      <c r="A405" s="1"/>
    </row>
    <row r="406" spans="1:1" x14ac:dyDescent="0.2">
      <c r="A406" s="1"/>
    </row>
    <row r="407" spans="1:1" x14ac:dyDescent="0.2">
      <c r="A407" s="1"/>
    </row>
    <row r="408" spans="1:1" x14ac:dyDescent="0.2">
      <c r="A408" s="1"/>
    </row>
    <row r="409" spans="1:1" x14ac:dyDescent="0.2">
      <c r="A409" s="1"/>
    </row>
    <row r="410" spans="1:1" x14ac:dyDescent="0.2">
      <c r="A410" s="1"/>
    </row>
    <row r="411" spans="1:1" x14ac:dyDescent="0.2">
      <c r="A411" s="1"/>
    </row>
    <row r="412" spans="1:1" x14ac:dyDescent="0.2">
      <c r="A412" s="1"/>
    </row>
    <row r="413" spans="1:1" x14ac:dyDescent="0.2">
      <c r="A413" s="1"/>
    </row>
    <row r="414" spans="1:1" x14ac:dyDescent="0.2">
      <c r="A414" s="1"/>
    </row>
    <row r="415" spans="1:1" x14ac:dyDescent="0.2">
      <c r="A415" s="1"/>
    </row>
    <row r="416" spans="1:1" x14ac:dyDescent="0.2">
      <c r="A416" s="1"/>
    </row>
    <row r="417" spans="1:1" x14ac:dyDescent="0.2">
      <c r="A417" s="1"/>
    </row>
    <row r="418" spans="1:1" x14ac:dyDescent="0.2">
      <c r="A418" s="1"/>
    </row>
    <row r="419" spans="1:1" x14ac:dyDescent="0.2">
      <c r="A419" s="1"/>
    </row>
  </sheetData>
  <mergeCells count="77">
    <mergeCell ref="L17:M17"/>
    <mergeCell ref="N17:O17"/>
    <mergeCell ref="L9:M9"/>
    <mergeCell ref="N9:O9"/>
    <mergeCell ref="P9:Q9"/>
    <mergeCell ref="B17:C17"/>
    <mergeCell ref="D17:E17"/>
    <mergeCell ref="F17:G17"/>
    <mergeCell ref="H17:I17"/>
    <mergeCell ref="J17:K17"/>
    <mergeCell ref="P21:Q21"/>
    <mergeCell ref="R21:S21"/>
    <mergeCell ref="W21:X21"/>
    <mergeCell ref="R17:S17"/>
    <mergeCell ref="W17:X17"/>
    <mergeCell ref="P17:Q17"/>
    <mergeCell ref="T17:U17"/>
    <mergeCell ref="T21:U21"/>
    <mergeCell ref="B23:C23"/>
    <mergeCell ref="D23:E23"/>
    <mergeCell ref="J21:K21"/>
    <mergeCell ref="L21:M21"/>
    <mergeCell ref="N21:O21"/>
    <mergeCell ref="B21:C21"/>
    <mergeCell ref="D21:E21"/>
    <mergeCell ref="F21:G21"/>
    <mergeCell ref="H21:I21"/>
    <mergeCell ref="F23:G23"/>
    <mergeCell ref="H23:I23"/>
    <mergeCell ref="J23:K23"/>
    <mergeCell ref="L23:M23"/>
    <mergeCell ref="N23:O23"/>
    <mergeCell ref="P30:Q30"/>
    <mergeCell ref="R30:S30"/>
    <mergeCell ref="W30:X30"/>
    <mergeCell ref="R23:S23"/>
    <mergeCell ref="W23:X23"/>
    <mergeCell ref="P23:Q23"/>
    <mergeCell ref="T23:U23"/>
    <mergeCell ref="T30:U30"/>
    <mergeCell ref="J30:K30"/>
    <mergeCell ref="L30:M30"/>
    <mergeCell ref="N30:O30"/>
    <mergeCell ref="B30:C30"/>
    <mergeCell ref="D30:E30"/>
    <mergeCell ref="F30:G30"/>
    <mergeCell ref="H30:I30"/>
    <mergeCell ref="R33:S33"/>
    <mergeCell ref="W33:X33"/>
    <mergeCell ref="P33:Q33"/>
    <mergeCell ref="B33:C33"/>
    <mergeCell ref="D33:E33"/>
    <mergeCell ref="F33:G33"/>
    <mergeCell ref="H33:I33"/>
    <mergeCell ref="J33:K33"/>
    <mergeCell ref="L33:M33"/>
    <mergeCell ref="N33:O33"/>
    <mergeCell ref="T33:U33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W38:X38"/>
    <mergeCell ref="T38:U38"/>
    <mergeCell ref="W9:X9"/>
    <mergeCell ref="B9:C9"/>
    <mergeCell ref="D9:E9"/>
    <mergeCell ref="F9:G9"/>
    <mergeCell ref="H9:I9"/>
    <mergeCell ref="J9:K9"/>
    <mergeCell ref="R9:S9"/>
    <mergeCell ref="T9:U9"/>
  </mergeCells>
  <pageMargins left="0.5" right="0.5" top="0.5" bottom="0.5" header="0.25" footer="0.25"/>
  <pageSetup scale="70" orientation="landscape" r:id="rId1"/>
  <headerFooter alignWithMargins="0">
    <oddFooter>&amp;L&amp;9Prepared by Planning and Analysis&amp;C&amp;9&amp;P of &amp;N&amp;R&amp;9Updated &amp;D</oddFooter>
  </headerFooter>
  <rowBreaks count="1" manualBreakCount="1">
    <brk id="36" max="16383" man="1"/>
  </rowBreaks>
  <colBreaks count="1" manualBreakCount="1">
    <brk id="21" max="1048575" man="1"/>
  </colBreaks>
  <ignoredErrors>
    <ignoredError sqref="A53:N74 R53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A429"/>
  <sheetViews>
    <sheetView view="pageBreakPreview" zoomScaleNormal="85" zoomScaleSheetLayoutView="100" workbookViewId="0">
      <pane xSplit="1" ySplit="1" topLeftCell="T2" activePane="bottomRight" state="frozen"/>
      <selection activeCell="T36" sqref="T36:U36"/>
      <selection pane="topRight" activeCell="T36" sqref="T36:U36"/>
      <selection pane="bottomLeft" activeCell="T36" sqref="T36:U36"/>
      <selection pane="bottomRight" activeCell="T36" sqref="T36:U36"/>
    </sheetView>
  </sheetViews>
  <sheetFormatPr defaultColWidth="10.28515625" defaultRowHeight="12.75" x14ac:dyDescent="0.2"/>
  <cols>
    <col min="1" max="1" width="33.5703125" customWidth="1"/>
    <col min="2" max="2" width="6.7109375" hidden="1" customWidth="1"/>
    <col min="3" max="3" width="10.7109375" hidden="1" customWidth="1"/>
    <col min="4" max="4" width="6.7109375" hidden="1" customWidth="1"/>
    <col min="5" max="5" width="10.7109375" hidden="1" customWidth="1"/>
    <col min="6" max="6" width="6.7109375" customWidth="1"/>
    <col min="7" max="7" width="10.7109375" customWidth="1"/>
    <col min="8" max="8" width="6.7109375" customWidth="1"/>
    <col min="9" max="9" width="10.7109375" customWidth="1"/>
    <col min="10" max="10" width="6.7109375" customWidth="1"/>
    <col min="11" max="11" width="10.7109375" customWidth="1"/>
    <col min="12" max="12" width="6.7109375" customWidth="1"/>
    <col min="13" max="13" width="10.7109375" customWidth="1"/>
    <col min="14" max="14" width="6.7109375" customWidth="1"/>
    <col min="15" max="15" width="10.7109375" customWidth="1"/>
    <col min="16" max="16" width="6.7109375" customWidth="1"/>
    <col min="17" max="17" width="10.7109375" customWidth="1"/>
    <col min="18" max="18" width="6.7109375" customWidth="1"/>
    <col min="19" max="19" width="10.7109375" customWidth="1"/>
    <col min="20" max="20" width="6.7109375" customWidth="1"/>
    <col min="21" max="21" width="10.7109375" customWidth="1"/>
    <col min="22" max="22" width="3.28515625" customWidth="1"/>
    <col min="23" max="23" width="6.7109375" customWidth="1"/>
    <col min="24" max="24" width="10.7109375" customWidth="1"/>
    <col min="25" max="25" width="1.5703125" customWidth="1"/>
  </cols>
  <sheetData>
    <row r="1" spans="1:26" ht="15.75" x14ac:dyDescent="0.25">
      <c r="A1" s="667" t="s">
        <v>240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</row>
    <row r="2" spans="1:26" ht="15.75" x14ac:dyDescent="0.25">
      <c r="A2" s="667" t="s">
        <v>241</v>
      </c>
    </row>
    <row r="3" spans="1:26" ht="15.75" x14ac:dyDescent="0.25">
      <c r="A3" s="667"/>
    </row>
    <row r="4" spans="1:26" ht="15.75" x14ac:dyDescent="0.25">
      <c r="A4" s="668" t="s">
        <v>261</v>
      </c>
    </row>
    <row r="5" spans="1:26" ht="15.75" x14ac:dyDescent="0.25">
      <c r="A5" s="668"/>
    </row>
    <row r="6" spans="1:26" x14ac:dyDescent="0.2">
      <c r="A6" s="3" t="s">
        <v>280</v>
      </c>
    </row>
    <row r="7" spans="1:26" x14ac:dyDescent="0.2">
      <c r="A7" s="720">
        <v>3670020130</v>
      </c>
    </row>
    <row r="8" spans="1:26" ht="13.5" thickBot="1" x14ac:dyDescent="0.25">
      <c r="A8" s="1"/>
    </row>
    <row r="9" spans="1:26" ht="15" customHeight="1" thickTop="1" x14ac:dyDescent="0.2">
      <c r="A9" s="341"/>
      <c r="B9" s="1412" t="s">
        <v>0</v>
      </c>
      <c r="C9" s="1413"/>
      <c r="D9" s="1412" t="s">
        <v>1</v>
      </c>
      <c r="E9" s="1413"/>
      <c r="F9" s="1412" t="s">
        <v>2</v>
      </c>
      <c r="G9" s="1413"/>
      <c r="H9" s="1412" t="s">
        <v>3</v>
      </c>
      <c r="I9" s="1413"/>
      <c r="J9" s="1412" t="s">
        <v>4</v>
      </c>
      <c r="K9" s="1413"/>
      <c r="L9" s="1412" t="s">
        <v>5</v>
      </c>
      <c r="M9" s="1413"/>
      <c r="N9" s="1412" t="s">
        <v>6</v>
      </c>
      <c r="O9" s="1413"/>
      <c r="P9" s="1412" t="s">
        <v>7</v>
      </c>
      <c r="Q9" s="1413"/>
      <c r="R9" s="1412" t="s">
        <v>8</v>
      </c>
      <c r="S9" s="1413"/>
      <c r="T9" s="1401" t="s">
        <v>301</v>
      </c>
      <c r="U9" s="1402"/>
      <c r="V9" s="226"/>
      <c r="W9" s="1414" t="s">
        <v>9</v>
      </c>
      <c r="X9" s="1415"/>
    </row>
    <row r="10" spans="1:26" ht="15" customHeight="1" x14ac:dyDescent="0.2">
      <c r="A10" s="342"/>
      <c r="B10" s="68" t="s">
        <v>287</v>
      </c>
      <c r="C10" s="8" t="s">
        <v>10</v>
      </c>
      <c r="D10" s="68" t="s">
        <v>287</v>
      </c>
      <c r="E10" s="8" t="s">
        <v>10</v>
      </c>
      <c r="F10" s="68" t="s">
        <v>287</v>
      </c>
      <c r="G10" s="8" t="s">
        <v>10</v>
      </c>
      <c r="H10" s="68" t="s">
        <v>287</v>
      </c>
      <c r="I10" s="8" t="s">
        <v>10</v>
      </c>
      <c r="J10" s="68" t="s">
        <v>287</v>
      </c>
      <c r="K10" s="8" t="s">
        <v>10</v>
      </c>
      <c r="L10" s="68" t="s">
        <v>287</v>
      </c>
      <c r="M10" s="8" t="s">
        <v>10</v>
      </c>
      <c r="N10" s="68" t="s">
        <v>287</v>
      </c>
      <c r="O10" s="8" t="s">
        <v>10</v>
      </c>
      <c r="P10" s="68" t="s">
        <v>287</v>
      </c>
      <c r="Q10" s="8" t="s">
        <v>10</v>
      </c>
      <c r="R10" s="68" t="s">
        <v>287</v>
      </c>
      <c r="S10" s="8" t="s">
        <v>10</v>
      </c>
      <c r="T10" s="68" t="s">
        <v>287</v>
      </c>
      <c r="U10" s="97" t="s">
        <v>10</v>
      </c>
      <c r="V10" s="226"/>
      <c r="W10" s="6" t="s">
        <v>287</v>
      </c>
      <c r="X10" s="7" t="s">
        <v>11</v>
      </c>
    </row>
    <row r="11" spans="1:26" ht="15" customHeight="1" thickBot="1" x14ac:dyDescent="0.25">
      <c r="A11" s="343" t="s">
        <v>77</v>
      </c>
      <c r="B11" s="69" t="s">
        <v>12</v>
      </c>
      <c r="C11" s="922" t="s">
        <v>13</v>
      </c>
      <c r="D11" s="69" t="s">
        <v>12</v>
      </c>
      <c r="E11" s="922" t="s">
        <v>13</v>
      </c>
      <c r="F11" s="69" t="s">
        <v>12</v>
      </c>
      <c r="G11" s="922" t="s">
        <v>13</v>
      </c>
      <c r="H11" s="69" t="s">
        <v>12</v>
      </c>
      <c r="I11" s="922" t="s">
        <v>13</v>
      </c>
      <c r="J11" s="69" t="s">
        <v>12</v>
      </c>
      <c r="K11" s="922" t="s">
        <v>13</v>
      </c>
      <c r="L11" s="69" t="s">
        <v>12</v>
      </c>
      <c r="M11" s="922" t="s">
        <v>13</v>
      </c>
      <c r="N11" s="69" t="s">
        <v>12</v>
      </c>
      <c r="O11" s="922" t="s">
        <v>13</v>
      </c>
      <c r="P11" s="69" t="s">
        <v>12</v>
      </c>
      <c r="Q11" s="922" t="s">
        <v>13</v>
      </c>
      <c r="R11" s="69" t="s">
        <v>12</v>
      </c>
      <c r="S11" s="922" t="s">
        <v>13</v>
      </c>
      <c r="T11" s="69" t="s">
        <v>12</v>
      </c>
      <c r="U11" s="10" t="s">
        <v>13</v>
      </c>
      <c r="V11" s="226"/>
      <c r="W11" s="9" t="s">
        <v>12</v>
      </c>
      <c r="X11" s="10" t="s">
        <v>13</v>
      </c>
    </row>
    <row r="12" spans="1:26" ht="15" customHeight="1" x14ac:dyDescent="0.2">
      <c r="A12" s="269" t="s">
        <v>106</v>
      </c>
      <c r="B12" s="258"/>
      <c r="C12" s="259"/>
      <c r="D12" s="11"/>
      <c r="E12" s="12"/>
      <c r="F12" s="13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5"/>
      <c r="V12" s="564"/>
      <c r="W12" s="779"/>
      <c r="X12" s="24"/>
    </row>
    <row r="13" spans="1:26" s="23" customFormat="1" ht="15" customHeight="1" x14ac:dyDescent="0.2">
      <c r="A13" s="349" t="s">
        <v>15</v>
      </c>
      <c r="B13" s="153">
        <v>71</v>
      </c>
      <c r="C13" s="262"/>
      <c r="D13" s="350">
        <v>62</v>
      </c>
      <c r="E13" s="264"/>
      <c r="F13" s="153">
        <v>68</v>
      </c>
      <c r="G13" s="264"/>
      <c r="H13" s="153">
        <v>68</v>
      </c>
      <c r="I13" s="264"/>
      <c r="J13" s="153">
        <v>73</v>
      </c>
      <c r="K13" s="264"/>
      <c r="L13" s="153">
        <v>61</v>
      </c>
      <c r="M13" s="264"/>
      <c r="N13" s="153">
        <v>54</v>
      </c>
      <c r="O13" s="264"/>
      <c r="P13" s="153">
        <v>47</v>
      </c>
      <c r="Q13" s="264"/>
      <c r="R13" s="153">
        <f>12+22+3</f>
        <v>37</v>
      </c>
      <c r="S13" s="264"/>
      <c r="T13" s="153">
        <v>31</v>
      </c>
      <c r="U13" s="266"/>
      <c r="V13" s="352"/>
      <c r="W13" s="347">
        <f t="shared" ref="W13:W18" si="0">AVERAGE(N13,L13,R13,T13,P13)</f>
        <v>46</v>
      </c>
      <c r="X13" s="496"/>
    </row>
    <row r="14" spans="1:26" s="23" customFormat="1" ht="15" customHeight="1" thickBot="1" x14ac:dyDescent="0.25">
      <c r="A14" s="353" t="s">
        <v>16</v>
      </c>
      <c r="B14" s="354">
        <v>126</v>
      </c>
      <c r="C14" s="263"/>
      <c r="D14" s="355">
        <v>121</v>
      </c>
      <c r="E14" s="265"/>
      <c r="F14" s="354">
        <v>101</v>
      </c>
      <c r="G14" s="265"/>
      <c r="H14" s="354">
        <v>124</v>
      </c>
      <c r="I14" s="265"/>
      <c r="J14" s="354">
        <v>107</v>
      </c>
      <c r="K14" s="265"/>
      <c r="L14" s="354">
        <v>98</v>
      </c>
      <c r="M14" s="265"/>
      <c r="N14" s="354">
        <v>96</v>
      </c>
      <c r="O14" s="265"/>
      <c r="P14" s="354">
        <v>87</v>
      </c>
      <c r="Q14" s="265"/>
      <c r="R14" s="354">
        <f>30+53</f>
        <v>83</v>
      </c>
      <c r="S14" s="265"/>
      <c r="T14" s="354">
        <v>76</v>
      </c>
      <c r="U14" s="267"/>
      <c r="V14" s="352"/>
      <c r="W14" s="347">
        <f t="shared" si="0"/>
        <v>88</v>
      </c>
      <c r="X14" s="497"/>
    </row>
    <row r="15" spans="1:26" s="73" customFormat="1" ht="15" customHeight="1" thickBot="1" x14ac:dyDescent="0.25">
      <c r="A15" s="357" t="s">
        <v>17</v>
      </c>
      <c r="B15" s="358">
        <f t="shared" ref="B15:R15" si="1">SUM(B13:B14)</f>
        <v>197</v>
      </c>
      <c r="C15" s="359">
        <v>39</v>
      </c>
      <c r="D15" s="358">
        <f t="shared" si="1"/>
        <v>183</v>
      </c>
      <c r="E15" s="642">
        <v>46</v>
      </c>
      <c r="F15" s="358">
        <f t="shared" si="1"/>
        <v>169</v>
      </c>
      <c r="G15" s="642">
        <v>37</v>
      </c>
      <c r="H15" s="358">
        <f t="shared" si="1"/>
        <v>192</v>
      </c>
      <c r="I15" s="359">
        <v>48</v>
      </c>
      <c r="J15" s="358">
        <f t="shared" si="1"/>
        <v>180</v>
      </c>
      <c r="K15" s="359">
        <v>43</v>
      </c>
      <c r="L15" s="358">
        <f t="shared" si="1"/>
        <v>159</v>
      </c>
      <c r="M15" s="359">
        <v>32</v>
      </c>
      <c r="N15" s="640">
        <f t="shared" si="1"/>
        <v>150</v>
      </c>
      <c r="O15" s="359">
        <v>42</v>
      </c>
      <c r="P15" s="358">
        <f t="shared" si="1"/>
        <v>134</v>
      </c>
      <c r="Q15" s="1233">
        <v>25</v>
      </c>
      <c r="R15" s="1315">
        <f t="shared" si="1"/>
        <v>120</v>
      </c>
      <c r="S15" s="359">
        <v>44</v>
      </c>
      <c r="T15" s="1234">
        <v>107</v>
      </c>
      <c r="U15" s="1275">
        <f t="shared" ref="U15" si="2">SUM(U13:U14)</f>
        <v>0</v>
      </c>
      <c r="V15" s="360"/>
      <c r="W15" s="493">
        <f t="shared" si="0"/>
        <v>134</v>
      </c>
      <c r="X15" s="494">
        <f>AVERAGE(O15,M15,K15,S15,Q15)</f>
        <v>37.200000000000003</v>
      </c>
    </row>
    <row r="16" spans="1:26" s="23" customFormat="1" ht="15" customHeight="1" x14ac:dyDescent="0.2">
      <c r="A16" s="353" t="s">
        <v>18</v>
      </c>
      <c r="B16" s="22">
        <v>22</v>
      </c>
      <c r="C16" s="26">
        <v>12</v>
      </c>
      <c r="D16" s="22">
        <v>19</v>
      </c>
      <c r="E16" s="25">
        <v>6</v>
      </c>
      <c r="F16" s="20">
        <v>15</v>
      </c>
      <c r="G16" s="25">
        <v>1</v>
      </c>
      <c r="H16" s="20">
        <v>23</v>
      </c>
      <c r="I16" s="25">
        <v>0</v>
      </c>
      <c r="J16" s="20">
        <v>20</v>
      </c>
      <c r="K16" s="25">
        <v>14</v>
      </c>
      <c r="L16" s="20">
        <v>21</v>
      </c>
      <c r="M16" s="25">
        <v>4</v>
      </c>
      <c r="N16" s="20">
        <v>17</v>
      </c>
      <c r="O16" s="25">
        <v>10</v>
      </c>
      <c r="P16" s="20">
        <v>15</v>
      </c>
      <c r="Q16" s="25">
        <v>5</v>
      </c>
      <c r="R16" s="20">
        <v>23</v>
      </c>
      <c r="S16" s="25">
        <v>6</v>
      </c>
      <c r="T16" s="153">
        <v>27</v>
      </c>
      <c r="U16" s="152"/>
      <c r="V16" s="352"/>
      <c r="W16" s="347">
        <f t="shared" si="0"/>
        <v>20.6</v>
      </c>
      <c r="X16" s="491">
        <f t="shared" ref="X16:X21" si="3">AVERAGE(O16,M16,K16,S16,Q16)</f>
        <v>7.8</v>
      </c>
      <c r="Z16" s="23" t="s">
        <v>19</v>
      </c>
    </row>
    <row r="17" spans="1:26" s="23" customFormat="1" ht="15" customHeight="1" x14ac:dyDescent="0.2">
      <c r="A17" s="353" t="s">
        <v>20</v>
      </c>
      <c r="B17" s="22">
        <v>30</v>
      </c>
      <c r="C17" s="26">
        <f>3+1</f>
        <v>4</v>
      </c>
      <c r="D17" s="22">
        <v>34</v>
      </c>
      <c r="E17" s="25">
        <v>9</v>
      </c>
      <c r="F17" s="20">
        <v>29</v>
      </c>
      <c r="G17" s="25">
        <v>2</v>
      </c>
      <c r="H17" s="20">
        <v>32</v>
      </c>
      <c r="I17" s="25">
        <v>6</v>
      </c>
      <c r="J17" s="20">
        <v>25</v>
      </c>
      <c r="K17" s="25">
        <v>7</v>
      </c>
      <c r="L17" s="20">
        <v>26</v>
      </c>
      <c r="M17" s="25">
        <v>4</v>
      </c>
      <c r="N17" s="20">
        <v>18</v>
      </c>
      <c r="O17" s="25">
        <v>3</v>
      </c>
      <c r="P17" s="20">
        <v>16</v>
      </c>
      <c r="Q17" s="25">
        <v>6</v>
      </c>
      <c r="R17" s="20">
        <v>17</v>
      </c>
      <c r="S17" s="25">
        <v>2</v>
      </c>
      <c r="T17" s="153">
        <v>13</v>
      </c>
      <c r="U17" s="152"/>
      <c r="V17" s="352"/>
      <c r="W17" s="347">
        <f t="shared" si="0"/>
        <v>18</v>
      </c>
      <c r="X17" s="491">
        <f t="shared" si="3"/>
        <v>4.4000000000000004</v>
      </c>
    </row>
    <row r="18" spans="1:26" s="23" customFormat="1" ht="15" customHeight="1" x14ac:dyDescent="0.2">
      <c r="A18" s="353" t="s">
        <v>86</v>
      </c>
      <c r="B18" s="86">
        <v>45</v>
      </c>
      <c r="C18" s="26">
        <v>2</v>
      </c>
      <c r="D18" s="86">
        <v>45</v>
      </c>
      <c r="E18" s="25">
        <v>3</v>
      </c>
      <c r="F18" s="29">
        <v>47</v>
      </c>
      <c r="G18" s="25">
        <v>3</v>
      </c>
      <c r="H18" s="29">
        <v>38</v>
      </c>
      <c r="I18" s="25">
        <v>8</v>
      </c>
      <c r="J18" s="29">
        <v>41</v>
      </c>
      <c r="K18" s="25">
        <v>3</v>
      </c>
      <c r="L18" s="29">
        <v>38</v>
      </c>
      <c r="M18" s="25">
        <v>6</v>
      </c>
      <c r="N18" s="29">
        <v>33</v>
      </c>
      <c r="O18" s="25">
        <v>3</v>
      </c>
      <c r="P18" s="29">
        <v>30</v>
      </c>
      <c r="Q18" s="25">
        <v>2</v>
      </c>
      <c r="R18" s="29">
        <v>32</v>
      </c>
      <c r="S18" s="25">
        <v>5</v>
      </c>
      <c r="T18" s="350">
        <v>25</v>
      </c>
      <c r="U18" s="151"/>
      <c r="V18" s="352"/>
      <c r="W18" s="347">
        <f t="shared" si="0"/>
        <v>31.6</v>
      </c>
      <c r="X18" s="491">
        <f t="shared" si="3"/>
        <v>3.8</v>
      </c>
    </row>
    <row r="19" spans="1:26" ht="15" customHeight="1" x14ac:dyDescent="0.2">
      <c r="A19" s="1235" t="s">
        <v>107</v>
      </c>
      <c r="B19" s="258"/>
      <c r="C19" s="259"/>
      <c r="D19" s="11"/>
      <c r="E19" s="12"/>
      <c r="F19" s="13"/>
      <c r="G19" s="12"/>
      <c r="H19" s="13"/>
      <c r="I19" s="12"/>
      <c r="J19" s="13"/>
      <c r="K19" s="12"/>
      <c r="L19" s="13"/>
      <c r="M19" s="12"/>
      <c r="N19" s="13"/>
      <c r="O19" s="12"/>
      <c r="P19" s="13"/>
      <c r="Q19" s="12"/>
      <c r="R19" s="13"/>
      <c r="S19" s="12"/>
      <c r="T19" s="11"/>
      <c r="U19" s="15"/>
      <c r="V19" s="564"/>
      <c r="W19" s="779"/>
      <c r="X19" s="491"/>
    </row>
    <row r="20" spans="1:26" s="23" customFormat="1" ht="15" customHeight="1" x14ac:dyDescent="0.2">
      <c r="A20" s="353" t="s">
        <v>20</v>
      </c>
      <c r="B20" s="86">
        <v>19</v>
      </c>
      <c r="C20" s="26">
        <v>12</v>
      </c>
      <c r="D20" s="86">
        <v>23</v>
      </c>
      <c r="E20" s="25">
        <v>12</v>
      </c>
      <c r="F20" s="29">
        <v>42</v>
      </c>
      <c r="G20" s="25">
        <v>29</v>
      </c>
      <c r="H20" s="29">
        <v>36</v>
      </c>
      <c r="I20" s="25">
        <v>14</v>
      </c>
      <c r="J20" s="29">
        <v>39</v>
      </c>
      <c r="K20" s="25">
        <v>23</v>
      </c>
      <c r="L20" s="29">
        <v>24</v>
      </c>
      <c r="M20" s="25">
        <v>14</v>
      </c>
      <c r="N20" s="29">
        <v>28</v>
      </c>
      <c r="O20" s="25">
        <v>12</v>
      </c>
      <c r="P20" s="29">
        <v>34</v>
      </c>
      <c r="Q20" s="25">
        <v>18</v>
      </c>
      <c r="R20" s="29">
        <v>21</v>
      </c>
      <c r="S20" s="25">
        <v>11</v>
      </c>
      <c r="T20" s="153">
        <v>19</v>
      </c>
      <c r="U20" s="152"/>
      <c r="V20" s="352"/>
      <c r="W20" s="347">
        <f>AVERAGE(N20,L20,R20,T20,P20)</f>
        <v>25.2</v>
      </c>
      <c r="X20" s="491">
        <f t="shared" si="3"/>
        <v>15.6</v>
      </c>
      <c r="Z20" s="23" t="s">
        <v>19</v>
      </c>
    </row>
    <row r="21" spans="1:26" s="23" customFormat="1" ht="15" customHeight="1" thickBot="1" x14ac:dyDescent="0.25">
      <c r="A21" s="362" t="s">
        <v>90</v>
      </c>
      <c r="B21" s="31">
        <v>9</v>
      </c>
      <c r="C21" s="34">
        <v>0</v>
      </c>
      <c r="D21" s="31">
        <v>15</v>
      </c>
      <c r="E21" s="32">
        <v>0</v>
      </c>
      <c r="F21" s="33">
        <v>21</v>
      </c>
      <c r="G21" s="32">
        <v>0</v>
      </c>
      <c r="H21" s="33">
        <v>24</v>
      </c>
      <c r="I21" s="32">
        <v>1</v>
      </c>
      <c r="J21" s="33">
        <v>26</v>
      </c>
      <c r="K21" s="32">
        <v>2</v>
      </c>
      <c r="L21" s="33">
        <v>30</v>
      </c>
      <c r="M21" s="32">
        <v>4</v>
      </c>
      <c r="N21" s="33">
        <v>24</v>
      </c>
      <c r="O21" s="32">
        <v>1</v>
      </c>
      <c r="P21" s="33">
        <v>23</v>
      </c>
      <c r="Q21" s="32">
        <v>2</v>
      </c>
      <c r="R21" s="33">
        <v>21</v>
      </c>
      <c r="S21" s="32">
        <v>1</v>
      </c>
      <c r="T21" s="365">
        <v>23</v>
      </c>
      <c r="U21" s="1282"/>
      <c r="V21" s="352"/>
      <c r="W21" s="347">
        <f>AVERAGE(N21,L21,R21,T21,P21)</f>
        <v>24.2</v>
      </c>
      <c r="X21" s="491">
        <f t="shared" si="3"/>
        <v>2</v>
      </c>
    </row>
    <row r="22" spans="1:26" ht="18" customHeight="1" thickTop="1" thickBot="1" x14ac:dyDescent="0.25">
      <c r="A22" s="298" t="s">
        <v>71</v>
      </c>
      <c r="B22" s="1380"/>
      <c r="C22" s="1381"/>
      <c r="D22" s="1380"/>
      <c r="E22" s="1381"/>
      <c r="F22" s="1380"/>
      <c r="G22" s="1381"/>
      <c r="H22" s="1380"/>
      <c r="I22" s="1381"/>
      <c r="J22" s="1380"/>
      <c r="K22" s="1381"/>
      <c r="L22" s="1380"/>
      <c r="M22" s="1381"/>
      <c r="N22" s="1380"/>
      <c r="O22" s="1381"/>
      <c r="P22" s="1380"/>
      <c r="Q22" s="1381"/>
      <c r="R22" s="1380"/>
      <c r="S22" s="1381"/>
      <c r="T22" s="1380"/>
      <c r="U22" s="1383"/>
      <c r="V22" s="226"/>
      <c r="W22" s="1382"/>
      <c r="X22" s="1383"/>
    </row>
    <row r="23" spans="1:26" ht="15" customHeight="1" x14ac:dyDescent="0.2">
      <c r="A23" s="299" t="s">
        <v>79</v>
      </c>
      <c r="B23" s="300"/>
      <c r="C23" s="385"/>
      <c r="D23" s="384"/>
      <c r="E23" s="385"/>
      <c r="F23" s="384"/>
      <c r="G23" s="385"/>
      <c r="H23" s="384"/>
      <c r="I23" s="385"/>
      <c r="J23" s="384"/>
      <c r="K23" s="385"/>
      <c r="L23" s="384"/>
      <c r="M23" s="385"/>
      <c r="N23" s="384"/>
      <c r="O23" s="385"/>
      <c r="P23" s="384"/>
      <c r="Q23" s="385"/>
      <c r="R23" s="384"/>
      <c r="S23" s="385"/>
      <c r="T23" s="384"/>
      <c r="U23" s="386"/>
      <c r="V23" s="226"/>
      <c r="W23" s="237"/>
      <c r="X23" s="852" t="e">
        <f>AVERAGE(O23,M23,I23,K23,Q23)</f>
        <v>#DIV/0!</v>
      </c>
    </row>
    <row r="24" spans="1:26" ht="15" customHeight="1" x14ac:dyDescent="0.2">
      <c r="A24" s="305" t="s">
        <v>72</v>
      </c>
      <c r="B24" s="304"/>
      <c r="C24" s="388">
        <v>0.65</v>
      </c>
      <c r="D24" s="387"/>
      <c r="E24" s="388">
        <v>0.74</v>
      </c>
      <c r="F24" s="387"/>
      <c r="G24" s="388">
        <v>0.48</v>
      </c>
      <c r="H24" s="387"/>
      <c r="I24" s="388">
        <v>0.56000000000000005</v>
      </c>
      <c r="J24" s="387"/>
      <c r="K24" s="388">
        <v>0.56999999999999995</v>
      </c>
      <c r="L24" s="387"/>
      <c r="M24" s="388">
        <v>0.67</v>
      </c>
      <c r="N24" s="387"/>
      <c r="O24" s="388">
        <v>0.69</v>
      </c>
      <c r="P24" s="387"/>
      <c r="Q24" s="388">
        <v>0.41</v>
      </c>
      <c r="R24" s="387"/>
      <c r="S24" s="388"/>
      <c r="T24" s="387"/>
      <c r="U24" s="1271"/>
      <c r="V24" s="226"/>
      <c r="W24" s="237"/>
      <c r="X24" s="1255">
        <f t="shared" ref="X24:X25" si="4">AVERAGE(O24,M24,K24,S24,Q24)</f>
        <v>0.58499999999999996</v>
      </c>
    </row>
    <row r="25" spans="1:26" ht="15" customHeight="1" x14ac:dyDescent="0.2">
      <c r="A25" s="305" t="s">
        <v>73</v>
      </c>
      <c r="B25" s="306"/>
      <c r="C25" s="390">
        <v>0.27</v>
      </c>
      <c r="D25" s="389"/>
      <c r="E25" s="390">
        <v>0.19</v>
      </c>
      <c r="F25" s="389"/>
      <c r="G25" s="390">
        <v>0.34</v>
      </c>
      <c r="H25" s="389"/>
      <c r="I25" s="390">
        <v>0.4</v>
      </c>
      <c r="J25" s="389"/>
      <c r="K25" s="390">
        <v>0.43</v>
      </c>
      <c r="L25" s="389"/>
      <c r="M25" s="390">
        <v>0.25</v>
      </c>
      <c r="N25" s="389"/>
      <c r="O25" s="390">
        <v>0.31</v>
      </c>
      <c r="P25" s="389"/>
      <c r="Q25" s="390">
        <v>0.45</v>
      </c>
      <c r="R25" s="389"/>
      <c r="S25" s="390"/>
      <c r="T25" s="389"/>
      <c r="U25" s="1276"/>
      <c r="V25" s="226"/>
      <c r="W25" s="237"/>
      <c r="X25" s="1255">
        <f t="shared" si="4"/>
        <v>0.36</v>
      </c>
    </row>
    <row r="26" spans="1:26" ht="15" customHeight="1" thickBot="1" x14ac:dyDescent="0.25">
      <c r="A26" s="307" t="s">
        <v>75</v>
      </c>
      <c r="B26" s="308"/>
      <c r="C26" s="309"/>
      <c r="D26" s="308"/>
      <c r="E26" s="309"/>
      <c r="F26" s="308"/>
      <c r="G26" s="309"/>
      <c r="H26" s="308"/>
      <c r="I26" s="309"/>
      <c r="J26" s="308"/>
      <c r="K26" s="309"/>
      <c r="L26" s="308"/>
      <c r="M26" s="309"/>
      <c r="N26" s="308"/>
      <c r="O26" s="309"/>
      <c r="P26" s="308"/>
      <c r="Q26" s="309"/>
      <c r="R26" s="308"/>
      <c r="S26" s="309"/>
      <c r="T26" s="308"/>
      <c r="U26" s="310"/>
      <c r="V26" s="226"/>
      <c r="W26" s="242"/>
      <c r="X26" s="543" t="e">
        <f>AVERAGE(O26,M26,S26,U26,Q26)</f>
        <v>#DIV/0!</v>
      </c>
    </row>
    <row r="27" spans="1:26" ht="18" customHeight="1" thickTop="1" thickBot="1" x14ac:dyDescent="0.25">
      <c r="A27" s="221" t="s">
        <v>78</v>
      </c>
      <c r="B27" s="1380"/>
      <c r="C27" s="1381"/>
      <c r="D27" s="1380"/>
      <c r="E27" s="1381"/>
      <c r="F27" s="1380"/>
      <c r="G27" s="1381"/>
      <c r="H27" s="1380"/>
      <c r="I27" s="1381"/>
      <c r="J27" s="1380"/>
      <c r="K27" s="1381"/>
      <c r="L27" s="1380"/>
      <c r="M27" s="1381"/>
      <c r="N27" s="1380"/>
      <c r="O27" s="1381"/>
      <c r="P27" s="1380"/>
      <c r="Q27" s="1381"/>
      <c r="R27" s="1380"/>
      <c r="S27" s="1381"/>
      <c r="T27" s="1380"/>
      <c r="U27" s="1383"/>
      <c r="V27" s="226"/>
      <c r="W27" s="1382"/>
      <c r="X27" s="1383"/>
    </row>
    <row r="28" spans="1:26" ht="15" customHeight="1" thickBot="1" x14ac:dyDescent="0.25">
      <c r="A28" s="463" t="s">
        <v>142</v>
      </c>
      <c r="B28" s="758"/>
      <c r="C28" s="503">
        <v>25.1</v>
      </c>
      <c r="D28" s="758"/>
      <c r="E28" s="503">
        <v>24.8</v>
      </c>
      <c r="F28" s="758"/>
      <c r="G28" s="503">
        <v>24</v>
      </c>
      <c r="H28" s="758"/>
      <c r="I28" s="503">
        <v>25.2</v>
      </c>
      <c r="J28" s="758"/>
      <c r="K28" s="503">
        <v>25.1</v>
      </c>
      <c r="L28" s="758"/>
      <c r="M28" s="503">
        <v>24.8</v>
      </c>
      <c r="N28" s="758"/>
      <c r="O28" s="503">
        <v>25.1</v>
      </c>
      <c r="P28" s="758"/>
      <c r="Q28" s="503">
        <v>25.6</v>
      </c>
      <c r="R28" s="758"/>
      <c r="S28" s="503">
        <v>24.7</v>
      </c>
      <c r="T28" s="758"/>
      <c r="U28" s="504"/>
      <c r="V28" s="334"/>
      <c r="W28" s="467"/>
      <c r="X28" s="769">
        <f>AVERAGE(U28,S28,Q28,O28,M28)</f>
        <v>25.05</v>
      </c>
    </row>
    <row r="29" spans="1:26" ht="18" customHeight="1" thickTop="1" thickBot="1" x14ac:dyDescent="0.25">
      <c r="A29" s="314" t="s">
        <v>22</v>
      </c>
      <c r="B29" s="1380"/>
      <c r="C29" s="1381"/>
      <c r="D29" s="1380"/>
      <c r="E29" s="1381"/>
      <c r="F29" s="1380"/>
      <c r="G29" s="1381"/>
      <c r="H29" s="1380"/>
      <c r="I29" s="1381"/>
      <c r="J29" s="1380"/>
      <c r="K29" s="1381"/>
      <c r="L29" s="1380"/>
      <c r="M29" s="1381"/>
      <c r="N29" s="1380"/>
      <c r="O29" s="1381"/>
      <c r="P29" s="1380"/>
      <c r="Q29" s="1381"/>
      <c r="R29" s="1380"/>
      <c r="S29" s="1381"/>
      <c r="T29" s="1380"/>
      <c r="U29" s="1383"/>
      <c r="V29" s="226"/>
      <c r="W29" s="1382"/>
      <c r="X29" s="1383"/>
    </row>
    <row r="30" spans="1:26" ht="15" customHeight="1" x14ac:dyDescent="0.2">
      <c r="A30" s="305" t="s">
        <v>23</v>
      </c>
      <c r="B30" s="315"/>
      <c r="C30" s="315"/>
      <c r="D30" s="316"/>
      <c r="E30" s="317"/>
      <c r="F30" s="315"/>
      <c r="G30" s="317"/>
      <c r="H30" s="315"/>
      <c r="I30" s="317"/>
      <c r="J30" s="315"/>
      <c r="K30" s="317"/>
      <c r="L30" s="315"/>
      <c r="M30" s="317"/>
      <c r="N30" s="315"/>
      <c r="O30" s="317"/>
      <c r="P30" s="315"/>
      <c r="Q30" s="317"/>
      <c r="R30" s="315"/>
      <c r="S30" s="317"/>
      <c r="T30" s="315"/>
      <c r="U30" s="318"/>
      <c r="V30" s="226"/>
      <c r="W30" s="319"/>
      <c r="X30" s="320"/>
    </row>
    <row r="31" spans="1:26" ht="15" customHeight="1" x14ac:dyDescent="0.2">
      <c r="A31" s="305" t="s">
        <v>24</v>
      </c>
      <c r="B31" s="315"/>
      <c r="C31" s="48">
        <v>6375</v>
      </c>
      <c r="D31" s="45"/>
      <c r="E31" s="47">
        <v>6354</v>
      </c>
      <c r="F31" s="46"/>
      <c r="G31" s="47">
        <v>6480</v>
      </c>
      <c r="H31" s="46"/>
      <c r="I31" s="47">
        <v>6711</v>
      </c>
      <c r="J31" s="46"/>
      <c r="K31" s="47">
        <v>6850</v>
      </c>
      <c r="L31" s="46"/>
      <c r="M31" s="47">
        <v>5976</v>
      </c>
      <c r="N31" s="46"/>
      <c r="O31" s="47">
        <v>6006</v>
      </c>
      <c r="P31" s="46"/>
      <c r="Q31" s="47">
        <v>5955</v>
      </c>
      <c r="R31" s="46"/>
      <c r="S31" s="47">
        <v>5671</v>
      </c>
      <c r="T31" s="315"/>
      <c r="U31" s="1273"/>
      <c r="V31" s="226"/>
      <c r="W31" s="50"/>
      <c r="X31" s="51">
        <f>AVERAGE(O31,M31,S31,K31,Q31)</f>
        <v>6091.6</v>
      </c>
    </row>
    <row r="32" spans="1:26" ht="15" customHeight="1" x14ac:dyDescent="0.2">
      <c r="A32" s="305" t="s">
        <v>25</v>
      </c>
      <c r="B32" s="315"/>
      <c r="C32" s="48">
        <v>4566</v>
      </c>
      <c r="D32" s="45"/>
      <c r="E32" s="47">
        <v>3996</v>
      </c>
      <c r="F32" s="46"/>
      <c r="G32" s="47">
        <v>3498</v>
      </c>
      <c r="H32" s="46"/>
      <c r="I32" s="47">
        <v>3624</v>
      </c>
      <c r="J32" s="46"/>
      <c r="K32" s="47">
        <v>3891</v>
      </c>
      <c r="L32" s="46"/>
      <c r="M32" s="47">
        <v>3195</v>
      </c>
      <c r="N32" s="46"/>
      <c r="O32" s="47">
        <v>3300</v>
      </c>
      <c r="P32" s="46"/>
      <c r="Q32" s="47">
        <v>3144</v>
      </c>
      <c r="R32" s="46"/>
      <c r="S32" s="47">
        <v>3194</v>
      </c>
      <c r="T32" s="315"/>
      <c r="U32" s="1273"/>
      <c r="V32" s="226"/>
      <c r="W32" s="52"/>
      <c r="X32" s="51">
        <f t="shared" ref="X32:X35" si="5">AVERAGE(O32,M32,S32,K32,Q32)</f>
        <v>3344.8</v>
      </c>
    </row>
    <row r="33" spans="1:27" ht="15" customHeight="1" x14ac:dyDescent="0.2">
      <c r="A33" s="305" t="s">
        <v>26</v>
      </c>
      <c r="B33" s="315"/>
      <c r="C33" s="48">
        <v>255</v>
      </c>
      <c r="D33" s="45"/>
      <c r="E33" s="47">
        <v>311</v>
      </c>
      <c r="F33" s="46"/>
      <c r="G33" s="47">
        <v>392</v>
      </c>
      <c r="H33" s="46"/>
      <c r="I33" s="47">
        <v>362</v>
      </c>
      <c r="J33" s="46"/>
      <c r="K33" s="47">
        <v>296</v>
      </c>
      <c r="L33" s="46"/>
      <c r="M33" s="47">
        <v>227</v>
      </c>
      <c r="N33" s="46"/>
      <c r="O33" s="47">
        <v>208</v>
      </c>
      <c r="P33" s="46"/>
      <c r="Q33" s="47">
        <v>214</v>
      </c>
      <c r="R33" s="46"/>
      <c r="S33" s="47">
        <v>207</v>
      </c>
      <c r="T33" s="315"/>
      <c r="U33" s="1273"/>
      <c r="V33" s="226"/>
      <c r="W33" s="52"/>
      <c r="X33" s="51">
        <f t="shared" si="5"/>
        <v>230.4</v>
      </c>
    </row>
    <row r="34" spans="1:27" ht="15" customHeight="1" thickBot="1" x14ac:dyDescent="0.25">
      <c r="A34" s="305" t="s">
        <v>27</v>
      </c>
      <c r="B34" s="83"/>
      <c r="C34" s="54">
        <v>722</v>
      </c>
      <c r="D34" s="45"/>
      <c r="E34" s="53">
        <v>720</v>
      </c>
      <c r="F34" s="46"/>
      <c r="G34" s="53">
        <v>644</v>
      </c>
      <c r="H34" s="46"/>
      <c r="I34" s="53">
        <v>636</v>
      </c>
      <c r="J34" s="46"/>
      <c r="K34" s="53">
        <v>560</v>
      </c>
      <c r="L34" s="46"/>
      <c r="M34" s="53">
        <v>663</v>
      </c>
      <c r="N34" s="46"/>
      <c r="O34" s="53">
        <v>504</v>
      </c>
      <c r="P34" s="46"/>
      <c r="Q34" s="53">
        <v>432</v>
      </c>
      <c r="R34" s="46"/>
      <c r="S34" s="53">
        <v>366</v>
      </c>
      <c r="T34" s="83"/>
      <c r="U34" s="1274"/>
      <c r="V34" s="226"/>
      <c r="W34" s="63"/>
      <c r="X34" s="484">
        <f t="shared" si="5"/>
        <v>505</v>
      </c>
    </row>
    <row r="35" spans="1:27" ht="15" customHeight="1" thickBot="1" x14ac:dyDescent="0.25">
      <c r="A35" s="327" t="s">
        <v>28</v>
      </c>
      <c r="B35" s="328"/>
      <c r="C35" s="329">
        <f>SUM(C31:C34)</f>
        <v>11918</v>
      </c>
      <c r="D35" s="330"/>
      <c r="E35" s="331">
        <f>SUM(E31:E34)</f>
        <v>11381</v>
      </c>
      <c r="F35" s="328"/>
      <c r="G35" s="331">
        <f>SUM(G31:G34)</f>
        <v>11014</v>
      </c>
      <c r="H35" s="328"/>
      <c r="I35" s="331">
        <f>SUM(I31:I34)</f>
        <v>11333</v>
      </c>
      <c r="J35" s="328"/>
      <c r="K35" s="331">
        <f>SUM(K31:K34)</f>
        <v>11597</v>
      </c>
      <c r="L35" s="328"/>
      <c r="M35" s="331">
        <f>SUM(M31:M34)</f>
        <v>10061</v>
      </c>
      <c r="N35" s="328"/>
      <c r="O35" s="331">
        <f>SUM(O31:O34)</f>
        <v>10018</v>
      </c>
      <c r="P35" s="328"/>
      <c r="Q35" s="331">
        <f>SUM(Q31:Q34)</f>
        <v>9745</v>
      </c>
      <c r="R35" s="328"/>
      <c r="S35" s="331">
        <f>SUM(S31:S34)</f>
        <v>9438</v>
      </c>
      <c r="T35" s="328"/>
      <c r="U35" s="1277">
        <f>SUM(U31:U34)</f>
        <v>0</v>
      </c>
      <c r="V35" s="226"/>
      <c r="W35" s="485"/>
      <c r="X35" s="486">
        <f t="shared" si="5"/>
        <v>10171.799999999999</v>
      </c>
    </row>
    <row r="36" spans="1:27" ht="15" customHeight="1" thickTop="1" thickBot="1" x14ac:dyDescent="0.25">
      <c r="A36" s="280"/>
      <c r="B36" s="332"/>
      <c r="C36" s="333"/>
      <c r="D36" s="332"/>
      <c r="E36" s="333"/>
      <c r="F36" s="332"/>
      <c r="G36" s="333"/>
      <c r="H36" s="332"/>
      <c r="I36" s="333"/>
      <c r="J36" s="332"/>
      <c r="K36" s="333"/>
      <c r="L36" s="332"/>
      <c r="M36" s="333"/>
      <c r="N36" s="332"/>
      <c r="O36" s="333"/>
      <c r="P36" s="332"/>
      <c r="Q36" s="333"/>
      <c r="R36" s="332"/>
      <c r="S36" s="333"/>
      <c r="T36" s="332"/>
      <c r="U36" s="333"/>
      <c r="V36" s="334"/>
      <c r="W36" s="335"/>
      <c r="X36" s="333"/>
    </row>
    <row r="37" spans="1:27" ht="18" customHeight="1" thickTop="1" thickBot="1" x14ac:dyDescent="0.25">
      <c r="A37" s="175" t="s">
        <v>29</v>
      </c>
      <c r="B37" s="1385" t="s">
        <v>30</v>
      </c>
      <c r="C37" s="1395"/>
      <c r="D37" s="1385" t="s">
        <v>31</v>
      </c>
      <c r="E37" s="1396"/>
      <c r="F37" s="1385" t="s">
        <v>32</v>
      </c>
      <c r="G37" s="1396"/>
      <c r="H37" s="1385" t="s">
        <v>33</v>
      </c>
      <c r="I37" s="1396"/>
      <c r="J37" s="1385" t="s">
        <v>34</v>
      </c>
      <c r="K37" s="1396"/>
      <c r="L37" s="1385" t="s">
        <v>35</v>
      </c>
      <c r="M37" s="1396"/>
      <c r="N37" s="1385" t="s">
        <v>36</v>
      </c>
      <c r="O37" s="1396"/>
      <c r="P37" s="1385" t="s">
        <v>37</v>
      </c>
      <c r="Q37" s="1396"/>
      <c r="R37" s="1385" t="s">
        <v>38</v>
      </c>
      <c r="S37" s="1396"/>
      <c r="T37" s="1385" t="s">
        <v>302</v>
      </c>
      <c r="U37" s="1386"/>
      <c r="V37" s="869"/>
      <c r="W37" s="1382" t="s">
        <v>9</v>
      </c>
      <c r="X37" s="1383"/>
      <c r="Y37" s="56"/>
      <c r="Z37" s="56"/>
      <c r="AA37" s="57"/>
    </row>
    <row r="38" spans="1:27" ht="15" customHeight="1" x14ac:dyDescent="0.2">
      <c r="A38" s="1070" t="s">
        <v>244</v>
      </c>
      <c r="B38" s="177"/>
      <c r="C38" s="154">
        <v>0.13</v>
      </c>
      <c r="D38" s="281"/>
      <c r="E38" s="129">
        <v>0.13400000000000001</v>
      </c>
      <c r="F38" s="282"/>
      <c r="G38" s="129">
        <v>0.13200000000000001</v>
      </c>
      <c r="H38" s="128"/>
      <c r="I38" s="129">
        <v>0.14499999999999999</v>
      </c>
      <c r="J38" s="128"/>
      <c r="K38" s="129">
        <v>0.12</v>
      </c>
      <c r="L38" s="128"/>
      <c r="M38" s="129">
        <v>0.13</v>
      </c>
      <c r="N38" s="128"/>
      <c r="O38" s="129">
        <v>0.11700000000000001</v>
      </c>
      <c r="P38" s="128"/>
      <c r="Q38" s="129">
        <v>0.115</v>
      </c>
      <c r="R38" s="128"/>
      <c r="S38" s="129">
        <v>0.113</v>
      </c>
      <c r="T38" s="181"/>
      <c r="U38" s="182">
        <v>0.11799999999999999</v>
      </c>
      <c r="V38" s="651"/>
      <c r="W38" s="469"/>
      <c r="X38" s="594">
        <f>AVERAGE(Q38,O38,M38,U38,S38)</f>
        <v>0.1186</v>
      </c>
      <c r="Y38" s="56"/>
      <c r="Z38" s="56"/>
      <c r="AA38" s="57"/>
    </row>
    <row r="39" spans="1:27" ht="15" customHeight="1" x14ac:dyDescent="0.2">
      <c r="A39" s="1069" t="s">
        <v>245</v>
      </c>
      <c r="B39" s="184"/>
      <c r="C39" s="155">
        <v>6.2E-2</v>
      </c>
      <c r="D39" s="283"/>
      <c r="E39" s="131">
        <v>8.4000000000000005E-2</v>
      </c>
      <c r="F39" s="284"/>
      <c r="G39" s="131">
        <v>9.5000000000000001E-2</v>
      </c>
      <c r="H39" s="130"/>
      <c r="I39" s="131">
        <v>8.7999999999999995E-2</v>
      </c>
      <c r="J39" s="130"/>
      <c r="K39" s="131">
        <v>6.8000000000000005E-2</v>
      </c>
      <c r="L39" s="130"/>
      <c r="M39" s="131">
        <v>8.3000000000000004E-2</v>
      </c>
      <c r="N39" s="130"/>
      <c r="O39" s="131">
        <v>7.0000000000000007E-2</v>
      </c>
      <c r="P39" s="130"/>
      <c r="Q39" s="131">
        <v>6.7000000000000004E-2</v>
      </c>
      <c r="R39" s="130"/>
      <c r="S39" s="131">
        <v>5.8000000000000003E-2</v>
      </c>
      <c r="T39" s="186"/>
      <c r="U39" s="187">
        <v>5.2999999999999999E-2</v>
      </c>
      <c r="V39" s="651"/>
      <c r="W39" s="469"/>
      <c r="X39" s="594">
        <f>AVERAGE(Q39,O39,M39,U39,S39)</f>
        <v>6.6200000000000009E-2</v>
      </c>
      <c r="Y39" s="56"/>
      <c r="Z39" s="56"/>
      <c r="AA39" s="57"/>
    </row>
    <row r="40" spans="1:27" ht="15" customHeight="1" thickBot="1" x14ac:dyDescent="0.25">
      <c r="A40" s="189" t="s">
        <v>243</v>
      </c>
      <c r="B40" s="1403">
        <f>1-C38-C39</f>
        <v>0.80800000000000005</v>
      </c>
      <c r="C40" s="1404"/>
      <c r="D40" s="1403">
        <f>1-E38-E39</f>
        <v>0.78200000000000003</v>
      </c>
      <c r="E40" s="1404"/>
      <c r="F40" s="1403">
        <f>1-G38-G39</f>
        <v>0.77300000000000002</v>
      </c>
      <c r="G40" s="1404"/>
      <c r="H40" s="1403">
        <f>1-I38-I39</f>
        <v>0.76700000000000002</v>
      </c>
      <c r="I40" s="1404"/>
      <c r="J40" s="1403">
        <f>1-K38-K39</f>
        <v>0.81200000000000006</v>
      </c>
      <c r="K40" s="1404"/>
      <c r="L40" s="1403">
        <f>1-M38-M39</f>
        <v>0.78700000000000003</v>
      </c>
      <c r="M40" s="1404"/>
      <c r="N40" s="1403">
        <f>1-O38-O39</f>
        <v>0.81299999999999994</v>
      </c>
      <c r="O40" s="1404"/>
      <c r="P40" s="1403">
        <f>1-Q38-Q39</f>
        <v>0.81800000000000006</v>
      </c>
      <c r="Q40" s="1404"/>
      <c r="R40" s="1403">
        <f>1-S38-S39</f>
        <v>0.82899999999999996</v>
      </c>
      <c r="S40" s="1404"/>
      <c r="T40" s="1403">
        <f>1-U38-U39</f>
        <v>0.82899999999999996</v>
      </c>
      <c r="U40" s="1406"/>
      <c r="V40" s="651"/>
      <c r="W40" s="1390">
        <f>1-X38-X39</f>
        <v>0.81519999999999992</v>
      </c>
      <c r="X40" s="1391"/>
      <c r="Y40" s="56"/>
      <c r="Z40" s="56"/>
      <c r="AA40" s="57"/>
    </row>
    <row r="41" spans="1:27" s="3" customFormat="1" ht="18" customHeight="1" thickTop="1" thickBot="1" x14ac:dyDescent="0.25">
      <c r="A41" s="194" t="s">
        <v>67</v>
      </c>
      <c r="B41" s="227" t="s">
        <v>39</v>
      </c>
      <c r="C41" s="228" t="s">
        <v>74</v>
      </c>
      <c r="D41" s="227" t="s">
        <v>39</v>
      </c>
      <c r="E41" s="228" t="s">
        <v>74</v>
      </c>
      <c r="F41" s="227" t="s">
        <v>39</v>
      </c>
      <c r="G41" s="228" t="s">
        <v>74</v>
      </c>
      <c r="H41" s="227" t="s">
        <v>39</v>
      </c>
      <c r="I41" s="228" t="s">
        <v>74</v>
      </c>
      <c r="J41" s="227" t="s">
        <v>39</v>
      </c>
      <c r="K41" s="228" t="s">
        <v>74</v>
      </c>
      <c r="L41" s="227" t="s">
        <v>39</v>
      </c>
      <c r="M41" s="228" t="s">
        <v>74</v>
      </c>
      <c r="N41" s="227" t="s">
        <v>39</v>
      </c>
      <c r="O41" s="228" t="s">
        <v>74</v>
      </c>
      <c r="P41" s="227" t="s">
        <v>39</v>
      </c>
      <c r="Q41" s="228" t="s">
        <v>74</v>
      </c>
      <c r="R41" s="227" t="s">
        <v>39</v>
      </c>
      <c r="S41" s="228" t="s">
        <v>74</v>
      </c>
      <c r="T41" s="227" t="s">
        <v>39</v>
      </c>
      <c r="U41" s="229" t="s">
        <v>74</v>
      </c>
      <c r="V41" s="230"/>
      <c r="W41" s="1071" t="s">
        <v>39</v>
      </c>
      <c r="X41" s="229" t="s">
        <v>74</v>
      </c>
    </row>
    <row r="42" spans="1:27" ht="15" customHeight="1" x14ac:dyDescent="0.2">
      <c r="A42" s="233" t="s">
        <v>228</v>
      </c>
      <c r="B42" s="234"/>
      <c r="C42" s="235">
        <f>B42/SUM(B17,B20)</f>
        <v>0</v>
      </c>
      <c r="D42" s="234"/>
      <c r="E42" s="235">
        <f>D42/SUM(D17,D20)</f>
        <v>0</v>
      </c>
      <c r="F42" s="234"/>
      <c r="G42" s="235">
        <f>F42/SUM(F17,F20)</f>
        <v>0</v>
      </c>
      <c r="H42" s="234">
        <v>4</v>
      </c>
      <c r="I42" s="235">
        <f>H42/SUM(H17)</f>
        <v>0.125</v>
      </c>
      <c r="J42" s="234">
        <v>6</v>
      </c>
      <c r="K42" s="235">
        <f>J42/SUM(J17)</f>
        <v>0.24</v>
      </c>
      <c r="L42" s="234">
        <v>1</v>
      </c>
      <c r="M42" s="235">
        <f>L42/SUM(L17)</f>
        <v>3.8461538461538464E-2</v>
      </c>
      <c r="N42" s="234">
        <v>3</v>
      </c>
      <c r="O42" s="235">
        <f>N42/SUM(N17)</f>
        <v>0.16666666666666666</v>
      </c>
      <c r="P42" s="234">
        <v>3</v>
      </c>
      <c r="Q42" s="235">
        <f>P42/SUM(P17)</f>
        <v>0.1875</v>
      </c>
      <c r="R42" s="234">
        <v>3</v>
      </c>
      <c r="S42" s="235">
        <f>R42/SUM(R17)</f>
        <v>0.17647058823529413</v>
      </c>
      <c r="T42" s="234"/>
      <c r="U42" s="236">
        <f>T42/SUM(T17)</f>
        <v>0</v>
      </c>
      <c r="V42" s="226"/>
      <c r="W42" s="237">
        <f>AVERAGE(N42,L42,R42,T42,P42)</f>
        <v>2.5</v>
      </c>
      <c r="X42" s="480">
        <f>W42/W17</f>
        <v>0.1388888888888889</v>
      </c>
    </row>
    <row r="43" spans="1:27" ht="15" customHeight="1" x14ac:dyDescent="0.2">
      <c r="A43" s="200" t="s">
        <v>229</v>
      </c>
      <c r="B43" s="645"/>
      <c r="C43" s="646">
        <f>B43/SUM(B18,B21)</f>
        <v>0</v>
      </c>
      <c r="D43" s="645"/>
      <c r="E43" s="646">
        <f>D43/SUM(D18,D21)</f>
        <v>0</v>
      </c>
      <c r="F43" s="645"/>
      <c r="G43" s="646">
        <f>F43/SUM(F18,F21)</f>
        <v>0</v>
      </c>
      <c r="H43" s="645"/>
      <c r="I43" s="646">
        <f>H43/SUM(H20)</f>
        <v>0</v>
      </c>
      <c r="J43" s="645">
        <v>0</v>
      </c>
      <c r="K43" s="646">
        <f>J43/SUM(J20)</f>
        <v>0</v>
      </c>
      <c r="L43" s="645">
        <v>0</v>
      </c>
      <c r="M43" s="646">
        <f>L43/SUM(L20)</f>
        <v>0</v>
      </c>
      <c r="N43" s="645">
        <v>2</v>
      </c>
      <c r="O43" s="646">
        <f>N43/SUM(N20)</f>
        <v>7.1428571428571425E-2</v>
      </c>
      <c r="P43" s="645">
        <v>3</v>
      </c>
      <c r="Q43" s="646">
        <f>P43/SUM(P20)</f>
        <v>8.8235294117647065E-2</v>
      </c>
      <c r="R43" s="645">
        <v>2</v>
      </c>
      <c r="S43" s="646">
        <f>R43/SUM(R20)</f>
        <v>9.5238095238095233E-2</v>
      </c>
      <c r="T43" s="645"/>
      <c r="U43" s="480">
        <f>T43/SUM(T20)</f>
        <v>0</v>
      </c>
      <c r="V43" s="226"/>
      <c r="W43" s="237">
        <f>AVERAGE(N43,L43,R43,T43,P43)</f>
        <v>1.75</v>
      </c>
      <c r="X43" s="780">
        <f>W43/W20</f>
        <v>6.9444444444444448E-2</v>
      </c>
    </row>
    <row r="44" spans="1:27" ht="15" customHeight="1" x14ac:dyDescent="0.2">
      <c r="A44" s="200" t="s">
        <v>230</v>
      </c>
      <c r="B44" s="645"/>
      <c r="C44" s="646">
        <f>B44/SUM(B17,B20)</f>
        <v>0</v>
      </c>
      <c r="D44" s="645"/>
      <c r="E44" s="646">
        <f>D44/SUM(D17,D20)</f>
        <v>0</v>
      </c>
      <c r="F44" s="645"/>
      <c r="G44" s="646">
        <f>F44/SUM(F17,F20)</f>
        <v>0</v>
      </c>
      <c r="H44" s="645">
        <v>9</v>
      </c>
      <c r="I44" s="646">
        <f>H44/SUM(H18)</f>
        <v>0.23684210526315788</v>
      </c>
      <c r="J44" s="645">
        <v>10</v>
      </c>
      <c r="K44" s="646">
        <f>J44/SUM(J18)</f>
        <v>0.24390243902439024</v>
      </c>
      <c r="L44" s="645">
        <v>10</v>
      </c>
      <c r="M44" s="646">
        <f>L44/SUM(L18)</f>
        <v>0.26315789473684209</v>
      </c>
      <c r="N44" s="645">
        <v>9</v>
      </c>
      <c r="O44" s="646">
        <f>N44/SUM(N18)</f>
        <v>0.27272727272727271</v>
      </c>
      <c r="P44" s="645">
        <v>12</v>
      </c>
      <c r="Q44" s="646">
        <f>P44/SUM(P18)</f>
        <v>0.4</v>
      </c>
      <c r="R44" s="645">
        <v>14</v>
      </c>
      <c r="S44" s="646">
        <f>R44/SUM(R18)</f>
        <v>0.4375</v>
      </c>
      <c r="T44" s="645"/>
      <c r="U44" s="480">
        <f>T44/SUM(T18)</f>
        <v>0</v>
      </c>
      <c r="V44" s="226"/>
      <c r="W44" s="237">
        <f>AVERAGE(N44,L44,R44,T44,P44)</f>
        <v>11.25</v>
      </c>
      <c r="X44" s="780">
        <f>W44/W18</f>
        <v>0.35601265822784811</v>
      </c>
    </row>
    <row r="45" spans="1:27" ht="15" customHeight="1" thickBot="1" x14ac:dyDescent="0.25">
      <c r="A45" s="238" t="s">
        <v>231</v>
      </c>
      <c r="B45" s="239"/>
      <c r="C45" s="240">
        <f>B45/SUM(B18,B21)</f>
        <v>0</v>
      </c>
      <c r="D45" s="239"/>
      <c r="E45" s="240">
        <f>D45/SUM(D18,D21)</f>
        <v>0</v>
      </c>
      <c r="F45" s="239"/>
      <c r="G45" s="240">
        <f>F45/SUM(F18,F21)</f>
        <v>0</v>
      </c>
      <c r="H45" s="239">
        <v>5</v>
      </c>
      <c r="I45" s="240">
        <f>H45/SUM(H21)</f>
        <v>0.20833333333333334</v>
      </c>
      <c r="J45" s="239">
        <v>6</v>
      </c>
      <c r="K45" s="240">
        <f>J45/SUM(J21)</f>
        <v>0.23076923076923078</v>
      </c>
      <c r="L45" s="239">
        <v>5</v>
      </c>
      <c r="M45" s="240">
        <f>L45/SUM(L21)</f>
        <v>0.16666666666666666</v>
      </c>
      <c r="N45" s="239">
        <v>2</v>
      </c>
      <c r="O45" s="240">
        <f>N45/SUM(N21)</f>
        <v>8.3333333333333329E-2</v>
      </c>
      <c r="P45" s="239">
        <v>1</v>
      </c>
      <c r="Q45" s="240">
        <f>P45/SUM(P21)</f>
        <v>4.3478260869565216E-2</v>
      </c>
      <c r="R45" s="239">
        <v>2</v>
      </c>
      <c r="S45" s="240">
        <f>R45/SUM(R21)</f>
        <v>9.5238095238095233E-2</v>
      </c>
      <c r="T45" s="239"/>
      <c r="U45" s="241">
        <f>T45/SUM(T21)</f>
        <v>0</v>
      </c>
      <c r="V45" s="226"/>
      <c r="W45" s="242">
        <f>AVERAGE(N45,L45,R45,T45,P45)</f>
        <v>2.5</v>
      </c>
      <c r="X45" s="241">
        <f>W45/W21</f>
        <v>0.10330578512396695</v>
      </c>
    </row>
    <row r="46" spans="1:27" s="85" customFormat="1" ht="15" customHeight="1" thickTop="1" x14ac:dyDescent="0.2">
      <c r="A46" s="37" t="s">
        <v>288</v>
      </c>
      <c r="B46" s="650"/>
      <c r="C46" s="650"/>
      <c r="D46" s="650"/>
      <c r="E46" s="650"/>
      <c r="F46" s="650"/>
      <c r="G46" s="650"/>
      <c r="H46" s="650"/>
      <c r="I46" s="650"/>
      <c r="J46" s="650"/>
      <c r="K46" s="650"/>
      <c r="L46" s="650"/>
      <c r="M46" s="650"/>
      <c r="N46" s="650"/>
      <c r="O46" s="650"/>
      <c r="P46" s="650"/>
      <c r="Q46" s="650"/>
      <c r="R46" s="650"/>
      <c r="S46" s="650"/>
      <c r="T46" s="650"/>
      <c r="U46" s="650"/>
      <c r="V46" s="651"/>
      <c r="W46" s="650"/>
      <c r="X46" s="650"/>
      <c r="Y46" s="56"/>
      <c r="Z46" s="56"/>
      <c r="AA46" s="57"/>
    </row>
    <row r="47" spans="1:27" s="85" customFormat="1" ht="15" customHeight="1" thickBot="1" x14ac:dyDescent="0.25">
      <c r="A47" s="37"/>
      <c r="B47" s="650"/>
      <c r="C47" s="650"/>
      <c r="D47" s="650"/>
      <c r="E47" s="650"/>
      <c r="F47" s="650"/>
      <c r="G47" s="650"/>
      <c r="H47" s="650"/>
      <c r="I47" s="650"/>
      <c r="J47" s="650"/>
      <c r="K47" s="650"/>
      <c r="L47" s="650"/>
      <c r="M47" s="650"/>
      <c r="N47" s="650"/>
      <c r="O47" s="650"/>
      <c r="P47" s="650"/>
      <c r="Q47" s="650"/>
      <c r="R47" s="650"/>
      <c r="S47" s="650"/>
      <c r="T47" s="650"/>
      <c r="U47" s="650"/>
      <c r="V47" s="651"/>
      <c r="W47" s="650"/>
      <c r="X47" s="650"/>
      <c r="Y47" s="56"/>
      <c r="Z47" s="56"/>
      <c r="AA47" s="57"/>
    </row>
    <row r="48" spans="1:27" s="1" customFormat="1" ht="18.75" customHeight="1" thickTop="1" thickBot="1" x14ac:dyDescent="0.25">
      <c r="A48" s="175" t="s">
        <v>247</v>
      </c>
      <c r="B48" s="1385" t="s">
        <v>30</v>
      </c>
      <c r="C48" s="1396"/>
      <c r="D48" s="1385" t="s">
        <v>31</v>
      </c>
      <c r="E48" s="1396"/>
      <c r="F48" s="1385" t="s">
        <v>32</v>
      </c>
      <c r="G48" s="1396"/>
      <c r="H48" s="1385" t="s">
        <v>33</v>
      </c>
      <c r="I48" s="1396"/>
      <c r="J48" s="1385" t="s">
        <v>34</v>
      </c>
      <c r="K48" s="1396"/>
      <c r="L48" s="1385" t="s">
        <v>35</v>
      </c>
      <c r="M48" s="1396"/>
      <c r="N48" s="1385" t="s">
        <v>36</v>
      </c>
      <c r="O48" s="1396"/>
      <c r="P48" s="1385" t="s">
        <v>37</v>
      </c>
      <c r="Q48" s="1396"/>
      <c r="R48" s="1385" t="s">
        <v>38</v>
      </c>
      <c r="S48" s="1396"/>
      <c r="T48" s="1385" t="s">
        <v>302</v>
      </c>
      <c r="U48" s="1386"/>
      <c r="V48" s="195"/>
      <c r="W48" s="1382" t="s">
        <v>9</v>
      </c>
      <c r="X48" s="1383"/>
    </row>
    <row r="49" spans="1:24" s="1" customFormat="1" ht="24" x14ac:dyDescent="0.2">
      <c r="A49" s="715" t="s">
        <v>289</v>
      </c>
      <c r="B49" s="711"/>
      <c r="C49" s="712"/>
      <c r="D49" s="711"/>
      <c r="E49" s="712"/>
      <c r="F49" s="711"/>
      <c r="G49" s="712"/>
      <c r="H49" s="711"/>
      <c r="I49" s="712"/>
      <c r="J49" s="711"/>
      <c r="K49" s="712"/>
      <c r="L49" s="711"/>
      <c r="M49" s="712"/>
      <c r="N49" s="711"/>
      <c r="O49" s="712"/>
      <c r="P49" s="711"/>
      <c r="Q49" s="712"/>
      <c r="R49" s="711"/>
      <c r="S49" s="712"/>
      <c r="T49" s="713"/>
      <c r="U49" s="714"/>
      <c r="V49" s="195"/>
      <c r="W49" s="272"/>
      <c r="X49" s="271"/>
    </row>
    <row r="50" spans="1:24" s="1" customFormat="1" ht="24" x14ac:dyDescent="0.2">
      <c r="A50" s="721" t="s">
        <v>237</v>
      </c>
      <c r="B50" s="186"/>
      <c r="C50" s="653">
        <v>18</v>
      </c>
      <c r="D50" s="186"/>
      <c r="E50" s="653">
        <v>18</v>
      </c>
      <c r="F50" s="186"/>
      <c r="G50" s="653">
        <v>17</v>
      </c>
      <c r="H50" s="186"/>
      <c r="I50" s="653">
        <v>17</v>
      </c>
      <c r="J50" s="186"/>
      <c r="K50" s="653">
        <v>17</v>
      </c>
      <c r="L50" s="186"/>
      <c r="M50" s="653">
        <v>19</v>
      </c>
      <c r="N50" s="186"/>
      <c r="O50" s="653">
        <v>20</v>
      </c>
      <c r="P50" s="186"/>
      <c r="Q50" s="653">
        <v>17</v>
      </c>
      <c r="R50" s="186"/>
      <c r="S50" s="653">
        <v>19</v>
      </c>
      <c r="T50" s="654"/>
      <c r="U50" s="340"/>
      <c r="V50" s="195"/>
      <c r="W50" s="347"/>
      <c r="X50" s="340">
        <f>AVERAGE(O50,M50,S50,U50,Q50)</f>
        <v>18.75</v>
      </c>
    </row>
    <row r="51" spans="1:24" s="1" customFormat="1" ht="24" x14ac:dyDescent="0.2">
      <c r="A51" s="721" t="s">
        <v>239</v>
      </c>
      <c r="B51" s="654"/>
      <c r="C51" s="716">
        <v>18</v>
      </c>
      <c r="D51" s="654"/>
      <c r="E51" s="716">
        <v>18</v>
      </c>
      <c r="F51" s="654"/>
      <c r="G51" s="716">
        <v>17</v>
      </c>
      <c r="H51" s="654"/>
      <c r="I51" s="716">
        <v>17</v>
      </c>
      <c r="J51" s="654"/>
      <c r="K51" s="716">
        <v>17</v>
      </c>
      <c r="L51" s="654"/>
      <c r="M51" s="716">
        <v>19</v>
      </c>
      <c r="N51" s="654"/>
      <c r="O51" s="716">
        <v>20</v>
      </c>
      <c r="P51" s="654"/>
      <c r="Q51" s="716">
        <v>17</v>
      </c>
      <c r="R51" s="654"/>
      <c r="S51" s="716">
        <v>19</v>
      </c>
      <c r="T51" s="654"/>
      <c r="U51" s="340"/>
      <c r="V51" s="195"/>
      <c r="W51" s="1252"/>
      <c r="X51" s="394">
        <f t="shared" ref="X51:X52" si="6">AVERAGE(O51,M51,S51,U51,Q51)</f>
        <v>18.75</v>
      </c>
    </row>
    <row r="52" spans="1:24" s="1" customFormat="1" ht="15" customHeight="1" thickBot="1" x14ac:dyDescent="0.25">
      <c r="A52" s="942" t="s">
        <v>238</v>
      </c>
      <c r="B52" s="943"/>
      <c r="C52" s="944">
        <v>17</v>
      </c>
      <c r="D52" s="943"/>
      <c r="E52" s="944">
        <v>18</v>
      </c>
      <c r="F52" s="943"/>
      <c r="G52" s="944">
        <v>17</v>
      </c>
      <c r="H52" s="943"/>
      <c r="I52" s="944">
        <v>17</v>
      </c>
      <c r="J52" s="943"/>
      <c r="K52" s="944">
        <v>17</v>
      </c>
      <c r="L52" s="943"/>
      <c r="M52" s="944">
        <v>19</v>
      </c>
      <c r="N52" s="943"/>
      <c r="O52" s="944">
        <v>20</v>
      </c>
      <c r="P52" s="943"/>
      <c r="Q52" s="944">
        <v>17</v>
      </c>
      <c r="R52" s="943"/>
      <c r="S52" s="944">
        <v>19</v>
      </c>
      <c r="T52" s="956"/>
      <c r="U52" s="957"/>
      <c r="V52" s="195"/>
      <c r="W52" s="950"/>
      <c r="X52" s="1253">
        <f t="shared" si="6"/>
        <v>18.75</v>
      </c>
    </row>
    <row r="53" spans="1:24" s="1" customFormat="1" ht="18" customHeight="1" thickBot="1" x14ac:dyDescent="0.25">
      <c r="A53" s="795" t="s">
        <v>264</v>
      </c>
      <c r="B53" s="799" t="s">
        <v>40</v>
      </c>
      <c r="C53" s="798" t="s">
        <v>41</v>
      </c>
      <c r="D53" s="799" t="s">
        <v>40</v>
      </c>
      <c r="E53" s="798" t="s">
        <v>41</v>
      </c>
      <c r="F53" s="799" t="s">
        <v>40</v>
      </c>
      <c r="G53" s="798" t="s">
        <v>41</v>
      </c>
      <c r="H53" s="799" t="s">
        <v>40</v>
      </c>
      <c r="I53" s="798" t="s">
        <v>41</v>
      </c>
      <c r="J53" s="799" t="s">
        <v>40</v>
      </c>
      <c r="K53" s="798" t="s">
        <v>41</v>
      </c>
      <c r="L53" s="799" t="s">
        <v>40</v>
      </c>
      <c r="M53" s="798" t="s">
        <v>41</v>
      </c>
      <c r="N53" s="799" t="s">
        <v>40</v>
      </c>
      <c r="O53" s="798" t="s">
        <v>41</v>
      </c>
      <c r="P53" s="799" t="s">
        <v>40</v>
      </c>
      <c r="Q53" s="798" t="s">
        <v>41</v>
      </c>
      <c r="R53" s="799" t="s">
        <v>40</v>
      </c>
      <c r="S53" s="798" t="s">
        <v>41</v>
      </c>
      <c r="T53" s="799" t="s">
        <v>40</v>
      </c>
      <c r="U53" s="804" t="s">
        <v>41</v>
      </c>
      <c r="V53" s="955"/>
      <c r="W53" s="1254" t="s">
        <v>40</v>
      </c>
      <c r="X53" s="804" t="s">
        <v>41</v>
      </c>
    </row>
    <row r="54" spans="1:24" s="1" customFormat="1" ht="15" customHeight="1" x14ac:dyDescent="0.2">
      <c r="A54" s="680" t="s">
        <v>42</v>
      </c>
      <c r="B54" s="808"/>
      <c r="C54" s="805"/>
      <c r="D54" s="806"/>
      <c r="E54" s="807"/>
      <c r="F54" s="808"/>
      <c r="G54" s="807"/>
      <c r="H54" s="808"/>
      <c r="I54" s="807"/>
      <c r="J54" s="808"/>
      <c r="K54" s="807"/>
      <c r="L54" s="808"/>
      <c r="M54" s="807"/>
      <c r="N54" s="808"/>
      <c r="O54" s="807"/>
      <c r="P54" s="808"/>
      <c r="Q54" s="807"/>
      <c r="R54" s="808"/>
      <c r="S54" s="807"/>
      <c r="T54" s="808"/>
      <c r="U54" s="1013"/>
      <c r="V54" s="195"/>
      <c r="W54" s="1029"/>
      <c r="X54" s="1030"/>
    </row>
    <row r="55" spans="1:24" s="1" customFormat="1" ht="15" customHeight="1" x14ac:dyDescent="0.2">
      <c r="A55" s="678" t="s">
        <v>43</v>
      </c>
      <c r="B55" s="258"/>
      <c r="C55" s="1053">
        <v>19</v>
      </c>
      <c r="D55" s="260"/>
      <c r="E55" s="1044">
        <v>20</v>
      </c>
      <c r="F55" s="258"/>
      <c r="G55" s="1044">
        <v>20</v>
      </c>
      <c r="H55" s="258"/>
      <c r="I55" s="1044">
        <v>20</v>
      </c>
      <c r="J55" s="1036">
        <v>19</v>
      </c>
      <c r="K55" s="1044">
        <f>19</f>
        <v>19</v>
      </c>
      <c r="L55" s="1036">
        <v>21</v>
      </c>
      <c r="M55" s="1044">
        <v>21</v>
      </c>
      <c r="N55" s="1036">
        <v>22</v>
      </c>
      <c r="O55" s="1044">
        <v>22</v>
      </c>
      <c r="P55" s="1036">
        <v>19</v>
      </c>
      <c r="Q55" s="1044">
        <v>19</v>
      </c>
      <c r="R55" s="1036">
        <v>21</v>
      </c>
      <c r="S55" s="1044">
        <v>21</v>
      </c>
      <c r="T55" s="813"/>
      <c r="U55" s="932"/>
      <c r="V55" s="195"/>
      <c r="W55" s="936">
        <f>AVERAGE(T55,L55,N55,P55,R55)</f>
        <v>20.75</v>
      </c>
      <c r="X55" s="1031">
        <f t="shared" ref="X55:X60" si="7">AVERAGE(O55,M55,S55,U55,Q55)</f>
        <v>20.75</v>
      </c>
    </row>
    <row r="56" spans="1:24" s="1" customFormat="1" ht="15" customHeight="1" x14ac:dyDescent="0.2">
      <c r="A56" s="678" t="s">
        <v>44</v>
      </c>
      <c r="B56" s="258"/>
      <c r="C56" s="1053">
        <v>3</v>
      </c>
      <c r="D56" s="260"/>
      <c r="E56" s="1044">
        <v>3</v>
      </c>
      <c r="F56" s="258"/>
      <c r="G56" s="1044">
        <v>2</v>
      </c>
      <c r="H56" s="258"/>
      <c r="I56" s="1044">
        <v>2</v>
      </c>
      <c r="J56" s="13">
        <v>1.45</v>
      </c>
      <c r="K56" s="1044">
        <f>3</f>
        <v>3</v>
      </c>
      <c r="L56" s="1036">
        <v>0</v>
      </c>
      <c r="M56" s="1044">
        <v>0</v>
      </c>
      <c r="N56" s="13">
        <v>0.6</v>
      </c>
      <c r="O56" s="1044">
        <v>2</v>
      </c>
      <c r="P56" s="13">
        <v>0.7</v>
      </c>
      <c r="Q56" s="1044">
        <v>2</v>
      </c>
      <c r="R56" s="13">
        <v>0.5</v>
      </c>
      <c r="S56" s="1044">
        <v>2</v>
      </c>
      <c r="T56" s="345"/>
      <c r="U56" s="932"/>
      <c r="V56" s="195"/>
      <c r="W56" s="936">
        <f t="shared" ref="W56:W60" si="8">AVERAGE(T56,L56,N56,P56,R56)</f>
        <v>0.44999999999999996</v>
      </c>
      <c r="X56" s="1031">
        <f t="shared" si="7"/>
        <v>1.5</v>
      </c>
    </row>
    <row r="57" spans="1:24" s="1" customFormat="1" ht="15" customHeight="1" x14ac:dyDescent="0.2">
      <c r="A57" s="676" t="s">
        <v>45</v>
      </c>
      <c r="B57" s="345"/>
      <c r="C57" s="1054"/>
      <c r="D57" s="11"/>
      <c r="E57" s="1045"/>
      <c r="F57" s="13"/>
      <c r="G57" s="1045"/>
      <c r="H57" s="13"/>
      <c r="I57" s="1045"/>
      <c r="J57" s="13"/>
      <c r="K57" s="1045"/>
      <c r="L57" s="13"/>
      <c r="M57" s="1045"/>
      <c r="N57" s="13"/>
      <c r="O57" s="1045"/>
      <c r="P57" s="13"/>
      <c r="Q57" s="1045"/>
      <c r="R57" s="13"/>
      <c r="S57" s="1045"/>
      <c r="T57" s="345"/>
      <c r="U57" s="933"/>
      <c r="V57" s="195"/>
      <c r="W57" s="936"/>
      <c r="X57" s="1031"/>
    </row>
    <row r="58" spans="1:24" s="1" customFormat="1" ht="15" customHeight="1" x14ac:dyDescent="0.2">
      <c r="A58" s="678" t="s">
        <v>43</v>
      </c>
      <c r="B58" s="258"/>
      <c r="C58" s="1054">
        <v>0</v>
      </c>
      <c r="D58" s="260"/>
      <c r="E58" s="1045">
        <v>0</v>
      </c>
      <c r="F58" s="258"/>
      <c r="G58" s="1045">
        <v>0</v>
      </c>
      <c r="H58" s="258"/>
      <c r="I58" s="1045">
        <v>0</v>
      </c>
      <c r="J58" s="1036">
        <v>0</v>
      </c>
      <c r="K58" s="1045">
        <v>0</v>
      </c>
      <c r="L58" s="1036">
        <v>0</v>
      </c>
      <c r="M58" s="1045">
        <v>0</v>
      </c>
      <c r="N58" s="1036">
        <v>0</v>
      </c>
      <c r="O58" s="1045">
        <v>0</v>
      </c>
      <c r="P58" s="1036">
        <v>1</v>
      </c>
      <c r="Q58" s="1045">
        <v>1</v>
      </c>
      <c r="R58" s="1036">
        <v>0</v>
      </c>
      <c r="S58" s="1045">
        <v>0</v>
      </c>
      <c r="T58" s="1036"/>
      <c r="U58" s="933"/>
      <c r="V58" s="195"/>
      <c r="W58" s="936">
        <f t="shared" si="8"/>
        <v>0.25</v>
      </c>
      <c r="X58" s="1031">
        <f t="shared" si="7"/>
        <v>0.25</v>
      </c>
    </row>
    <row r="59" spans="1:24" s="1" customFormat="1" ht="15" customHeight="1" thickBot="1" x14ac:dyDescent="0.25">
      <c r="A59" s="939" t="s">
        <v>44</v>
      </c>
      <c r="B59" s="1017"/>
      <c r="C59" s="1060">
        <v>1</v>
      </c>
      <c r="D59" s="1050"/>
      <c r="E59" s="1056">
        <v>1</v>
      </c>
      <c r="F59" s="1017"/>
      <c r="G59" s="1056">
        <v>0</v>
      </c>
      <c r="H59" s="1017"/>
      <c r="I59" s="1056">
        <v>0</v>
      </c>
      <c r="J59" s="1039">
        <v>0</v>
      </c>
      <c r="K59" s="1056">
        <v>0</v>
      </c>
      <c r="L59" s="1039">
        <v>0</v>
      </c>
      <c r="M59" s="1056">
        <v>0</v>
      </c>
      <c r="N59" s="1039">
        <v>0</v>
      </c>
      <c r="O59" s="1056">
        <v>0</v>
      </c>
      <c r="P59" s="1039">
        <v>0</v>
      </c>
      <c r="Q59" s="1056">
        <v>0</v>
      </c>
      <c r="R59" s="1039">
        <v>0</v>
      </c>
      <c r="S59" s="1056">
        <v>0</v>
      </c>
      <c r="T59" s="1039"/>
      <c r="U59" s="934"/>
      <c r="V59" s="195"/>
      <c r="W59" s="1020">
        <f t="shared" si="8"/>
        <v>0</v>
      </c>
      <c r="X59" s="1032">
        <f t="shared" si="7"/>
        <v>0</v>
      </c>
    </row>
    <row r="60" spans="1:24" s="1" customFormat="1" ht="15" customHeight="1" thickBot="1" x14ac:dyDescent="0.25">
      <c r="A60" s="796" t="s">
        <v>28</v>
      </c>
      <c r="B60" s="1021"/>
      <c r="C60" s="824">
        <f>SUM(C55:C59)</f>
        <v>23</v>
      </c>
      <c r="D60" s="1022"/>
      <c r="E60" s="826">
        <f>SUM(E55:E59)</f>
        <v>24</v>
      </c>
      <c r="F60" s="1021"/>
      <c r="G60" s="826">
        <f>SUM(G55:G59)</f>
        <v>22</v>
      </c>
      <c r="H60" s="1021"/>
      <c r="I60" s="826">
        <f t="shared" ref="I60:S60" si="9">SUM(I55:I59)</f>
        <v>22</v>
      </c>
      <c r="J60" s="906">
        <f t="shared" si="9"/>
        <v>20.45</v>
      </c>
      <c r="K60" s="826">
        <f t="shared" si="9"/>
        <v>22</v>
      </c>
      <c r="L60" s="906">
        <f t="shared" si="9"/>
        <v>21</v>
      </c>
      <c r="M60" s="826">
        <f t="shared" si="9"/>
        <v>21</v>
      </c>
      <c r="N60" s="906">
        <f t="shared" si="9"/>
        <v>22.6</v>
      </c>
      <c r="O60" s="826">
        <f t="shared" si="9"/>
        <v>24</v>
      </c>
      <c r="P60" s="906">
        <f t="shared" si="9"/>
        <v>20.7</v>
      </c>
      <c r="Q60" s="826">
        <f t="shared" si="9"/>
        <v>22</v>
      </c>
      <c r="R60" s="906">
        <f t="shared" si="9"/>
        <v>21.5</v>
      </c>
      <c r="S60" s="826">
        <f t="shared" si="9"/>
        <v>23</v>
      </c>
      <c r="T60" s="906">
        <f t="shared" ref="T60:U60" si="10">SUM(T55:T59)</f>
        <v>0</v>
      </c>
      <c r="U60" s="1023">
        <f t="shared" si="10"/>
        <v>0</v>
      </c>
      <c r="V60" s="195"/>
      <c r="W60" s="1028">
        <f t="shared" si="8"/>
        <v>17.16</v>
      </c>
      <c r="X60" s="1033">
        <f t="shared" si="7"/>
        <v>18</v>
      </c>
    </row>
    <row r="61" spans="1:24" s="1" customFormat="1" ht="18" customHeight="1" thickBot="1" x14ac:dyDescent="0.25">
      <c r="A61" s="795" t="s">
        <v>253</v>
      </c>
      <c r="B61" s="801" t="s">
        <v>39</v>
      </c>
      <c r="C61" s="954" t="s">
        <v>46</v>
      </c>
      <c r="D61" s="801" t="s">
        <v>39</v>
      </c>
      <c r="E61" s="798" t="s">
        <v>46</v>
      </c>
      <c r="F61" s="799" t="s">
        <v>39</v>
      </c>
      <c r="G61" s="798" t="s">
        <v>46</v>
      </c>
      <c r="H61" s="799" t="s">
        <v>39</v>
      </c>
      <c r="I61" s="798" t="s">
        <v>46</v>
      </c>
      <c r="J61" s="799" t="s">
        <v>39</v>
      </c>
      <c r="K61" s="798" t="s">
        <v>46</v>
      </c>
      <c r="L61" s="799" t="s">
        <v>39</v>
      </c>
      <c r="M61" s="798" t="s">
        <v>46</v>
      </c>
      <c r="N61" s="799" t="s">
        <v>39</v>
      </c>
      <c r="O61" s="798" t="s">
        <v>46</v>
      </c>
      <c r="P61" s="799" t="s">
        <v>39</v>
      </c>
      <c r="Q61" s="798" t="s">
        <v>46</v>
      </c>
      <c r="R61" s="799" t="s">
        <v>39</v>
      </c>
      <c r="S61" s="798" t="s">
        <v>46</v>
      </c>
      <c r="T61" s="799" t="s">
        <v>39</v>
      </c>
      <c r="U61" s="804" t="s">
        <v>46</v>
      </c>
      <c r="V61" s="195"/>
      <c r="W61" s="832" t="s">
        <v>39</v>
      </c>
      <c r="X61" s="804" t="s">
        <v>46</v>
      </c>
    </row>
    <row r="62" spans="1:24" s="1" customFormat="1" ht="18" customHeight="1" x14ac:dyDescent="0.2">
      <c r="A62" s="680" t="s">
        <v>265</v>
      </c>
      <c r="B62" s="938"/>
      <c r="C62" s="196"/>
      <c r="D62" s="938"/>
      <c r="E62" s="197"/>
      <c r="F62" s="937"/>
      <c r="G62" s="197"/>
      <c r="H62" s="937"/>
      <c r="I62" s="197"/>
      <c r="J62" s="937"/>
      <c r="K62" s="197"/>
      <c r="L62" s="937"/>
      <c r="M62" s="197"/>
      <c r="N62" s="937"/>
      <c r="O62" s="197"/>
      <c r="P62" s="937"/>
      <c r="Q62" s="197"/>
      <c r="R62" s="937"/>
      <c r="S62" s="197"/>
      <c r="T62" s="937"/>
      <c r="U62" s="199"/>
      <c r="V62" s="195"/>
      <c r="W62" s="1026"/>
      <c r="X62" s="199"/>
    </row>
    <row r="63" spans="1:24" s="1" customFormat="1" ht="15" customHeight="1" x14ac:dyDescent="0.2">
      <c r="A63" s="706" t="s">
        <v>47</v>
      </c>
      <c r="B63" s="156">
        <f>19+1+3</f>
        <v>23</v>
      </c>
      <c r="C63" s="191">
        <f t="shared" ref="C63:C70" si="11">B63/C$60</f>
        <v>1</v>
      </c>
      <c r="D63" s="156">
        <f>4+20</f>
        <v>24</v>
      </c>
      <c r="E63" s="192">
        <f t="shared" ref="E63:E70" si="12">D63/E$60</f>
        <v>1</v>
      </c>
      <c r="F63" s="160">
        <v>22</v>
      </c>
      <c r="G63" s="192">
        <f t="shared" ref="G63:G70" si="13">F63/G$60</f>
        <v>1</v>
      </c>
      <c r="H63" s="160">
        <v>21</v>
      </c>
      <c r="I63" s="192">
        <f t="shared" ref="I63:I70" si="14">H63/I$60</f>
        <v>0.95454545454545459</v>
      </c>
      <c r="J63" s="160">
        <f>3+18</f>
        <v>21</v>
      </c>
      <c r="K63" s="192">
        <f t="shared" ref="K63:K70" si="15">J63/K$60</f>
        <v>0.95454545454545459</v>
      </c>
      <c r="L63" s="160">
        <v>20</v>
      </c>
      <c r="M63" s="192">
        <f t="shared" ref="M63:M68" si="16">L63/M$60</f>
        <v>0.95238095238095233</v>
      </c>
      <c r="N63" s="160">
        <f>2+21</f>
        <v>23</v>
      </c>
      <c r="O63" s="192">
        <f t="shared" ref="O63:Q68" si="17">N63/O$60</f>
        <v>0.95833333333333337</v>
      </c>
      <c r="P63" s="160">
        <v>21</v>
      </c>
      <c r="Q63" s="192">
        <f t="shared" si="17"/>
        <v>0.95454545454545459</v>
      </c>
      <c r="R63" s="160">
        <v>22</v>
      </c>
      <c r="S63" s="192">
        <f t="shared" ref="S63:S68" si="18">R63/S$60</f>
        <v>0.95652173913043481</v>
      </c>
      <c r="T63" s="202"/>
      <c r="U63" s="203" t="e">
        <f t="shared" ref="U63:U68" si="19">T63/U$60</f>
        <v>#DIV/0!</v>
      </c>
      <c r="V63" s="666"/>
      <c r="W63" s="205">
        <f>AVERAGE(N63,L63,R63,T63,P63)</f>
        <v>21.5</v>
      </c>
      <c r="X63" s="206" t="e">
        <f>AVERAGE(O63,M63,S63,U63,Q63)</f>
        <v>#DIV/0!</v>
      </c>
    </row>
    <row r="64" spans="1:24" s="1" customFormat="1" ht="15" customHeight="1" x14ac:dyDescent="0.2">
      <c r="A64" s="207" t="s">
        <v>48</v>
      </c>
      <c r="B64" s="156">
        <v>0</v>
      </c>
      <c r="C64" s="191">
        <f t="shared" si="11"/>
        <v>0</v>
      </c>
      <c r="D64" s="156">
        <v>0</v>
      </c>
      <c r="E64" s="192">
        <f t="shared" si="12"/>
        <v>0</v>
      </c>
      <c r="F64" s="160">
        <v>0</v>
      </c>
      <c r="G64" s="192">
        <f t="shared" si="13"/>
        <v>0</v>
      </c>
      <c r="H64" s="160">
        <v>0</v>
      </c>
      <c r="I64" s="192">
        <f t="shared" si="14"/>
        <v>0</v>
      </c>
      <c r="J64" s="160">
        <f>0</f>
        <v>0</v>
      </c>
      <c r="K64" s="192">
        <f t="shared" si="15"/>
        <v>0</v>
      </c>
      <c r="L64" s="160">
        <v>0</v>
      </c>
      <c r="M64" s="192">
        <f t="shared" si="16"/>
        <v>0</v>
      </c>
      <c r="N64" s="160">
        <v>0</v>
      </c>
      <c r="O64" s="192">
        <f t="shared" si="17"/>
        <v>0</v>
      </c>
      <c r="P64" s="160">
        <v>0</v>
      </c>
      <c r="Q64" s="192">
        <f t="shared" si="17"/>
        <v>0</v>
      </c>
      <c r="R64" s="160">
        <v>0</v>
      </c>
      <c r="S64" s="192">
        <f t="shared" si="18"/>
        <v>0</v>
      </c>
      <c r="T64" s="202"/>
      <c r="U64" s="203" t="e">
        <f t="shared" si="19"/>
        <v>#DIV/0!</v>
      </c>
      <c r="V64" s="666"/>
      <c r="W64" s="205">
        <f t="shared" ref="W64:X82" si="20">AVERAGE(N64,L64,R64,T64,P64)</f>
        <v>0</v>
      </c>
      <c r="X64" s="206" t="e">
        <f t="shared" si="20"/>
        <v>#DIV/0!</v>
      </c>
    </row>
    <row r="65" spans="1:24" s="1" customFormat="1" ht="15" customHeight="1" x14ac:dyDescent="0.2">
      <c r="A65" s="207" t="s">
        <v>49</v>
      </c>
      <c r="B65" s="156">
        <v>0</v>
      </c>
      <c r="C65" s="191">
        <f t="shared" si="11"/>
        <v>0</v>
      </c>
      <c r="D65" s="156">
        <v>0</v>
      </c>
      <c r="E65" s="192">
        <f t="shared" si="12"/>
        <v>0</v>
      </c>
      <c r="F65" s="160">
        <v>0</v>
      </c>
      <c r="G65" s="192">
        <f t="shared" si="13"/>
        <v>0</v>
      </c>
      <c r="H65" s="160">
        <v>0</v>
      </c>
      <c r="I65" s="192">
        <f t="shared" si="14"/>
        <v>0</v>
      </c>
      <c r="J65" s="160">
        <f>0</f>
        <v>0</v>
      </c>
      <c r="K65" s="192">
        <f t="shared" si="15"/>
        <v>0</v>
      </c>
      <c r="L65" s="160">
        <v>0</v>
      </c>
      <c r="M65" s="192">
        <f t="shared" si="16"/>
        <v>0</v>
      </c>
      <c r="N65" s="160">
        <v>0</v>
      </c>
      <c r="O65" s="192">
        <f t="shared" si="17"/>
        <v>0</v>
      </c>
      <c r="P65" s="160">
        <v>0</v>
      </c>
      <c r="Q65" s="192">
        <f t="shared" si="17"/>
        <v>0</v>
      </c>
      <c r="R65" s="160">
        <v>0</v>
      </c>
      <c r="S65" s="192">
        <f t="shared" si="18"/>
        <v>0</v>
      </c>
      <c r="T65" s="202"/>
      <c r="U65" s="203" t="e">
        <f t="shared" si="19"/>
        <v>#DIV/0!</v>
      </c>
      <c r="V65" s="666"/>
      <c r="W65" s="205">
        <f t="shared" si="20"/>
        <v>0</v>
      </c>
      <c r="X65" s="206" t="e">
        <f t="shared" si="20"/>
        <v>#DIV/0!</v>
      </c>
    </row>
    <row r="66" spans="1:24" s="1" customFormat="1" ht="15" customHeight="1" x14ac:dyDescent="0.2">
      <c r="A66" s="207" t="s">
        <v>50</v>
      </c>
      <c r="B66" s="156">
        <v>0</v>
      </c>
      <c r="C66" s="191">
        <f t="shared" si="11"/>
        <v>0</v>
      </c>
      <c r="D66" s="156">
        <v>0</v>
      </c>
      <c r="E66" s="192">
        <f t="shared" si="12"/>
        <v>0</v>
      </c>
      <c r="F66" s="160">
        <v>0</v>
      </c>
      <c r="G66" s="192">
        <f t="shared" si="13"/>
        <v>0</v>
      </c>
      <c r="H66" s="160">
        <v>0</v>
      </c>
      <c r="I66" s="192">
        <f t="shared" si="14"/>
        <v>0</v>
      </c>
      <c r="J66" s="160">
        <f>0</f>
        <v>0</v>
      </c>
      <c r="K66" s="192">
        <f t="shared" si="15"/>
        <v>0</v>
      </c>
      <c r="L66" s="160">
        <v>0</v>
      </c>
      <c r="M66" s="192">
        <f t="shared" si="16"/>
        <v>0</v>
      </c>
      <c r="N66" s="160">
        <v>0</v>
      </c>
      <c r="O66" s="192">
        <f t="shared" si="17"/>
        <v>0</v>
      </c>
      <c r="P66" s="160">
        <v>0</v>
      </c>
      <c r="Q66" s="192">
        <f t="shared" si="17"/>
        <v>0</v>
      </c>
      <c r="R66" s="160">
        <v>0</v>
      </c>
      <c r="S66" s="192">
        <f t="shared" si="18"/>
        <v>0</v>
      </c>
      <c r="T66" s="202"/>
      <c r="U66" s="203" t="e">
        <f t="shared" si="19"/>
        <v>#DIV/0!</v>
      </c>
      <c r="V66" s="666"/>
      <c r="W66" s="205">
        <f t="shared" si="20"/>
        <v>0</v>
      </c>
      <c r="X66" s="206" t="e">
        <f t="shared" si="20"/>
        <v>#DIV/0!</v>
      </c>
    </row>
    <row r="67" spans="1:24" s="1" customFormat="1" ht="15" customHeight="1" x14ac:dyDescent="0.2">
      <c r="A67" s="207" t="s">
        <v>51</v>
      </c>
      <c r="B67" s="156">
        <v>0</v>
      </c>
      <c r="C67" s="191">
        <f t="shared" si="11"/>
        <v>0</v>
      </c>
      <c r="D67" s="156">
        <v>0</v>
      </c>
      <c r="E67" s="192">
        <f t="shared" si="12"/>
        <v>0</v>
      </c>
      <c r="F67" s="160">
        <v>0</v>
      </c>
      <c r="G67" s="192">
        <f t="shared" si="13"/>
        <v>0</v>
      </c>
      <c r="H67" s="160">
        <v>0</v>
      </c>
      <c r="I67" s="192">
        <f t="shared" si="14"/>
        <v>0</v>
      </c>
      <c r="J67" s="160">
        <f>0</f>
        <v>0</v>
      </c>
      <c r="K67" s="192">
        <f t="shared" si="15"/>
        <v>0</v>
      </c>
      <c r="L67" s="160">
        <v>0</v>
      </c>
      <c r="M67" s="192">
        <f t="shared" si="16"/>
        <v>0</v>
      </c>
      <c r="N67" s="160">
        <v>0</v>
      </c>
      <c r="O67" s="192">
        <f t="shared" si="17"/>
        <v>0</v>
      </c>
      <c r="P67" s="160">
        <v>0</v>
      </c>
      <c r="Q67" s="192">
        <f t="shared" si="17"/>
        <v>0</v>
      </c>
      <c r="R67" s="160">
        <v>0</v>
      </c>
      <c r="S67" s="192">
        <f t="shared" si="18"/>
        <v>0</v>
      </c>
      <c r="T67" s="202"/>
      <c r="U67" s="203" t="e">
        <f t="shared" si="19"/>
        <v>#DIV/0!</v>
      </c>
      <c r="V67" s="666"/>
      <c r="W67" s="205">
        <f t="shared" si="20"/>
        <v>0</v>
      </c>
      <c r="X67" s="206" t="e">
        <f t="shared" si="20"/>
        <v>#DIV/0!</v>
      </c>
    </row>
    <row r="68" spans="1:24" s="1" customFormat="1" ht="15" customHeight="1" x14ac:dyDescent="0.2">
      <c r="A68" s="207" t="s">
        <v>52</v>
      </c>
      <c r="B68" s="156">
        <v>0</v>
      </c>
      <c r="C68" s="191">
        <f t="shared" si="11"/>
        <v>0</v>
      </c>
      <c r="D68" s="156">
        <v>0</v>
      </c>
      <c r="E68" s="192">
        <f t="shared" si="12"/>
        <v>0</v>
      </c>
      <c r="F68" s="160">
        <v>0</v>
      </c>
      <c r="G68" s="192">
        <f t="shared" si="13"/>
        <v>0</v>
      </c>
      <c r="H68" s="160">
        <v>0</v>
      </c>
      <c r="I68" s="192">
        <f t="shared" si="14"/>
        <v>0</v>
      </c>
      <c r="J68" s="160">
        <f>0</f>
        <v>0</v>
      </c>
      <c r="K68" s="192">
        <f t="shared" si="15"/>
        <v>0</v>
      </c>
      <c r="L68" s="160">
        <v>0</v>
      </c>
      <c r="M68" s="192">
        <f t="shared" si="16"/>
        <v>0</v>
      </c>
      <c r="N68" s="160">
        <v>0</v>
      </c>
      <c r="O68" s="192">
        <f t="shared" si="17"/>
        <v>0</v>
      </c>
      <c r="P68" s="160">
        <v>0</v>
      </c>
      <c r="Q68" s="192">
        <f t="shared" si="17"/>
        <v>0</v>
      </c>
      <c r="R68" s="160">
        <v>0</v>
      </c>
      <c r="S68" s="192">
        <f t="shared" si="18"/>
        <v>0</v>
      </c>
      <c r="T68" s="202"/>
      <c r="U68" s="203" t="e">
        <f t="shared" si="19"/>
        <v>#DIV/0!</v>
      </c>
      <c r="V68" s="666"/>
      <c r="W68" s="205">
        <f t="shared" si="20"/>
        <v>0</v>
      </c>
      <c r="X68" s="206" t="e">
        <f t="shared" si="20"/>
        <v>#DIV/0!</v>
      </c>
    </row>
    <row r="69" spans="1:24" s="1" customFormat="1" ht="15" customHeight="1" x14ac:dyDescent="0.2">
      <c r="A69" s="207" t="s">
        <v>53</v>
      </c>
      <c r="B69" s="400"/>
      <c r="C69" s="191">
        <f t="shared" si="11"/>
        <v>0</v>
      </c>
      <c r="D69" s="1223"/>
      <c r="E69" s="1224"/>
      <c r="F69" s="1225"/>
      <c r="G69" s="1224"/>
      <c r="H69" s="162">
        <v>0</v>
      </c>
      <c r="I69" s="192">
        <f t="shared" si="14"/>
        <v>0</v>
      </c>
      <c r="J69" s="162">
        <f>0</f>
        <v>0</v>
      </c>
      <c r="K69" s="192">
        <f t="shared" si="15"/>
        <v>0</v>
      </c>
      <c r="L69" s="162">
        <v>0</v>
      </c>
      <c r="M69" s="192">
        <f>L69/M$60</f>
        <v>0</v>
      </c>
      <c r="N69" s="162">
        <v>0</v>
      </c>
      <c r="O69" s="192">
        <f>N69/O$60</f>
        <v>0</v>
      </c>
      <c r="P69" s="162">
        <v>1</v>
      </c>
      <c r="Q69" s="192">
        <f>P69/Q$60</f>
        <v>4.5454545454545456E-2</v>
      </c>
      <c r="R69" s="162">
        <v>0</v>
      </c>
      <c r="S69" s="192">
        <f>R69/S$60</f>
        <v>0</v>
      </c>
      <c r="T69" s="202"/>
      <c r="U69" s="203" t="e">
        <f>T69/U$60</f>
        <v>#DIV/0!</v>
      </c>
      <c r="V69" s="666"/>
      <c r="W69" s="205">
        <f t="shared" si="20"/>
        <v>0.25</v>
      </c>
      <c r="X69" s="206" t="e">
        <f t="shared" si="20"/>
        <v>#DIV/0!</v>
      </c>
    </row>
    <row r="70" spans="1:24" s="1" customFormat="1" ht="15" customHeight="1" thickBot="1" x14ac:dyDescent="0.25">
      <c r="A70" s="696" t="s">
        <v>54</v>
      </c>
      <c r="B70" s="158">
        <v>0</v>
      </c>
      <c r="C70" s="724">
        <f t="shared" si="11"/>
        <v>0</v>
      </c>
      <c r="D70" s="158">
        <v>0</v>
      </c>
      <c r="E70" s="725">
        <f t="shared" si="12"/>
        <v>0</v>
      </c>
      <c r="F70" s="162">
        <v>0</v>
      </c>
      <c r="G70" s="725">
        <f t="shared" si="13"/>
        <v>0</v>
      </c>
      <c r="H70" s="162">
        <v>1</v>
      </c>
      <c r="I70" s="725">
        <f t="shared" si="14"/>
        <v>4.5454545454545456E-2</v>
      </c>
      <c r="J70" s="162">
        <f>1</f>
        <v>1</v>
      </c>
      <c r="K70" s="725">
        <f t="shared" si="15"/>
        <v>4.5454545454545456E-2</v>
      </c>
      <c r="L70" s="162">
        <v>1</v>
      </c>
      <c r="M70" s="725">
        <f>L70/M$60</f>
        <v>4.7619047619047616E-2</v>
      </c>
      <c r="N70" s="162">
        <v>1</v>
      </c>
      <c r="O70" s="725">
        <f>N70/O$60</f>
        <v>4.1666666666666664E-2</v>
      </c>
      <c r="P70" s="162">
        <v>0</v>
      </c>
      <c r="Q70" s="725">
        <f>P70/Q$60</f>
        <v>0</v>
      </c>
      <c r="R70" s="162">
        <v>1</v>
      </c>
      <c r="S70" s="725">
        <f>R70/S$60</f>
        <v>4.3478260869565216E-2</v>
      </c>
      <c r="T70" s="193"/>
      <c r="U70" s="726" t="e">
        <f>T70/U$60</f>
        <v>#DIV/0!</v>
      </c>
      <c r="V70" s="666"/>
      <c r="W70" s="727">
        <f t="shared" si="20"/>
        <v>0.75</v>
      </c>
      <c r="X70" s="728" t="e">
        <f t="shared" si="20"/>
        <v>#DIV/0!</v>
      </c>
    </row>
    <row r="71" spans="1:24" s="1" customFormat="1" ht="18" customHeight="1" x14ac:dyDescent="0.2">
      <c r="A71" s="680" t="s">
        <v>55</v>
      </c>
      <c r="B71" s="912"/>
      <c r="C71" s="732"/>
      <c r="D71" s="912"/>
      <c r="E71" s="733"/>
      <c r="F71" s="914"/>
      <c r="G71" s="733"/>
      <c r="H71" s="914"/>
      <c r="I71" s="733"/>
      <c r="J71" s="914"/>
      <c r="K71" s="733"/>
      <c r="L71" s="914"/>
      <c r="M71" s="733"/>
      <c r="N71" s="914"/>
      <c r="O71" s="733"/>
      <c r="P71" s="914"/>
      <c r="Q71" s="733"/>
      <c r="R71" s="914"/>
      <c r="S71" s="733"/>
      <c r="T71" s="734"/>
      <c r="U71" s="735"/>
      <c r="V71" s="666"/>
      <c r="W71" s="736"/>
      <c r="X71" s="737"/>
    </row>
    <row r="72" spans="1:24" s="1" customFormat="1" ht="15" customHeight="1" x14ac:dyDescent="0.2">
      <c r="A72" s="200" t="s">
        <v>56</v>
      </c>
      <c r="B72" s="132">
        <v>15</v>
      </c>
      <c r="C72" s="191">
        <f>B72/C$60</f>
        <v>0.65217391304347827</v>
      </c>
      <c r="D72" s="132">
        <f>13+3</f>
        <v>16</v>
      </c>
      <c r="E72" s="192">
        <f>D72/E$60</f>
        <v>0.66666666666666663</v>
      </c>
      <c r="F72" s="48">
        <v>14</v>
      </c>
      <c r="G72" s="192">
        <f>F72/G$60</f>
        <v>0.63636363636363635</v>
      </c>
      <c r="H72" s="48">
        <v>14</v>
      </c>
      <c r="I72" s="192">
        <f>H72/I$60</f>
        <v>0.63636363636363635</v>
      </c>
      <c r="J72" s="48">
        <f>2+12</f>
        <v>14</v>
      </c>
      <c r="K72" s="192">
        <f>J72/K$60</f>
        <v>0.63636363636363635</v>
      </c>
      <c r="L72" s="48">
        <v>13</v>
      </c>
      <c r="M72" s="192">
        <f>L72/M$60</f>
        <v>0.61904761904761907</v>
      </c>
      <c r="N72" s="48">
        <f>1+14</f>
        <v>15</v>
      </c>
      <c r="O72" s="192">
        <f>N72/O$60</f>
        <v>0.625</v>
      </c>
      <c r="P72" s="48">
        <v>13</v>
      </c>
      <c r="Q72" s="192">
        <f>P72/Q$60</f>
        <v>0.59090909090909094</v>
      </c>
      <c r="R72" s="48">
        <v>14</v>
      </c>
      <c r="S72" s="192">
        <f>R72/S$60</f>
        <v>0.60869565217391308</v>
      </c>
      <c r="T72" s="209"/>
      <c r="U72" s="203" t="e">
        <f>T72/U$60</f>
        <v>#DIV/0!</v>
      </c>
      <c r="V72" s="666"/>
      <c r="W72" s="205">
        <f t="shared" si="20"/>
        <v>13.75</v>
      </c>
      <c r="X72" s="206" t="e">
        <f t="shared" si="20"/>
        <v>#DIV/0!</v>
      </c>
    </row>
    <row r="73" spans="1:24" s="1" customFormat="1" ht="15" customHeight="1" thickBot="1" x14ac:dyDescent="0.25">
      <c r="A73" s="696" t="s">
        <v>57</v>
      </c>
      <c r="B73" s="910">
        <v>8</v>
      </c>
      <c r="C73" s="724">
        <f>B73/C$60</f>
        <v>0.34782608695652173</v>
      </c>
      <c r="D73" s="910">
        <f>7+1</f>
        <v>8</v>
      </c>
      <c r="E73" s="725">
        <f>D73/E$60</f>
        <v>0.33333333333333331</v>
      </c>
      <c r="F73" s="911">
        <v>8</v>
      </c>
      <c r="G73" s="725">
        <f>F73/G$60</f>
        <v>0.36363636363636365</v>
      </c>
      <c r="H73" s="911">
        <v>8</v>
      </c>
      <c r="I73" s="725">
        <f>H73/I$60</f>
        <v>0.36363636363636365</v>
      </c>
      <c r="J73" s="911">
        <f>1+7</f>
        <v>8</v>
      </c>
      <c r="K73" s="725">
        <f>J73/K$60</f>
        <v>0.36363636363636365</v>
      </c>
      <c r="L73" s="911">
        <v>8</v>
      </c>
      <c r="M73" s="725">
        <f>L73/M$60</f>
        <v>0.38095238095238093</v>
      </c>
      <c r="N73" s="911">
        <f>1+8</f>
        <v>9</v>
      </c>
      <c r="O73" s="725">
        <f>N73/O$60</f>
        <v>0.375</v>
      </c>
      <c r="P73" s="911">
        <v>9</v>
      </c>
      <c r="Q73" s="725">
        <f>P73/Q$60</f>
        <v>0.40909090909090912</v>
      </c>
      <c r="R73" s="911">
        <v>9</v>
      </c>
      <c r="S73" s="725">
        <f>R73/S$60</f>
        <v>0.39130434782608697</v>
      </c>
      <c r="T73" s="730"/>
      <c r="U73" s="726" t="e">
        <f>T73/U$60</f>
        <v>#DIV/0!</v>
      </c>
      <c r="V73" s="666"/>
      <c r="W73" s="727">
        <f t="shared" si="20"/>
        <v>8.75</v>
      </c>
      <c r="X73" s="728" t="e">
        <f t="shared" si="20"/>
        <v>#DIV/0!</v>
      </c>
    </row>
    <row r="74" spans="1:24" s="1" customFormat="1" ht="18" customHeight="1" x14ac:dyDescent="0.2">
      <c r="A74" s="680" t="s">
        <v>58</v>
      </c>
      <c r="B74" s="917"/>
      <c r="C74" s="739"/>
      <c r="D74" s="917"/>
      <c r="E74" s="740"/>
      <c r="F74" s="918"/>
      <c r="G74" s="740"/>
      <c r="H74" s="918"/>
      <c r="I74" s="740"/>
      <c r="J74" s="918"/>
      <c r="K74" s="740"/>
      <c r="L74" s="918"/>
      <c r="M74" s="740"/>
      <c r="N74" s="918"/>
      <c r="O74" s="740"/>
      <c r="P74" s="918"/>
      <c r="Q74" s="740"/>
      <c r="R74" s="918"/>
      <c r="S74" s="740"/>
      <c r="T74" s="741"/>
      <c r="U74" s="742"/>
      <c r="V74" s="666"/>
      <c r="W74" s="736"/>
      <c r="X74" s="737"/>
    </row>
    <row r="75" spans="1:24" s="1" customFormat="1" ht="15" customHeight="1" x14ac:dyDescent="0.2">
      <c r="A75" s="200" t="s">
        <v>59</v>
      </c>
      <c r="B75" s="133">
        <v>15</v>
      </c>
      <c r="C75" s="191">
        <f>B75/C$60</f>
        <v>0.65217391304347827</v>
      </c>
      <c r="D75" s="133">
        <f>2+14</f>
        <v>16</v>
      </c>
      <c r="E75" s="192">
        <f>D75/E$60</f>
        <v>0.66666666666666663</v>
      </c>
      <c r="F75" s="134">
        <v>14</v>
      </c>
      <c r="G75" s="192">
        <f>F75/G$60</f>
        <v>0.63636363636363635</v>
      </c>
      <c r="H75" s="134">
        <v>15</v>
      </c>
      <c r="I75" s="192">
        <f>H75/I$60</f>
        <v>0.68181818181818177</v>
      </c>
      <c r="J75" s="134">
        <f>1+14</f>
        <v>15</v>
      </c>
      <c r="K75" s="192">
        <f>J75/K$60</f>
        <v>0.68181818181818177</v>
      </c>
      <c r="L75" s="134">
        <v>17</v>
      </c>
      <c r="M75" s="192">
        <f>L75/M$60</f>
        <v>0.80952380952380953</v>
      </c>
      <c r="N75" s="134">
        <v>17</v>
      </c>
      <c r="O75" s="192">
        <f>N75/O$60</f>
        <v>0.70833333333333337</v>
      </c>
      <c r="P75" s="134">
        <v>15</v>
      </c>
      <c r="Q75" s="192">
        <f>P75/Q$60</f>
        <v>0.68181818181818177</v>
      </c>
      <c r="R75" s="134">
        <v>16</v>
      </c>
      <c r="S75" s="192">
        <f>R75/S$60</f>
        <v>0.69565217391304346</v>
      </c>
      <c r="T75" s="211"/>
      <c r="U75" s="203" t="e">
        <f>T75/U$60</f>
        <v>#DIV/0!</v>
      </c>
      <c r="V75" s="666"/>
      <c r="W75" s="205">
        <f t="shared" si="20"/>
        <v>16.25</v>
      </c>
      <c r="X75" s="206" t="e">
        <f t="shared" si="20"/>
        <v>#DIV/0!</v>
      </c>
    </row>
    <row r="76" spans="1:24" s="1" customFormat="1" ht="15" customHeight="1" x14ac:dyDescent="0.2">
      <c r="A76" s="200" t="s">
        <v>60</v>
      </c>
      <c r="B76" s="133">
        <v>4</v>
      </c>
      <c r="C76" s="191">
        <f>B76/C$60</f>
        <v>0.17391304347826086</v>
      </c>
      <c r="D76" s="133">
        <v>4</v>
      </c>
      <c r="E76" s="192">
        <f>D76/E$60</f>
        <v>0.16666666666666666</v>
      </c>
      <c r="F76" s="134">
        <v>3</v>
      </c>
      <c r="G76" s="192">
        <f>F76/G$60</f>
        <v>0.13636363636363635</v>
      </c>
      <c r="H76" s="134">
        <v>3</v>
      </c>
      <c r="I76" s="192">
        <f>H76/I$60</f>
        <v>0.13636363636363635</v>
      </c>
      <c r="J76" s="134">
        <f>0+3</f>
        <v>3</v>
      </c>
      <c r="K76" s="192">
        <f>J76/K$60</f>
        <v>0.13636363636363635</v>
      </c>
      <c r="L76" s="134">
        <v>2</v>
      </c>
      <c r="M76" s="192">
        <f>L76/M$60</f>
        <v>9.5238095238095233E-2</v>
      </c>
      <c r="N76" s="134">
        <v>3</v>
      </c>
      <c r="O76" s="192">
        <f>N76/O$60</f>
        <v>0.125</v>
      </c>
      <c r="P76" s="134">
        <v>3</v>
      </c>
      <c r="Q76" s="192">
        <f>P76/Q$60</f>
        <v>0.13636363636363635</v>
      </c>
      <c r="R76" s="134">
        <v>3</v>
      </c>
      <c r="S76" s="192">
        <f>R76/S$60</f>
        <v>0.13043478260869565</v>
      </c>
      <c r="T76" s="211"/>
      <c r="U76" s="203" t="e">
        <f>T76/U$60</f>
        <v>#DIV/0!</v>
      </c>
      <c r="V76" s="666"/>
      <c r="W76" s="205">
        <f t="shared" si="20"/>
        <v>2.75</v>
      </c>
      <c r="X76" s="206" t="e">
        <f t="shared" si="20"/>
        <v>#DIV/0!</v>
      </c>
    </row>
    <row r="77" spans="1:24" s="1" customFormat="1" ht="15" customHeight="1" thickBot="1" x14ac:dyDescent="0.25">
      <c r="A77" s="696" t="s">
        <v>61</v>
      </c>
      <c r="B77" s="910">
        <v>4</v>
      </c>
      <c r="C77" s="724">
        <f>B77/C$60</f>
        <v>0.17391304347826086</v>
      </c>
      <c r="D77" s="910">
        <f>2+2</f>
        <v>4</v>
      </c>
      <c r="E77" s="725">
        <f>D77/E$60</f>
        <v>0.16666666666666666</v>
      </c>
      <c r="F77" s="911">
        <v>5</v>
      </c>
      <c r="G77" s="725">
        <f>F77/G$60</f>
        <v>0.22727272727272727</v>
      </c>
      <c r="H77" s="911">
        <v>4</v>
      </c>
      <c r="I77" s="725">
        <f>H77/I$60</f>
        <v>0.18181818181818182</v>
      </c>
      <c r="J77" s="911">
        <f>2+2</f>
        <v>4</v>
      </c>
      <c r="K77" s="725">
        <f>J77/K$60</f>
        <v>0.18181818181818182</v>
      </c>
      <c r="L77" s="911">
        <v>2</v>
      </c>
      <c r="M77" s="725">
        <f>L77/M$60</f>
        <v>9.5238095238095233E-2</v>
      </c>
      <c r="N77" s="911">
        <f>2+2</f>
        <v>4</v>
      </c>
      <c r="O77" s="725">
        <f>N77/O$60</f>
        <v>0.16666666666666666</v>
      </c>
      <c r="P77" s="911">
        <v>4</v>
      </c>
      <c r="Q77" s="725">
        <f>P77/Q$60</f>
        <v>0.18181818181818182</v>
      </c>
      <c r="R77" s="911">
        <v>4</v>
      </c>
      <c r="S77" s="725">
        <f>R77/S$60</f>
        <v>0.17391304347826086</v>
      </c>
      <c r="T77" s="730"/>
      <c r="U77" s="726" t="e">
        <f>T77/U$60</f>
        <v>#DIV/0!</v>
      </c>
      <c r="V77" s="666"/>
      <c r="W77" s="727">
        <f t="shared" si="20"/>
        <v>3.5</v>
      </c>
      <c r="X77" s="728" t="e">
        <f t="shared" si="20"/>
        <v>#DIV/0!</v>
      </c>
    </row>
    <row r="78" spans="1:24" s="1" customFormat="1" ht="18" customHeight="1" x14ac:dyDescent="0.2">
      <c r="A78" s="680" t="s">
        <v>62</v>
      </c>
      <c r="B78" s="917"/>
      <c r="C78" s="739"/>
      <c r="D78" s="917"/>
      <c r="E78" s="740"/>
      <c r="F78" s="918"/>
      <c r="G78" s="740"/>
      <c r="H78" s="918"/>
      <c r="I78" s="740"/>
      <c r="J78" s="918"/>
      <c r="K78" s="740"/>
      <c r="L78" s="918"/>
      <c r="M78" s="740"/>
      <c r="N78" s="918"/>
      <c r="O78" s="740"/>
      <c r="P78" s="918"/>
      <c r="Q78" s="740"/>
      <c r="R78" s="918"/>
      <c r="S78" s="740"/>
      <c r="T78" s="741"/>
      <c r="U78" s="742"/>
      <c r="V78" s="666"/>
      <c r="W78" s="736"/>
      <c r="X78" s="737"/>
    </row>
    <row r="79" spans="1:24" s="1" customFormat="1" ht="15" customHeight="1" x14ac:dyDescent="0.2">
      <c r="A79" s="200" t="s">
        <v>63</v>
      </c>
      <c r="B79" s="133">
        <v>21</v>
      </c>
      <c r="C79" s="191">
        <f>B79/C$60</f>
        <v>0.91304347826086951</v>
      </c>
      <c r="D79" s="133">
        <f>3+18</f>
        <v>21</v>
      </c>
      <c r="E79" s="192">
        <f>D79/E$60</f>
        <v>0.875</v>
      </c>
      <c r="F79" s="134">
        <v>22</v>
      </c>
      <c r="G79" s="192">
        <f>F79/G$60</f>
        <v>1</v>
      </c>
      <c r="H79" s="134">
        <v>22</v>
      </c>
      <c r="I79" s="192">
        <f>H79/I$60</f>
        <v>1</v>
      </c>
      <c r="J79" s="134">
        <f>3+19</f>
        <v>22</v>
      </c>
      <c r="K79" s="192">
        <f>J79/K$60</f>
        <v>1</v>
      </c>
      <c r="L79" s="134">
        <v>21</v>
      </c>
      <c r="M79" s="192">
        <f>L79/M$60</f>
        <v>1</v>
      </c>
      <c r="N79" s="134">
        <f>2+22</f>
        <v>24</v>
      </c>
      <c r="O79" s="192">
        <f>N79/O$60</f>
        <v>1</v>
      </c>
      <c r="P79" s="134">
        <v>22</v>
      </c>
      <c r="Q79" s="192">
        <f>P79/Q$60</f>
        <v>1</v>
      </c>
      <c r="R79" s="134">
        <v>21</v>
      </c>
      <c r="S79" s="192">
        <f>R79/S$60</f>
        <v>0.91304347826086951</v>
      </c>
      <c r="T79" s="211"/>
      <c r="U79" s="203" t="e">
        <f>T79/U$60</f>
        <v>#DIV/0!</v>
      </c>
      <c r="V79" s="666"/>
      <c r="W79" s="205">
        <f t="shared" si="20"/>
        <v>22</v>
      </c>
      <c r="X79" s="206" t="e">
        <f t="shared" si="20"/>
        <v>#DIV/0!</v>
      </c>
    </row>
    <row r="80" spans="1:24" s="1" customFormat="1" ht="15" customHeight="1" x14ac:dyDescent="0.2">
      <c r="A80" s="200" t="s">
        <v>64</v>
      </c>
      <c r="B80" s="133">
        <v>2</v>
      </c>
      <c r="C80" s="191">
        <f>B80/C$60</f>
        <v>8.6956521739130432E-2</v>
      </c>
      <c r="D80" s="133">
        <f>1+2</f>
        <v>3</v>
      </c>
      <c r="E80" s="192">
        <f>D80/E$60</f>
        <v>0.125</v>
      </c>
      <c r="F80" s="134">
        <v>0</v>
      </c>
      <c r="G80" s="192">
        <f>F80/G$60</f>
        <v>0</v>
      </c>
      <c r="H80" s="134">
        <v>0</v>
      </c>
      <c r="I80" s="192">
        <f>H80/I$60</f>
        <v>0</v>
      </c>
      <c r="J80" s="134">
        <f>0</f>
        <v>0</v>
      </c>
      <c r="K80" s="192">
        <f>J80/K$60</f>
        <v>0</v>
      </c>
      <c r="L80" s="134">
        <v>0</v>
      </c>
      <c r="M80" s="192">
        <f>L80/M$60</f>
        <v>0</v>
      </c>
      <c r="N80" s="134">
        <v>0</v>
      </c>
      <c r="O80" s="192">
        <f>N80/O$60</f>
        <v>0</v>
      </c>
      <c r="P80" s="134">
        <v>0</v>
      </c>
      <c r="Q80" s="192">
        <f>P80/Q$60</f>
        <v>0</v>
      </c>
      <c r="R80" s="134">
        <v>2</v>
      </c>
      <c r="S80" s="192">
        <f>R80/S$60</f>
        <v>8.6956521739130432E-2</v>
      </c>
      <c r="T80" s="211"/>
      <c r="U80" s="203" t="e">
        <f>T80/U$60</f>
        <v>#DIV/0!</v>
      </c>
      <c r="V80" s="666"/>
      <c r="W80" s="205">
        <f t="shared" si="20"/>
        <v>0.5</v>
      </c>
      <c r="X80" s="206" t="e">
        <f t="shared" si="20"/>
        <v>#DIV/0!</v>
      </c>
    </row>
    <row r="81" spans="1:24" s="1" customFormat="1" ht="15" customHeight="1" x14ac:dyDescent="0.2">
      <c r="A81" s="200" t="s">
        <v>65</v>
      </c>
      <c r="B81" s="133">
        <v>0</v>
      </c>
      <c r="C81" s="191">
        <f>B81/C$60</f>
        <v>0</v>
      </c>
      <c r="D81" s="133">
        <v>0</v>
      </c>
      <c r="E81" s="192">
        <f>D81/E$60</f>
        <v>0</v>
      </c>
      <c r="F81" s="134">
        <v>0</v>
      </c>
      <c r="G81" s="192">
        <f>F81/G$60</f>
        <v>0</v>
      </c>
      <c r="H81" s="134">
        <v>0</v>
      </c>
      <c r="I81" s="192">
        <f>H81/I$60</f>
        <v>0</v>
      </c>
      <c r="J81" s="134">
        <f>0</f>
        <v>0</v>
      </c>
      <c r="K81" s="192">
        <f>J81/K$60</f>
        <v>0</v>
      </c>
      <c r="L81" s="134">
        <v>0</v>
      </c>
      <c r="M81" s="192">
        <f>L81/M$60</f>
        <v>0</v>
      </c>
      <c r="N81" s="134">
        <v>0</v>
      </c>
      <c r="O81" s="192">
        <f>N81/O$60</f>
        <v>0</v>
      </c>
      <c r="P81" s="134">
        <v>0</v>
      </c>
      <c r="Q81" s="192">
        <f>P81/Q$60</f>
        <v>0</v>
      </c>
      <c r="R81" s="134">
        <v>0</v>
      </c>
      <c r="S81" s="192">
        <f>R81/S$60</f>
        <v>0</v>
      </c>
      <c r="T81" s="211"/>
      <c r="U81" s="203" t="e">
        <f>T81/U$60</f>
        <v>#DIV/0!</v>
      </c>
      <c r="V81" s="195"/>
      <c r="W81" s="205">
        <f t="shared" si="20"/>
        <v>0</v>
      </c>
      <c r="X81" s="206" t="e">
        <f t="shared" si="20"/>
        <v>#DIV/0!</v>
      </c>
    </row>
    <row r="82" spans="1:24" s="1" customFormat="1" ht="15" customHeight="1" thickBot="1" x14ac:dyDescent="0.25">
      <c r="A82" s="212" t="s">
        <v>66</v>
      </c>
      <c r="B82" s="159">
        <v>0</v>
      </c>
      <c r="C82" s="214">
        <f>B82/C$60</f>
        <v>0</v>
      </c>
      <c r="D82" s="159">
        <v>0</v>
      </c>
      <c r="E82" s="215">
        <f>D82/E$60</f>
        <v>0</v>
      </c>
      <c r="F82" s="163">
        <v>0</v>
      </c>
      <c r="G82" s="215">
        <f>F82/G$60</f>
        <v>0</v>
      </c>
      <c r="H82" s="163">
        <v>0</v>
      </c>
      <c r="I82" s="215">
        <f>H82/I$60</f>
        <v>0</v>
      </c>
      <c r="J82" s="163">
        <f>0</f>
        <v>0</v>
      </c>
      <c r="K82" s="215">
        <f>J82/K$60</f>
        <v>0</v>
      </c>
      <c r="L82" s="163">
        <v>0</v>
      </c>
      <c r="M82" s="215">
        <f>L82/M$60</f>
        <v>0</v>
      </c>
      <c r="N82" s="163">
        <v>0</v>
      </c>
      <c r="O82" s="215">
        <f>N82/O$60</f>
        <v>0</v>
      </c>
      <c r="P82" s="163">
        <v>0</v>
      </c>
      <c r="Q82" s="215">
        <f>P82/Q$60</f>
        <v>0</v>
      </c>
      <c r="R82" s="163">
        <v>0</v>
      </c>
      <c r="S82" s="215">
        <f>R82/S$60</f>
        <v>0</v>
      </c>
      <c r="T82" s="217"/>
      <c r="U82" s="218" t="e">
        <f>T82/U$60</f>
        <v>#DIV/0!</v>
      </c>
      <c r="V82" s="195"/>
      <c r="W82" s="219">
        <f t="shared" si="20"/>
        <v>0</v>
      </c>
      <c r="X82" s="220" t="e">
        <f t="shared" si="20"/>
        <v>#DIV/0!</v>
      </c>
    </row>
    <row r="83" spans="1:24" ht="15" customHeight="1" thickTop="1" x14ac:dyDescent="0.2">
      <c r="A83" s="743" t="s">
        <v>248</v>
      </c>
    </row>
    <row r="84" spans="1:24" x14ac:dyDescent="0.2">
      <c r="A84" s="1"/>
      <c r="H84" s="65" t="s">
        <v>19</v>
      </c>
      <c r="J84" s="65" t="s">
        <v>19</v>
      </c>
      <c r="L84" s="65" t="s">
        <v>19</v>
      </c>
      <c r="N84" s="65" t="s">
        <v>19</v>
      </c>
      <c r="P84" s="65" t="s">
        <v>19</v>
      </c>
      <c r="R84" s="65" t="s">
        <v>19</v>
      </c>
      <c r="T84" s="65" t="s">
        <v>19</v>
      </c>
    </row>
    <row r="85" spans="1:24" x14ac:dyDescent="0.2">
      <c r="A85" s="1"/>
    </row>
    <row r="86" spans="1:24" x14ac:dyDescent="0.2">
      <c r="A86" s="1"/>
    </row>
    <row r="87" spans="1:24" x14ac:dyDescent="0.2">
      <c r="A87" s="1"/>
    </row>
    <row r="88" spans="1:24" x14ac:dyDescent="0.2">
      <c r="A88" s="1"/>
    </row>
    <row r="89" spans="1:24" x14ac:dyDescent="0.2">
      <c r="A89" s="1"/>
    </row>
    <row r="90" spans="1:24" x14ac:dyDescent="0.2">
      <c r="A90" s="1"/>
    </row>
    <row r="91" spans="1:24" x14ac:dyDescent="0.2">
      <c r="A91" s="1"/>
    </row>
    <row r="92" spans="1:24" x14ac:dyDescent="0.2">
      <c r="A92" s="1"/>
    </row>
    <row r="93" spans="1:24" x14ac:dyDescent="0.2">
      <c r="A93" s="1"/>
    </row>
    <row r="94" spans="1:24" x14ac:dyDescent="0.2">
      <c r="A94" s="1"/>
    </row>
    <row r="95" spans="1:24" x14ac:dyDescent="0.2">
      <c r="A95" s="1"/>
    </row>
    <row r="96" spans="1:24" x14ac:dyDescent="0.2">
      <c r="A96" s="1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x14ac:dyDescent="0.2">
      <c r="A100" s="1"/>
    </row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x14ac:dyDescent="0.2">
      <c r="A107" s="1"/>
    </row>
    <row r="108" spans="1:1" x14ac:dyDescent="0.2">
      <c r="A108" s="1"/>
    </row>
    <row r="109" spans="1:1" x14ac:dyDescent="0.2">
      <c r="A109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x14ac:dyDescent="0.2">
      <c r="A120" s="1"/>
    </row>
    <row r="121" spans="1:1" x14ac:dyDescent="0.2">
      <c r="A121" s="1"/>
    </row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x14ac:dyDescent="0.2">
      <c r="A128" s="1"/>
    </row>
    <row r="129" spans="1:1" x14ac:dyDescent="0.2">
      <c r="A129" s="1"/>
    </row>
    <row r="130" spans="1:1" x14ac:dyDescent="0.2">
      <c r="A130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x14ac:dyDescent="0.2">
      <c r="A152" s="1"/>
    </row>
    <row r="153" spans="1:1" x14ac:dyDescent="0.2">
      <c r="A153" s="1"/>
    </row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  <row r="177" spans="1:1" x14ac:dyDescent="0.2">
      <c r="A177" s="1"/>
    </row>
    <row r="178" spans="1:1" x14ac:dyDescent="0.2">
      <c r="A178" s="1"/>
    </row>
    <row r="179" spans="1:1" x14ac:dyDescent="0.2">
      <c r="A179" s="1"/>
    </row>
    <row r="180" spans="1:1" x14ac:dyDescent="0.2">
      <c r="A180" s="1"/>
    </row>
    <row r="181" spans="1:1" x14ac:dyDescent="0.2">
      <c r="A181" s="1"/>
    </row>
    <row r="182" spans="1:1" x14ac:dyDescent="0.2">
      <c r="A182" s="1"/>
    </row>
    <row r="183" spans="1:1" x14ac:dyDescent="0.2">
      <c r="A183" s="1"/>
    </row>
    <row r="184" spans="1:1" x14ac:dyDescent="0.2">
      <c r="A184" s="1"/>
    </row>
    <row r="185" spans="1:1" x14ac:dyDescent="0.2">
      <c r="A185" s="1"/>
    </row>
    <row r="186" spans="1:1" x14ac:dyDescent="0.2">
      <c r="A186" s="1"/>
    </row>
    <row r="187" spans="1:1" x14ac:dyDescent="0.2">
      <c r="A187" s="1"/>
    </row>
    <row r="188" spans="1:1" x14ac:dyDescent="0.2">
      <c r="A188" s="1"/>
    </row>
    <row r="189" spans="1:1" x14ac:dyDescent="0.2">
      <c r="A189" s="1"/>
    </row>
    <row r="190" spans="1:1" x14ac:dyDescent="0.2">
      <c r="A190" s="1"/>
    </row>
    <row r="191" spans="1:1" x14ac:dyDescent="0.2">
      <c r="A191" s="1"/>
    </row>
    <row r="192" spans="1:1" x14ac:dyDescent="0.2">
      <c r="A192" s="1"/>
    </row>
    <row r="193" spans="1:1" x14ac:dyDescent="0.2">
      <c r="A193" s="1"/>
    </row>
    <row r="194" spans="1:1" x14ac:dyDescent="0.2">
      <c r="A194" s="1"/>
    </row>
    <row r="195" spans="1:1" x14ac:dyDescent="0.2">
      <c r="A195" s="1"/>
    </row>
    <row r="196" spans="1:1" x14ac:dyDescent="0.2">
      <c r="A196" s="1"/>
    </row>
    <row r="197" spans="1:1" x14ac:dyDescent="0.2">
      <c r="A197" s="1"/>
    </row>
    <row r="198" spans="1:1" x14ac:dyDescent="0.2">
      <c r="A198" s="1"/>
    </row>
    <row r="199" spans="1:1" x14ac:dyDescent="0.2">
      <c r="A199" s="1"/>
    </row>
    <row r="200" spans="1:1" x14ac:dyDescent="0.2">
      <c r="A200" s="1"/>
    </row>
    <row r="201" spans="1:1" x14ac:dyDescent="0.2">
      <c r="A201" s="1"/>
    </row>
    <row r="202" spans="1:1" x14ac:dyDescent="0.2">
      <c r="A202" s="1"/>
    </row>
    <row r="203" spans="1:1" x14ac:dyDescent="0.2">
      <c r="A203" s="1"/>
    </row>
    <row r="204" spans="1:1" x14ac:dyDescent="0.2">
      <c r="A204" s="1"/>
    </row>
    <row r="205" spans="1:1" x14ac:dyDescent="0.2">
      <c r="A205" s="1"/>
    </row>
    <row r="206" spans="1:1" x14ac:dyDescent="0.2">
      <c r="A206" s="1"/>
    </row>
    <row r="207" spans="1:1" x14ac:dyDescent="0.2">
      <c r="A207" s="1"/>
    </row>
    <row r="208" spans="1:1" x14ac:dyDescent="0.2">
      <c r="A208" s="1"/>
    </row>
    <row r="209" spans="1:1" x14ac:dyDescent="0.2">
      <c r="A209" s="1"/>
    </row>
    <row r="210" spans="1:1" x14ac:dyDescent="0.2">
      <c r="A210" s="1"/>
    </row>
    <row r="211" spans="1:1" x14ac:dyDescent="0.2">
      <c r="A211" s="1"/>
    </row>
    <row r="212" spans="1:1" x14ac:dyDescent="0.2">
      <c r="A212" s="1"/>
    </row>
    <row r="213" spans="1:1" x14ac:dyDescent="0.2">
      <c r="A213" s="1"/>
    </row>
    <row r="214" spans="1:1" x14ac:dyDescent="0.2">
      <c r="A214" s="1"/>
    </row>
    <row r="215" spans="1:1" x14ac:dyDescent="0.2">
      <c r="A215" s="1"/>
    </row>
    <row r="216" spans="1:1" x14ac:dyDescent="0.2">
      <c r="A216" s="1"/>
    </row>
    <row r="217" spans="1:1" x14ac:dyDescent="0.2">
      <c r="A217" s="1"/>
    </row>
    <row r="218" spans="1:1" x14ac:dyDescent="0.2">
      <c r="A218" s="1"/>
    </row>
    <row r="219" spans="1:1" x14ac:dyDescent="0.2">
      <c r="A219" s="1"/>
    </row>
    <row r="220" spans="1:1" x14ac:dyDescent="0.2">
      <c r="A220" s="1"/>
    </row>
    <row r="221" spans="1:1" x14ac:dyDescent="0.2">
      <c r="A221" s="1"/>
    </row>
    <row r="222" spans="1:1" x14ac:dyDescent="0.2">
      <c r="A222" s="1"/>
    </row>
    <row r="223" spans="1:1" x14ac:dyDescent="0.2">
      <c r="A223" s="1"/>
    </row>
    <row r="224" spans="1:1" x14ac:dyDescent="0.2">
      <c r="A224" s="1"/>
    </row>
    <row r="225" spans="1:1" x14ac:dyDescent="0.2">
      <c r="A225" s="1"/>
    </row>
    <row r="226" spans="1:1" x14ac:dyDescent="0.2">
      <c r="A226" s="1"/>
    </row>
    <row r="227" spans="1:1" x14ac:dyDescent="0.2">
      <c r="A227" s="1"/>
    </row>
    <row r="228" spans="1:1" x14ac:dyDescent="0.2">
      <c r="A228" s="1"/>
    </row>
    <row r="229" spans="1:1" x14ac:dyDescent="0.2">
      <c r="A229" s="1"/>
    </row>
    <row r="230" spans="1:1" x14ac:dyDescent="0.2">
      <c r="A230" s="1"/>
    </row>
    <row r="231" spans="1:1" x14ac:dyDescent="0.2">
      <c r="A231" s="1"/>
    </row>
    <row r="232" spans="1:1" x14ac:dyDescent="0.2">
      <c r="A232" s="1"/>
    </row>
    <row r="233" spans="1:1" x14ac:dyDescent="0.2">
      <c r="A233" s="1"/>
    </row>
    <row r="234" spans="1:1" x14ac:dyDescent="0.2">
      <c r="A234" s="1"/>
    </row>
    <row r="235" spans="1:1" x14ac:dyDescent="0.2">
      <c r="A235" s="1"/>
    </row>
    <row r="236" spans="1:1" x14ac:dyDescent="0.2">
      <c r="A236" s="1"/>
    </row>
    <row r="237" spans="1:1" x14ac:dyDescent="0.2">
      <c r="A237" s="1"/>
    </row>
    <row r="238" spans="1:1" x14ac:dyDescent="0.2">
      <c r="A238" s="1"/>
    </row>
    <row r="239" spans="1:1" x14ac:dyDescent="0.2">
      <c r="A239" s="1"/>
    </row>
    <row r="240" spans="1:1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6" spans="1:1" x14ac:dyDescent="0.2">
      <c r="A296" s="1"/>
    </row>
    <row r="297" spans="1:1" x14ac:dyDescent="0.2">
      <c r="A297" s="1"/>
    </row>
    <row r="298" spans="1:1" x14ac:dyDescent="0.2">
      <c r="A298" s="1"/>
    </row>
    <row r="299" spans="1:1" x14ac:dyDescent="0.2">
      <c r="A299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  <row r="303" spans="1:1" x14ac:dyDescent="0.2">
      <c r="A303" s="1"/>
    </row>
    <row r="304" spans="1:1" x14ac:dyDescent="0.2">
      <c r="A304" s="1"/>
    </row>
    <row r="305" spans="1:1" x14ac:dyDescent="0.2">
      <c r="A305" s="1"/>
    </row>
    <row r="306" spans="1:1" x14ac:dyDescent="0.2">
      <c r="A306" s="1"/>
    </row>
    <row r="307" spans="1:1" x14ac:dyDescent="0.2">
      <c r="A307" s="1"/>
    </row>
    <row r="308" spans="1:1" x14ac:dyDescent="0.2">
      <c r="A308" s="1"/>
    </row>
    <row r="309" spans="1:1" x14ac:dyDescent="0.2">
      <c r="A309" s="1"/>
    </row>
    <row r="310" spans="1:1" x14ac:dyDescent="0.2">
      <c r="A310" s="1"/>
    </row>
    <row r="311" spans="1:1" x14ac:dyDescent="0.2">
      <c r="A311" s="1"/>
    </row>
    <row r="312" spans="1:1" x14ac:dyDescent="0.2">
      <c r="A312" s="1"/>
    </row>
    <row r="313" spans="1:1" x14ac:dyDescent="0.2">
      <c r="A313" s="1"/>
    </row>
    <row r="314" spans="1:1" x14ac:dyDescent="0.2">
      <c r="A314" s="1"/>
    </row>
    <row r="315" spans="1:1" x14ac:dyDescent="0.2">
      <c r="A315" s="1"/>
    </row>
    <row r="316" spans="1:1" x14ac:dyDescent="0.2">
      <c r="A316" s="1"/>
    </row>
    <row r="317" spans="1:1" x14ac:dyDescent="0.2">
      <c r="A317" s="1"/>
    </row>
    <row r="318" spans="1:1" x14ac:dyDescent="0.2">
      <c r="A318" s="1"/>
    </row>
    <row r="319" spans="1:1" x14ac:dyDescent="0.2">
      <c r="A319" s="1"/>
    </row>
    <row r="320" spans="1:1" x14ac:dyDescent="0.2">
      <c r="A320" s="1"/>
    </row>
    <row r="321" spans="1:1" x14ac:dyDescent="0.2">
      <c r="A321" s="1"/>
    </row>
    <row r="322" spans="1:1" x14ac:dyDescent="0.2">
      <c r="A322" s="1"/>
    </row>
    <row r="323" spans="1:1" x14ac:dyDescent="0.2">
      <c r="A323" s="1"/>
    </row>
    <row r="324" spans="1:1" x14ac:dyDescent="0.2">
      <c r="A324" s="1"/>
    </row>
    <row r="325" spans="1:1" x14ac:dyDescent="0.2">
      <c r="A325" s="1"/>
    </row>
    <row r="326" spans="1:1" x14ac:dyDescent="0.2">
      <c r="A326" s="1"/>
    </row>
    <row r="327" spans="1:1" x14ac:dyDescent="0.2">
      <c r="A327" s="1"/>
    </row>
    <row r="328" spans="1:1" x14ac:dyDescent="0.2">
      <c r="A328" s="1"/>
    </row>
    <row r="329" spans="1:1" x14ac:dyDescent="0.2">
      <c r="A329" s="1"/>
    </row>
    <row r="330" spans="1:1" x14ac:dyDescent="0.2">
      <c r="A330" s="1"/>
    </row>
    <row r="331" spans="1:1" x14ac:dyDescent="0.2">
      <c r="A331" s="1"/>
    </row>
    <row r="332" spans="1:1" x14ac:dyDescent="0.2">
      <c r="A332" s="1"/>
    </row>
    <row r="333" spans="1:1" x14ac:dyDescent="0.2">
      <c r="A333" s="1"/>
    </row>
    <row r="334" spans="1:1" x14ac:dyDescent="0.2">
      <c r="A334" s="1"/>
    </row>
    <row r="335" spans="1:1" x14ac:dyDescent="0.2">
      <c r="A335" s="1"/>
    </row>
    <row r="336" spans="1:1" x14ac:dyDescent="0.2">
      <c r="A336" s="1"/>
    </row>
    <row r="337" spans="1:1" x14ac:dyDescent="0.2">
      <c r="A337" s="1"/>
    </row>
    <row r="338" spans="1:1" x14ac:dyDescent="0.2">
      <c r="A338" s="1"/>
    </row>
    <row r="339" spans="1:1" x14ac:dyDescent="0.2">
      <c r="A339" s="1"/>
    </row>
    <row r="340" spans="1:1" x14ac:dyDescent="0.2">
      <c r="A340" s="1"/>
    </row>
    <row r="341" spans="1:1" x14ac:dyDescent="0.2">
      <c r="A341" s="1"/>
    </row>
    <row r="342" spans="1:1" x14ac:dyDescent="0.2">
      <c r="A342" s="1"/>
    </row>
    <row r="343" spans="1:1" x14ac:dyDescent="0.2">
      <c r="A343" s="1"/>
    </row>
    <row r="344" spans="1:1" x14ac:dyDescent="0.2">
      <c r="A344" s="1"/>
    </row>
    <row r="345" spans="1:1" x14ac:dyDescent="0.2">
      <c r="A345" s="1"/>
    </row>
    <row r="346" spans="1:1" x14ac:dyDescent="0.2">
      <c r="A346" s="1"/>
    </row>
    <row r="347" spans="1:1" x14ac:dyDescent="0.2">
      <c r="A347" s="1"/>
    </row>
    <row r="348" spans="1:1" x14ac:dyDescent="0.2">
      <c r="A348" s="1"/>
    </row>
    <row r="349" spans="1:1" x14ac:dyDescent="0.2">
      <c r="A349" s="1"/>
    </row>
    <row r="350" spans="1:1" x14ac:dyDescent="0.2">
      <c r="A350" s="1"/>
    </row>
    <row r="351" spans="1:1" x14ac:dyDescent="0.2">
      <c r="A351" s="1"/>
    </row>
    <row r="352" spans="1:1" x14ac:dyDescent="0.2">
      <c r="A352" s="1"/>
    </row>
    <row r="353" spans="1:1" x14ac:dyDescent="0.2">
      <c r="A353" s="1"/>
    </row>
    <row r="354" spans="1:1" x14ac:dyDescent="0.2">
      <c r="A354" s="1"/>
    </row>
    <row r="355" spans="1:1" x14ac:dyDescent="0.2">
      <c r="A355" s="1"/>
    </row>
    <row r="356" spans="1:1" x14ac:dyDescent="0.2">
      <c r="A356" s="1"/>
    </row>
    <row r="357" spans="1:1" x14ac:dyDescent="0.2">
      <c r="A357" s="1"/>
    </row>
    <row r="358" spans="1:1" x14ac:dyDescent="0.2">
      <c r="A358" s="1"/>
    </row>
    <row r="359" spans="1:1" x14ac:dyDescent="0.2">
      <c r="A359" s="1"/>
    </row>
    <row r="360" spans="1:1" x14ac:dyDescent="0.2">
      <c r="A360" s="1"/>
    </row>
    <row r="361" spans="1:1" x14ac:dyDescent="0.2">
      <c r="A361" s="1"/>
    </row>
    <row r="362" spans="1:1" x14ac:dyDescent="0.2">
      <c r="A362" s="1"/>
    </row>
    <row r="363" spans="1:1" x14ac:dyDescent="0.2">
      <c r="A363" s="1"/>
    </row>
    <row r="364" spans="1:1" x14ac:dyDescent="0.2">
      <c r="A364" s="1"/>
    </row>
    <row r="365" spans="1:1" x14ac:dyDescent="0.2">
      <c r="A365" s="1"/>
    </row>
    <row r="366" spans="1:1" x14ac:dyDescent="0.2">
      <c r="A366" s="1"/>
    </row>
    <row r="367" spans="1:1" x14ac:dyDescent="0.2">
      <c r="A367" s="1"/>
    </row>
    <row r="368" spans="1:1" x14ac:dyDescent="0.2">
      <c r="A368" s="1"/>
    </row>
    <row r="369" spans="1:1" x14ac:dyDescent="0.2">
      <c r="A369" s="1"/>
    </row>
    <row r="370" spans="1:1" x14ac:dyDescent="0.2">
      <c r="A370" s="1"/>
    </row>
    <row r="371" spans="1:1" x14ac:dyDescent="0.2">
      <c r="A371" s="1"/>
    </row>
    <row r="372" spans="1:1" x14ac:dyDescent="0.2">
      <c r="A372" s="1"/>
    </row>
    <row r="373" spans="1:1" x14ac:dyDescent="0.2">
      <c r="A373" s="1"/>
    </row>
    <row r="374" spans="1:1" x14ac:dyDescent="0.2">
      <c r="A374" s="1"/>
    </row>
    <row r="375" spans="1:1" x14ac:dyDescent="0.2">
      <c r="A375" s="1"/>
    </row>
    <row r="376" spans="1:1" x14ac:dyDescent="0.2">
      <c r="A376" s="1"/>
    </row>
    <row r="377" spans="1:1" x14ac:dyDescent="0.2">
      <c r="A377" s="1"/>
    </row>
    <row r="378" spans="1:1" x14ac:dyDescent="0.2">
      <c r="A378" s="1"/>
    </row>
    <row r="379" spans="1:1" x14ac:dyDescent="0.2">
      <c r="A379" s="1"/>
    </row>
    <row r="380" spans="1:1" x14ac:dyDescent="0.2">
      <c r="A380" s="1"/>
    </row>
    <row r="381" spans="1:1" x14ac:dyDescent="0.2">
      <c r="A381" s="1"/>
    </row>
    <row r="382" spans="1:1" x14ac:dyDescent="0.2">
      <c r="A382" s="1"/>
    </row>
    <row r="383" spans="1:1" x14ac:dyDescent="0.2">
      <c r="A383" s="1"/>
    </row>
    <row r="384" spans="1:1" x14ac:dyDescent="0.2">
      <c r="A384" s="1"/>
    </row>
    <row r="385" spans="1:1" x14ac:dyDescent="0.2">
      <c r="A385" s="1"/>
    </row>
    <row r="386" spans="1:1" x14ac:dyDescent="0.2">
      <c r="A386" s="1"/>
    </row>
    <row r="387" spans="1:1" x14ac:dyDescent="0.2">
      <c r="A387" s="1"/>
    </row>
    <row r="388" spans="1:1" x14ac:dyDescent="0.2">
      <c r="A388" s="1"/>
    </row>
    <row r="389" spans="1:1" x14ac:dyDescent="0.2">
      <c r="A389" s="1"/>
    </row>
    <row r="390" spans="1:1" x14ac:dyDescent="0.2">
      <c r="A390" s="1"/>
    </row>
    <row r="391" spans="1:1" x14ac:dyDescent="0.2">
      <c r="A391" s="1"/>
    </row>
    <row r="392" spans="1:1" x14ac:dyDescent="0.2">
      <c r="A392" s="1"/>
    </row>
    <row r="393" spans="1:1" x14ac:dyDescent="0.2">
      <c r="A393" s="1"/>
    </row>
    <row r="394" spans="1:1" x14ac:dyDescent="0.2">
      <c r="A394" s="1"/>
    </row>
    <row r="395" spans="1:1" x14ac:dyDescent="0.2">
      <c r="A395" s="1"/>
    </row>
    <row r="396" spans="1:1" x14ac:dyDescent="0.2">
      <c r="A396" s="1"/>
    </row>
    <row r="397" spans="1:1" x14ac:dyDescent="0.2">
      <c r="A397" s="1"/>
    </row>
    <row r="398" spans="1:1" x14ac:dyDescent="0.2">
      <c r="A398" s="1"/>
    </row>
    <row r="399" spans="1:1" x14ac:dyDescent="0.2">
      <c r="A399" s="1"/>
    </row>
    <row r="400" spans="1:1" x14ac:dyDescent="0.2">
      <c r="A400" s="1"/>
    </row>
    <row r="401" spans="1:1" x14ac:dyDescent="0.2">
      <c r="A401" s="1"/>
    </row>
    <row r="402" spans="1:1" x14ac:dyDescent="0.2">
      <c r="A402" s="1"/>
    </row>
    <row r="403" spans="1:1" x14ac:dyDescent="0.2">
      <c r="A403" s="1"/>
    </row>
    <row r="404" spans="1:1" x14ac:dyDescent="0.2">
      <c r="A404" s="1"/>
    </row>
    <row r="405" spans="1:1" x14ac:dyDescent="0.2">
      <c r="A405" s="1"/>
    </row>
    <row r="406" spans="1:1" x14ac:dyDescent="0.2">
      <c r="A406" s="1"/>
    </row>
    <row r="407" spans="1:1" x14ac:dyDescent="0.2">
      <c r="A407" s="1"/>
    </row>
    <row r="408" spans="1:1" x14ac:dyDescent="0.2">
      <c r="A408" s="1"/>
    </row>
    <row r="409" spans="1:1" x14ac:dyDescent="0.2">
      <c r="A409" s="1"/>
    </row>
    <row r="410" spans="1:1" x14ac:dyDescent="0.2">
      <c r="A410" s="1"/>
    </row>
    <row r="411" spans="1:1" x14ac:dyDescent="0.2">
      <c r="A411" s="1"/>
    </row>
    <row r="412" spans="1:1" x14ac:dyDescent="0.2">
      <c r="A412" s="1"/>
    </row>
    <row r="413" spans="1:1" x14ac:dyDescent="0.2">
      <c r="A413" s="1"/>
    </row>
    <row r="414" spans="1:1" x14ac:dyDescent="0.2">
      <c r="A414" s="1"/>
    </row>
    <row r="415" spans="1:1" x14ac:dyDescent="0.2">
      <c r="A415" s="1"/>
    </row>
    <row r="416" spans="1:1" x14ac:dyDescent="0.2">
      <c r="A416" s="1"/>
    </row>
    <row r="417" spans="1:1" x14ac:dyDescent="0.2">
      <c r="A417" s="1"/>
    </row>
    <row r="418" spans="1:1" x14ac:dyDescent="0.2">
      <c r="A418" s="1"/>
    </row>
    <row r="419" spans="1:1" x14ac:dyDescent="0.2">
      <c r="A419" s="1"/>
    </row>
    <row r="420" spans="1:1" x14ac:dyDescent="0.2">
      <c r="A420" s="1"/>
    </row>
    <row r="421" spans="1:1" x14ac:dyDescent="0.2">
      <c r="A421" s="1"/>
    </row>
    <row r="422" spans="1:1" x14ac:dyDescent="0.2">
      <c r="A422" s="1"/>
    </row>
    <row r="423" spans="1:1" x14ac:dyDescent="0.2">
      <c r="A423" s="1"/>
    </row>
    <row r="424" spans="1:1" x14ac:dyDescent="0.2">
      <c r="A424" s="1"/>
    </row>
    <row r="425" spans="1:1" x14ac:dyDescent="0.2">
      <c r="A425" s="1"/>
    </row>
    <row r="426" spans="1:1" x14ac:dyDescent="0.2">
      <c r="A426" s="1"/>
    </row>
    <row r="427" spans="1:1" x14ac:dyDescent="0.2">
      <c r="A427" s="1"/>
    </row>
    <row r="428" spans="1:1" x14ac:dyDescent="0.2">
      <c r="A428" s="1"/>
    </row>
    <row r="429" spans="1:1" x14ac:dyDescent="0.2">
      <c r="A429" s="1"/>
    </row>
  </sheetData>
  <mergeCells count="77">
    <mergeCell ref="W9:X9"/>
    <mergeCell ref="P9:Q9"/>
    <mergeCell ref="B9:C9"/>
    <mergeCell ref="D9:E9"/>
    <mergeCell ref="F9:G9"/>
    <mergeCell ref="H9:I9"/>
    <mergeCell ref="J9:K9"/>
    <mergeCell ref="T9:U9"/>
    <mergeCell ref="L22:M22"/>
    <mergeCell ref="N22:O22"/>
    <mergeCell ref="L9:M9"/>
    <mergeCell ref="N9:O9"/>
    <mergeCell ref="R9:S9"/>
    <mergeCell ref="B22:C22"/>
    <mergeCell ref="D22:E22"/>
    <mergeCell ref="F22:G22"/>
    <mergeCell ref="H22:I22"/>
    <mergeCell ref="J22:K22"/>
    <mergeCell ref="P27:Q27"/>
    <mergeCell ref="R27:S27"/>
    <mergeCell ref="W27:X27"/>
    <mergeCell ref="R22:S22"/>
    <mergeCell ref="W22:X22"/>
    <mergeCell ref="P22:Q22"/>
    <mergeCell ref="T22:U22"/>
    <mergeCell ref="T27:U27"/>
    <mergeCell ref="J27:K27"/>
    <mergeCell ref="L27:M27"/>
    <mergeCell ref="N27:O27"/>
    <mergeCell ref="B27:C27"/>
    <mergeCell ref="D27:E27"/>
    <mergeCell ref="F27:G27"/>
    <mergeCell ref="H27:I27"/>
    <mergeCell ref="B37:C37"/>
    <mergeCell ref="D37:E37"/>
    <mergeCell ref="F37:G37"/>
    <mergeCell ref="H37:I37"/>
    <mergeCell ref="P37:Q37"/>
    <mergeCell ref="J37:K37"/>
    <mergeCell ref="L37:M37"/>
    <mergeCell ref="N37:O37"/>
    <mergeCell ref="R29:S29"/>
    <mergeCell ref="W29:X29"/>
    <mergeCell ref="P29:Q29"/>
    <mergeCell ref="B29:C29"/>
    <mergeCell ref="D29:E29"/>
    <mergeCell ref="F29:G29"/>
    <mergeCell ref="H29:I29"/>
    <mergeCell ref="J29:K29"/>
    <mergeCell ref="L29:M29"/>
    <mergeCell ref="N29:O29"/>
    <mergeCell ref="T29:U29"/>
    <mergeCell ref="R37:S37"/>
    <mergeCell ref="W40:X40"/>
    <mergeCell ref="P40:Q40"/>
    <mergeCell ref="R40:S40"/>
    <mergeCell ref="J40:K40"/>
    <mergeCell ref="L40:M40"/>
    <mergeCell ref="N40:O40"/>
    <mergeCell ref="W37:X37"/>
    <mergeCell ref="T37:U37"/>
    <mergeCell ref="T40:U40"/>
    <mergeCell ref="P48:Q48"/>
    <mergeCell ref="R48:S48"/>
    <mergeCell ref="W48:X48"/>
    <mergeCell ref="B48:C48"/>
    <mergeCell ref="D48:E48"/>
    <mergeCell ref="F48:G48"/>
    <mergeCell ref="H48:I48"/>
    <mergeCell ref="J48:K48"/>
    <mergeCell ref="T48:U48"/>
    <mergeCell ref="B40:C40"/>
    <mergeCell ref="D40:E40"/>
    <mergeCell ref="F40:G40"/>
    <mergeCell ref="L48:M48"/>
    <mergeCell ref="N48:O48"/>
    <mergeCell ref="H40:I40"/>
  </mergeCells>
  <printOptions horizontalCentered="1"/>
  <pageMargins left="0.75" right="0.75" top="0.5" bottom="0.5" header="0.25" footer="0.25"/>
  <pageSetup scale="70" orientation="landscape" r:id="rId1"/>
  <headerFooter alignWithMargins="0">
    <oddFooter>&amp;LPrepared by Planning and Analysis&amp;C&amp;P of &amp;N
&amp;RUpdated &amp;D</oddFooter>
  </headerFooter>
  <rowBreaks count="1" manualBreakCount="1">
    <brk id="46" max="21" man="1"/>
  </rowBreaks>
  <colBreaks count="1" manualBreakCount="1">
    <brk id="21" min="8" max="82" man="1"/>
  </colBreaks>
  <ignoredErrors>
    <ignoredError sqref="A63:N83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A420"/>
  <sheetViews>
    <sheetView view="pageBreakPreview" zoomScaleNormal="85" zoomScaleSheetLayoutView="100" workbookViewId="0">
      <pane xSplit="1" ySplit="1" topLeftCell="T2" activePane="bottomRight" state="frozen"/>
      <selection activeCell="T36" sqref="T36:U36"/>
      <selection pane="topRight" activeCell="T36" sqref="T36:U36"/>
      <selection pane="bottomLeft" activeCell="T36" sqref="T36:U36"/>
      <selection pane="bottomRight" activeCell="T36" sqref="T36:U36"/>
    </sheetView>
  </sheetViews>
  <sheetFormatPr defaultColWidth="10.28515625" defaultRowHeight="12.75" x14ac:dyDescent="0.2"/>
  <cols>
    <col min="1" max="1" width="33.5703125" customWidth="1"/>
    <col min="2" max="2" width="6.7109375" hidden="1" customWidth="1"/>
    <col min="3" max="3" width="10.7109375" hidden="1" customWidth="1"/>
    <col min="4" max="4" width="6.7109375" hidden="1" customWidth="1"/>
    <col min="5" max="5" width="10.7109375" hidden="1" customWidth="1"/>
    <col min="6" max="6" width="6.7109375" customWidth="1"/>
    <col min="7" max="7" width="10.7109375" customWidth="1"/>
    <col min="8" max="8" width="6.7109375" customWidth="1"/>
    <col min="9" max="9" width="10.7109375" customWidth="1"/>
    <col min="10" max="10" width="6.7109375" customWidth="1"/>
    <col min="11" max="11" width="10.7109375" customWidth="1"/>
    <col min="12" max="12" width="6.7109375" customWidth="1"/>
    <col min="13" max="13" width="10.7109375" customWidth="1"/>
    <col min="14" max="14" width="6.7109375" customWidth="1"/>
    <col min="15" max="15" width="10.7109375" customWidth="1"/>
    <col min="16" max="16" width="6.7109375" customWidth="1"/>
    <col min="17" max="17" width="10.7109375" customWidth="1"/>
    <col min="18" max="18" width="6.7109375" customWidth="1"/>
    <col min="19" max="19" width="10.7109375" customWidth="1"/>
    <col min="20" max="20" width="6.7109375" customWidth="1"/>
    <col min="21" max="21" width="10.7109375" customWidth="1"/>
    <col min="22" max="22" width="3.28515625" customWidth="1"/>
    <col min="23" max="23" width="6.7109375" customWidth="1"/>
    <col min="24" max="24" width="10.7109375" customWidth="1"/>
    <col min="25" max="25" width="1.5703125" customWidth="1"/>
  </cols>
  <sheetData>
    <row r="1" spans="1:26" ht="15.75" x14ac:dyDescent="0.25">
      <c r="A1" s="667" t="s">
        <v>240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</row>
    <row r="2" spans="1:26" ht="15.75" x14ac:dyDescent="0.25">
      <c r="A2" s="667" t="s">
        <v>241</v>
      </c>
    </row>
    <row r="3" spans="1:26" ht="15.75" x14ac:dyDescent="0.25">
      <c r="A3" s="667"/>
    </row>
    <row r="4" spans="1:26" ht="15.75" x14ac:dyDescent="0.25">
      <c r="A4" s="668" t="s">
        <v>261</v>
      </c>
    </row>
    <row r="5" spans="1:26" ht="15.75" x14ac:dyDescent="0.25">
      <c r="A5" s="668"/>
    </row>
    <row r="6" spans="1:26" x14ac:dyDescent="0.2">
      <c r="A6" s="3" t="s">
        <v>281</v>
      </c>
      <c r="U6" s="65" t="s">
        <v>19</v>
      </c>
    </row>
    <row r="7" spans="1:26" x14ac:dyDescent="0.2">
      <c r="A7" s="720">
        <v>3670020150</v>
      </c>
    </row>
    <row r="8" spans="1:26" ht="13.5" thickBot="1" x14ac:dyDescent="0.25">
      <c r="A8" s="1"/>
    </row>
    <row r="9" spans="1:26" ht="15" customHeight="1" thickTop="1" x14ac:dyDescent="0.2">
      <c r="A9" s="4"/>
      <c r="B9" s="1401" t="s">
        <v>0</v>
      </c>
      <c r="C9" s="1398"/>
      <c r="D9" s="1401" t="s">
        <v>1</v>
      </c>
      <c r="E9" s="1398"/>
      <c r="F9" s="1401" t="s">
        <v>2</v>
      </c>
      <c r="G9" s="1398"/>
      <c r="H9" s="1401" t="s">
        <v>3</v>
      </c>
      <c r="I9" s="1398"/>
      <c r="J9" s="1401" t="s">
        <v>4</v>
      </c>
      <c r="K9" s="1398"/>
      <c r="L9" s="1401" t="s">
        <v>5</v>
      </c>
      <c r="M9" s="1398"/>
      <c r="N9" s="1401" t="s">
        <v>6</v>
      </c>
      <c r="O9" s="1398"/>
      <c r="P9" s="1401" t="s">
        <v>7</v>
      </c>
      <c r="Q9" s="1398"/>
      <c r="R9" s="1401" t="s">
        <v>8</v>
      </c>
      <c r="S9" s="1398"/>
      <c r="T9" s="1401" t="s">
        <v>301</v>
      </c>
      <c r="U9" s="1402"/>
      <c r="W9" s="1407" t="s">
        <v>9</v>
      </c>
      <c r="X9" s="1408"/>
    </row>
    <row r="10" spans="1:26" ht="15" customHeight="1" x14ac:dyDescent="0.2">
      <c r="A10" s="5"/>
      <c r="B10" s="68" t="s">
        <v>287</v>
      </c>
      <c r="C10" s="8" t="s">
        <v>10</v>
      </c>
      <c r="D10" s="68" t="s">
        <v>287</v>
      </c>
      <c r="E10" s="8" t="s">
        <v>10</v>
      </c>
      <c r="F10" s="68" t="s">
        <v>287</v>
      </c>
      <c r="G10" s="8" t="s">
        <v>10</v>
      </c>
      <c r="H10" s="68" t="s">
        <v>287</v>
      </c>
      <c r="I10" s="8" t="s">
        <v>10</v>
      </c>
      <c r="J10" s="68" t="s">
        <v>287</v>
      </c>
      <c r="K10" s="8" t="s">
        <v>10</v>
      </c>
      <c r="L10" s="68" t="s">
        <v>287</v>
      </c>
      <c r="M10" s="8" t="s">
        <v>10</v>
      </c>
      <c r="N10" s="68" t="s">
        <v>287</v>
      </c>
      <c r="O10" s="8" t="s">
        <v>10</v>
      </c>
      <c r="P10" s="68" t="s">
        <v>287</v>
      </c>
      <c r="Q10" s="8" t="s">
        <v>10</v>
      </c>
      <c r="R10" s="68" t="s">
        <v>287</v>
      </c>
      <c r="S10" s="8" t="s">
        <v>10</v>
      </c>
      <c r="T10" s="68" t="s">
        <v>287</v>
      </c>
      <c r="U10" s="97" t="s">
        <v>10</v>
      </c>
      <c r="W10" s="6" t="s">
        <v>287</v>
      </c>
      <c r="X10" s="7" t="s">
        <v>11</v>
      </c>
    </row>
    <row r="11" spans="1:26" ht="15" customHeight="1" thickBot="1" x14ac:dyDescent="0.25">
      <c r="A11" s="70" t="s">
        <v>77</v>
      </c>
      <c r="B11" s="69" t="s">
        <v>12</v>
      </c>
      <c r="C11" s="922" t="s">
        <v>13</v>
      </c>
      <c r="D11" s="69" t="s">
        <v>12</v>
      </c>
      <c r="E11" s="922" t="s">
        <v>13</v>
      </c>
      <c r="F11" s="69" t="s">
        <v>12</v>
      </c>
      <c r="G11" s="922" t="s">
        <v>13</v>
      </c>
      <c r="H11" s="69" t="s">
        <v>12</v>
      </c>
      <c r="I11" s="922" t="s">
        <v>13</v>
      </c>
      <c r="J11" s="69" t="s">
        <v>12</v>
      </c>
      <c r="K11" s="922" t="s">
        <v>13</v>
      </c>
      <c r="L11" s="69" t="s">
        <v>12</v>
      </c>
      <c r="M11" s="922" t="s">
        <v>13</v>
      </c>
      <c r="N11" s="69" t="s">
        <v>12</v>
      </c>
      <c r="O11" s="922" t="s">
        <v>13</v>
      </c>
      <c r="P11" s="69" t="s">
        <v>12</v>
      </c>
      <c r="Q11" s="922" t="s">
        <v>13</v>
      </c>
      <c r="R11" s="69" t="s">
        <v>12</v>
      </c>
      <c r="S11" s="922" t="s">
        <v>13</v>
      </c>
      <c r="T11" s="69" t="s">
        <v>12</v>
      </c>
      <c r="U11" s="10" t="s">
        <v>13</v>
      </c>
      <c r="W11" s="9" t="s">
        <v>12</v>
      </c>
      <c r="X11" s="10" t="s">
        <v>13</v>
      </c>
    </row>
    <row r="12" spans="1:26" ht="24" x14ac:dyDescent="0.2">
      <c r="A12" s="460" t="s">
        <v>108</v>
      </c>
      <c r="B12" s="258"/>
      <c r="C12" s="259"/>
      <c r="D12" s="11"/>
      <c r="E12" s="12"/>
      <c r="F12" s="13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5"/>
      <c r="V12" s="564"/>
      <c r="W12" s="16"/>
      <c r="X12" s="17"/>
    </row>
    <row r="13" spans="1:26" s="23" customFormat="1" ht="15" customHeight="1" x14ac:dyDescent="0.2">
      <c r="A13" s="18" t="s">
        <v>15</v>
      </c>
      <c r="B13" s="20">
        <v>312</v>
      </c>
      <c r="C13" s="262"/>
      <c r="D13" s="22">
        <v>305</v>
      </c>
      <c r="E13" s="264"/>
      <c r="F13" s="20">
        <v>246</v>
      </c>
      <c r="G13" s="264"/>
      <c r="H13" s="20">
        <v>241</v>
      </c>
      <c r="I13" s="264"/>
      <c r="J13" s="20">
        <v>221</v>
      </c>
      <c r="K13" s="264"/>
      <c r="L13" s="20">
        <v>259</v>
      </c>
      <c r="M13" s="264"/>
      <c r="N13" s="20">
        <v>291</v>
      </c>
      <c r="O13" s="264"/>
      <c r="P13" s="20">
        <v>259</v>
      </c>
      <c r="Q13" s="264"/>
      <c r="R13" s="20">
        <f>113+126+5</f>
        <v>244</v>
      </c>
      <c r="S13" s="264"/>
      <c r="T13" s="20">
        <f>58+149+4</f>
        <v>211</v>
      </c>
      <c r="U13" s="266"/>
      <c r="W13" s="16">
        <f>AVERAGE(N13,L13,R13,T13,P13)</f>
        <v>252.8</v>
      </c>
      <c r="X13" s="24"/>
    </row>
    <row r="14" spans="1:26" s="23" customFormat="1" ht="15" customHeight="1" thickBot="1" x14ac:dyDescent="0.25">
      <c r="A14" s="27" t="s">
        <v>16</v>
      </c>
      <c r="B14" s="29">
        <v>344</v>
      </c>
      <c r="C14" s="263"/>
      <c r="D14" s="86">
        <v>305</v>
      </c>
      <c r="E14" s="265"/>
      <c r="F14" s="29">
        <v>276</v>
      </c>
      <c r="G14" s="265"/>
      <c r="H14" s="29">
        <v>263</v>
      </c>
      <c r="I14" s="265"/>
      <c r="J14" s="29">
        <v>238</v>
      </c>
      <c r="K14" s="265"/>
      <c r="L14" s="29">
        <v>287</v>
      </c>
      <c r="M14" s="265"/>
      <c r="N14" s="29">
        <v>304</v>
      </c>
      <c r="O14" s="265"/>
      <c r="P14" s="29">
        <v>324</v>
      </c>
      <c r="Q14" s="265"/>
      <c r="R14" s="29">
        <f>142+142</f>
        <v>284</v>
      </c>
      <c r="S14" s="265"/>
      <c r="T14" s="29">
        <f>232+36</f>
        <v>268</v>
      </c>
      <c r="U14" s="267"/>
      <c r="W14" s="16">
        <f>AVERAGE(N14,L14,R14,T14,P14)</f>
        <v>293.39999999999998</v>
      </c>
      <c r="X14" s="174"/>
    </row>
    <row r="15" spans="1:26" s="73" customFormat="1" ht="15" customHeight="1" thickBot="1" x14ac:dyDescent="0.25">
      <c r="A15" s="98" t="s">
        <v>17</v>
      </c>
      <c r="B15" s="89">
        <f t="shared" ref="B15:R15" si="0">SUM(B13:B14)</f>
        <v>656</v>
      </c>
      <c r="C15" s="100">
        <v>152</v>
      </c>
      <c r="D15" s="89">
        <f t="shared" si="0"/>
        <v>610</v>
      </c>
      <c r="E15" s="100">
        <v>104</v>
      </c>
      <c r="F15" s="89">
        <f t="shared" si="0"/>
        <v>522</v>
      </c>
      <c r="G15" s="100">
        <v>129</v>
      </c>
      <c r="H15" s="89">
        <f t="shared" si="0"/>
        <v>504</v>
      </c>
      <c r="I15" s="100">
        <v>127</v>
      </c>
      <c r="J15" s="89">
        <f t="shared" si="0"/>
        <v>459</v>
      </c>
      <c r="K15" s="100">
        <v>107</v>
      </c>
      <c r="L15" s="89">
        <f t="shared" si="0"/>
        <v>546</v>
      </c>
      <c r="M15" s="100">
        <v>96</v>
      </c>
      <c r="N15" s="89">
        <f t="shared" si="0"/>
        <v>595</v>
      </c>
      <c r="O15" s="100">
        <v>117</v>
      </c>
      <c r="P15" s="89">
        <f t="shared" si="0"/>
        <v>583</v>
      </c>
      <c r="Q15" s="100">
        <v>127</v>
      </c>
      <c r="R15" s="89">
        <f t="shared" si="0"/>
        <v>528</v>
      </c>
      <c r="S15" s="100">
        <v>114</v>
      </c>
      <c r="T15" s="89">
        <v>479</v>
      </c>
      <c r="U15" s="1281">
        <f t="shared" ref="U15" si="1">SUM(U13:U14)</f>
        <v>0</v>
      </c>
      <c r="W15" s="482">
        <f>AVERAGE(N15,L15,R15,T15,P15)</f>
        <v>546.20000000000005</v>
      </c>
      <c r="X15" s="483">
        <f>AVERAGE(O15,M15,K15,S15,Q15)</f>
        <v>112.2</v>
      </c>
    </row>
    <row r="16" spans="1:26" s="23" customFormat="1" ht="15" customHeight="1" x14ac:dyDescent="0.2">
      <c r="A16" s="28" t="s">
        <v>18</v>
      </c>
      <c r="B16" s="498">
        <v>19</v>
      </c>
      <c r="C16" s="499">
        <v>0</v>
      </c>
      <c r="D16" s="498">
        <v>55</v>
      </c>
      <c r="E16" s="500">
        <v>14</v>
      </c>
      <c r="F16" s="501">
        <v>60</v>
      </c>
      <c r="G16" s="500">
        <v>15</v>
      </c>
      <c r="H16" s="501">
        <v>65</v>
      </c>
      <c r="I16" s="500">
        <v>6</v>
      </c>
      <c r="J16" s="501">
        <v>57</v>
      </c>
      <c r="K16" s="500">
        <v>24</v>
      </c>
      <c r="L16" s="501">
        <v>50</v>
      </c>
      <c r="M16" s="500">
        <v>24</v>
      </c>
      <c r="N16" s="501">
        <v>68</v>
      </c>
      <c r="O16" s="500">
        <v>27</v>
      </c>
      <c r="P16" s="501">
        <v>66</v>
      </c>
      <c r="Q16" s="500">
        <v>37</v>
      </c>
      <c r="R16" s="501">
        <v>80</v>
      </c>
      <c r="S16" s="500">
        <v>42</v>
      </c>
      <c r="T16" s="20">
        <v>85</v>
      </c>
      <c r="U16" s="152"/>
      <c r="W16" s="16">
        <f>AVERAGE(N16,L16,R16,T16,P16)</f>
        <v>69.8</v>
      </c>
      <c r="X16" s="470">
        <f t="shared" ref="X16:X17" si="2">AVERAGE(O16,M16,K16,S16,Q16)</f>
        <v>30.8</v>
      </c>
      <c r="Z16" s="23" t="s">
        <v>19</v>
      </c>
    </row>
    <row r="17" spans="1:27" s="23" customFormat="1" ht="15" customHeight="1" thickBot="1" x14ac:dyDescent="0.25">
      <c r="A17" s="30" t="s">
        <v>20</v>
      </c>
      <c r="B17" s="253">
        <v>20</v>
      </c>
      <c r="C17" s="34">
        <v>9</v>
      </c>
      <c r="D17" s="253">
        <v>19</v>
      </c>
      <c r="E17" s="32">
        <v>9</v>
      </c>
      <c r="F17" s="256">
        <v>16</v>
      </c>
      <c r="G17" s="32">
        <v>12</v>
      </c>
      <c r="H17" s="256">
        <v>20</v>
      </c>
      <c r="I17" s="32">
        <v>6</v>
      </c>
      <c r="J17" s="256">
        <v>24</v>
      </c>
      <c r="K17" s="32">
        <v>8</v>
      </c>
      <c r="L17" s="256">
        <f>18+2</f>
        <v>20</v>
      </c>
      <c r="M17" s="32">
        <v>2</v>
      </c>
      <c r="N17" s="256">
        <v>19</v>
      </c>
      <c r="O17" s="32">
        <v>10</v>
      </c>
      <c r="P17" s="256">
        <v>21</v>
      </c>
      <c r="Q17" s="32">
        <v>7</v>
      </c>
      <c r="R17" s="256">
        <v>21</v>
      </c>
      <c r="S17" s="32">
        <v>7</v>
      </c>
      <c r="T17" s="33">
        <v>23</v>
      </c>
      <c r="U17" s="1282"/>
      <c r="W17" s="16">
        <f>AVERAGE(N17,L17,R17,T17,P17)</f>
        <v>20.8</v>
      </c>
      <c r="X17" s="470">
        <f t="shared" si="2"/>
        <v>6.8</v>
      </c>
    </row>
    <row r="18" spans="1:27" ht="18" customHeight="1" thickTop="1" thickBot="1" x14ac:dyDescent="0.25">
      <c r="A18" s="298" t="s">
        <v>71</v>
      </c>
      <c r="B18" s="1380"/>
      <c r="C18" s="1381"/>
      <c r="D18" s="1380"/>
      <c r="E18" s="1381"/>
      <c r="F18" s="1380"/>
      <c r="G18" s="1381"/>
      <c r="H18" s="1380"/>
      <c r="I18" s="1381"/>
      <c r="J18" s="1380"/>
      <c r="K18" s="1381"/>
      <c r="L18" s="1380"/>
      <c r="M18" s="1381"/>
      <c r="N18" s="1380"/>
      <c r="O18" s="1381"/>
      <c r="P18" s="1380"/>
      <c r="Q18" s="1381"/>
      <c r="R18" s="1380"/>
      <c r="S18" s="1381"/>
      <c r="T18" s="1380"/>
      <c r="U18" s="1383"/>
      <c r="V18" s="226"/>
      <c r="W18" s="1382"/>
      <c r="X18" s="1383"/>
    </row>
    <row r="19" spans="1:27" ht="15" customHeight="1" x14ac:dyDescent="0.2">
      <c r="A19" s="1226" t="s">
        <v>79</v>
      </c>
      <c r="B19" s="300"/>
      <c r="C19" s="385"/>
      <c r="D19" s="384"/>
      <c r="E19" s="385"/>
      <c r="F19" s="384"/>
      <c r="G19" s="385"/>
      <c r="H19" s="384"/>
      <c r="I19" s="385"/>
      <c r="J19" s="384"/>
      <c r="K19" s="385"/>
      <c r="L19" s="384"/>
      <c r="M19" s="385"/>
      <c r="N19" s="384"/>
      <c r="O19" s="385"/>
      <c r="P19" s="384"/>
      <c r="Q19" s="385"/>
      <c r="R19" s="384"/>
      <c r="S19" s="385"/>
      <c r="T19" s="384"/>
      <c r="U19" s="386"/>
      <c r="V19" s="226"/>
      <c r="W19" s="851"/>
      <c r="X19" s="852" t="e">
        <f>AVERAGE(O19,M19,I19,K19,Q19)</f>
        <v>#DIV/0!</v>
      </c>
    </row>
    <row r="20" spans="1:27" ht="15" customHeight="1" x14ac:dyDescent="0.2">
      <c r="A20" s="303" t="s">
        <v>72</v>
      </c>
      <c r="B20" s="304"/>
      <c r="C20" s="388">
        <v>0.73</v>
      </c>
      <c r="D20" s="387"/>
      <c r="E20" s="388">
        <v>0.81</v>
      </c>
      <c r="F20" s="387"/>
      <c r="G20" s="388">
        <v>0.72</v>
      </c>
      <c r="H20" s="387"/>
      <c r="I20" s="388">
        <v>0.75</v>
      </c>
      <c r="J20" s="387"/>
      <c r="K20" s="388">
        <v>0.81</v>
      </c>
      <c r="L20" s="387"/>
      <c r="M20" s="388">
        <v>0.83</v>
      </c>
      <c r="N20" s="387"/>
      <c r="O20" s="388">
        <v>0.84</v>
      </c>
      <c r="P20" s="387"/>
      <c r="Q20" s="388">
        <v>0.85</v>
      </c>
      <c r="R20" s="387"/>
      <c r="S20" s="388"/>
      <c r="T20" s="387"/>
      <c r="U20" s="1271"/>
      <c r="V20" s="226"/>
      <c r="W20" s="853"/>
      <c r="X20" s="1255">
        <f t="shared" ref="X20:X21" si="3">AVERAGE(O20,M20,K20,S20,Q20)</f>
        <v>0.83250000000000002</v>
      </c>
    </row>
    <row r="21" spans="1:27" ht="15" customHeight="1" thickBot="1" x14ac:dyDescent="0.25">
      <c r="A21" s="539" t="s">
        <v>73</v>
      </c>
      <c r="B21" s="546"/>
      <c r="C21" s="541">
        <v>0.17</v>
      </c>
      <c r="D21" s="540"/>
      <c r="E21" s="541">
        <v>0.08</v>
      </c>
      <c r="F21" s="540"/>
      <c r="G21" s="541">
        <v>0.11</v>
      </c>
      <c r="H21" s="540"/>
      <c r="I21" s="541">
        <v>0.12</v>
      </c>
      <c r="J21" s="540"/>
      <c r="K21" s="541">
        <v>0.09</v>
      </c>
      <c r="L21" s="540"/>
      <c r="M21" s="541">
        <v>0.09</v>
      </c>
      <c r="N21" s="540"/>
      <c r="O21" s="541">
        <v>0.08</v>
      </c>
      <c r="P21" s="540"/>
      <c r="Q21" s="541">
        <v>0.1</v>
      </c>
      <c r="R21" s="540"/>
      <c r="S21" s="541"/>
      <c r="T21" s="540"/>
      <c r="U21" s="1272"/>
      <c r="V21" s="226"/>
      <c r="W21" s="854"/>
      <c r="X21" s="1255">
        <f t="shared" si="3"/>
        <v>0.09</v>
      </c>
    </row>
    <row r="22" spans="1:27" ht="18" customHeight="1" thickTop="1" thickBot="1" x14ac:dyDescent="0.25">
      <c r="A22" s="221" t="s">
        <v>78</v>
      </c>
      <c r="B22" s="1380"/>
      <c r="C22" s="1381"/>
      <c r="D22" s="1380"/>
      <c r="E22" s="1381"/>
      <c r="F22" s="1380"/>
      <c r="G22" s="1381"/>
      <c r="H22" s="1380"/>
      <c r="I22" s="1381"/>
      <c r="J22" s="1380"/>
      <c r="K22" s="1381"/>
      <c r="L22" s="1380"/>
      <c r="M22" s="1381"/>
      <c r="N22" s="1380"/>
      <c r="O22" s="1381"/>
      <c r="P22" s="1380"/>
      <c r="Q22" s="1381"/>
      <c r="R22" s="1380"/>
      <c r="S22" s="1381"/>
      <c r="T22" s="1380"/>
      <c r="U22" s="1383"/>
      <c r="V22" s="226"/>
      <c r="W22" s="1382"/>
      <c r="X22" s="1383"/>
    </row>
    <row r="23" spans="1:27" ht="15" customHeight="1" thickBot="1" x14ac:dyDescent="0.25">
      <c r="A23" s="222" t="s">
        <v>143</v>
      </c>
      <c r="B23" s="223"/>
      <c r="C23" s="224">
        <v>23.9</v>
      </c>
      <c r="D23" s="223"/>
      <c r="E23" s="224">
        <v>23.7</v>
      </c>
      <c r="F23" s="223"/>
      <c r="G23" s="224">
        <v>23.8</v>
      </c>
      <c r="H23" s="223"/>
      <c r="I23" s="224">
        <v>23.4</v>
      </c>
      <c r="J23" s="223"/>
      <c r="K23" s="224">
        <v>23.6</v>
      </c>
      <c r="L23" s="223"/>
      <c r="M23" s="224">
        <v>23.5</v>
      </c>
      <c r="N23" s="223"/>
      <c r="O23" s="224">
        <v>23.4</v>
      </c>
      <c r="P23" s="223"/>
      <c r="Q23" s="224">
        <v>23.2</v>
      </c>
      <c r="R23" s="223"/>
      <c r="S23" s="224">
        <v>23.4</v>
      </c>
      <c r="T23" s="223"/>
      <c r="U23" s="225"/>
      <c r="V23" s="226"/>
      <c r="W23" s="247"/>
      <c r="X23" s="248">
        <f>AVERAGE(O23,M23,S23,U23,Q23)</f>
        <v>23.375</v>
      </c>
    </row>
    <row r="24" spans="1:27" ht="18" customHeight="1" thickTop="1" thickBot="1" x14ac:dyDescent="0.25">
      <c r="A24" s="314" t="s">
        <v>22</v>
      </c>
      <c r="B24" s="1380"/>
      <c r="C24" s="1381"/>
      <c r="D24" s="1380"/>
      <c r="E24" s="1381"/>
      <c r="F24" s="1380"/>
      <c r="G24" s="1381"/>
      <c r="H24" s="1380"/>
      <c r="I24" s="1381"/>
      <c r="J24" s="1380"/>
      <c r="K24" s="1381"/>
      <c r="L24" s="1380"/>
      <c r="M24" s="1381"/>
      <c r="N24" s="1380"/>
      <c r="O24" s="1381"/>
      <c r="P24" s="1380"/>
      <c r="Q24" s="1381"/>
      <c r="R24" s="1380"/>
      <c r="S24" s="1381"/>
      <c r="T24" s="1380"/>
      <c r="U24" s="1383"/>
      <c r="V24" s="226"/>
      <c r="W24" s="1382"/>
      <c r="X24" s="1383"/>
    </row>
    <row r="25" spans="1:27" ht="15" customHeight="1" x14ac:dyDescent="0.2">
      <c r="A25" s="305" t="s">
        <v>24</v>
      </c>
      <c r="B25" s="315"/>
      <c r="C25" s="48">
        <v>5910</v>
      </c>
      <c r="D25" s="45"/>
      <c r="E25" s="47">
        <v>5376</v>
      </c>
      <c r="F25" s="46"/>
      <c r="G25" s="47">
        <v>4628</v>
      </c>
      <c r="H25" s="46"/>
      <c r="I25" s="47">
        <v>5047</v>
      </c>
      <c r="J25" s="46"/>
      <c r="K25" s="47">
        <v>5344</v>
      </c>
      <c r="L25" s="46"/>
      <c r="M25" s="47">
        <v>5591</v>
      </c>
      <c r="N25" s="46"/>
      <c r="O25" s="47">
        <v>5997</v>
      </c>
      <c r="P25" s="46"/>
      <c r="Q25" s="47">
        <v>5613</v>
      </c>
      <c r="R25" s="46"/>
      <c r="S25" s="47">
        <v>4743</v>
      </c>
      <c r="T25" s="315"/>
      <c r="U25" s="1273"/>
      <c r="V25" s="226"/>
      <c r="W25" s="50"/>
      <c r="X25" s="51">
        <f>AVERAGE(O25,M25,S25,K25,Q25)</f>
        <v>5457.6</v>
      </c>
    </row>
    <row r="26" spans="1:27" ht="15" customHeight="1" x14ac:dyDescent="0.2">
      <c r="A26" s="305" t="s">
        <v>25</v>
      </c>
      <c r="B26" s="315"/>
      <c r="C26" s="48">
        <v>3883</v>
      </c>
      <c r="D26" s="45"/>
      <c r="E26" s="47">
        <v>3989</v>
      </c>
      <c r="F26" s="46"/>
      <c r="G26" s="47">
        <v>3962</v>
      </c>
      <c r="H26" s="46"/>
      <c r="I26" s="47">
        <v>3720</v>
      </c>
      <c r="J26" s="46"/>
      <c r="K26" s="47">
        <v>3627</v>
      </c>
      <c r="L26" s="46"/>
      <c r="M26" s="47">
        <v>3928</v>
      </c>
      <c r="N26" s="46"/>
      <c r="O26" s="47">
        <v>4584</v>
      </c>
      <c r="P26" s="46"/>
      <c r="Q26" s="47">
        <v>3945</v>
      </c>
      <c r="R26" s="46"/>
      <c r="S26" s="47">
        <v>4002</v>
      </c>
      <c r="T26" s="315"/>
      <c r="U26" s="1273"/>
      <c r="V26" s="226"/>
      <c r="W26" s="52"/>
      <c r="X26" s="51">
        <f t="shared" ref="X26:X29" si="4">AVERAGE(O26,M26,S26,K26,Q26)</f>
        <v>4017.2</v>
      </c>
    </row>
    <row r="27" spans="1:27" ht="15" customHeight="1" x14ac:dyDescent="0.2">
      <c r="A27" s="305" t="s">
        <v>26</v>
      </c>
      <c r="B27" s="315"/>
      <c r="C27" s="48">
        <v>203</v>
      </c>
      <c r="D27" s="45"/>
      <c r="E27" s="47">
        <v>167</v>
      </c>
      <c r="F27" s="46"/>
      <c r="G27" s="47">
        <v>184</v>
      </c>
      <c r="H27" s="46"/>
      <c r="I27" s="47">
        <v>170</v>
      </c>
      <c r="J27" s="46"/>
      <c r="K27" s="47">
        <v>268</v>
      </c>
      <c r="L27" s="46"/>
      <c r="M27" s="47">
        <v>251</v>
      </c>
      <c r="N27" s="46"/>
      <c r="O27" s="47">
        <v>267</v>
      </c>
      <c r="P27" s="46"/>
      <c r="Q27" s="47">
        <v>266</v>
      </c>
      <c r="R27" s="46"/>
      <c r="S27" s="47">
        <v>224</v>
      </c>
      <c r="T27" s="315"/>
      <c r="U27" s="1273"/>
      <c r="V27" s="226"/>
      <c r="W27" s="52"/>
      <c r="X27" s="51">
        <f t="shared" si="4"/>
        <v>255.2</v>
      </c>
    </row>
    <row r="28" spans="1:27" ht="15" customHeight="1" thickBot="1" x14ac:dyDescent="0.25">
      <c r="A28" s="1237" t="s">
        <v>27</v>
      </c>
      <c r="B28" s="83"/>
      <c r="C28" s="54">
        <v>0</v>
      </c>
      <c r="D28" s="45"/>
      <c r="E28" s="53">
        <v>0</v>
      </c>
      <c r="F28" s="46"/>
      <c r="G28" s="53">
        <v>0</v>
      </c>
      <c r="H28" s="46"/>
      <c r="I28" s="53">
        <v>0</v>
      </c>
      <c r="J28" s="46"/>
      <c r="K28" s="53">
        <v>0</v>
      </c>
      <c r="L28" s="46"/>
      <c r="M28" s="53">
        <v>0</v>
      </c>
      <c r="N28" s="46"/>
      <c r="O28" s="53">
        <v>0</v>
      </c>
      <c r="P28" s="46"/>
      <c r="Q28" s="53">
        <v>0</v>
      </c>
      <c r="R28" s="46"/>
      <c r="S28" s="53">
        <v>0</v>
      </c>
      <c r="T28" s="83"/>
      <c r="U28" s="1274"/>
      <c r="V28" s="226"/>
      <c r="W28" s="63"/>
      <c r="X28" s="484">
        <f t="shared" si="4"/>
        <v>0</v>
      </c>
    </row>
    <row r="29" spans="1:27" ht="15" customHeight="1" thickBot="1" x14ac:dyDescent="0.25">
      <c r="A29" s="1236" t="s">
        <v>28</v>
      </c>
      <c r="B29" s="328"/>
      <c r="C29" s="329">
        <f>SUM(C25:C28)</f>
        <v>9996</v>
      </c>
      <c r="D29" s="330"/>
      <c r="E29" s="331">
        <f>SUM(E25:E28)</f>
        <v>9532</v>
      </c>
      <c r="F29" s="328"/>
      <c r="G29" s="331">
        <f>SUM(G25:G28)</f>
        <v>8774</v>
      </c>
      <c r="H29" s="328"/>
      <c r="I29" s="331">
        <f>SUM(I25:I28)</f>
        <v>8937</v>
      </c>
      <c r="J29" s="328"/>
      <c r="K29" s="331">
        <f>SUM(K25:K28)</f>
        <v>9239</v>
      </c>
      <c r="L29" s="328"/>
      <c r="M29" s="331">
        <f>SUM(M25:M28)</f>
        <v>9770</v>
      </c>
      <c r="N29" s="328"/>
      <c r="O29" s="331">
        <f>SUM(O25:O28)</f>
        <v>10848</v>
      </c>
      <c r="P29" s="328"/>
      <c r="Q29" s="331">
        <f>SUM(Q25:Q28)</f>
        <v>9824</v>
      </c>
      <c r="R29" s="328"/>
      <c r="S29" s="331">
        <f>SUM(S25:S28)</f>
        <v>8969</v>
      </c>
      <c r="T29" s="328"/>
      <c r="U29" s="1277">
        <f>SUM(U25:U28)</f>
        <v>0</v>
      </c>
      <c r="V29" s="226"/>
      <c r="W29" s="485"/>
      <c r="X29" s="486">
        <f t="shared" si="4"/>
        <v>9730</v>
      </c>
    </row>
    <row r="30" spans="1:27" ht="15" customHeight="1" thickTop="1" thickBot="1" x14ac:dyDescent="0.25">
      <c r="A30" s="280"/>
      <c r="B30" s="332"/>
      <c r="C30" s="333"/>
      <c r="D30" s="332"/>
      <c r="E30" s="333"/>
      <c r="F30" s="332"/>
      <c r="G30" s="333"/>
      <c r="H30" s="332"/>
      <c r="I30" s="333"/>
      <c r="J30" s="332"/>
      <c r="K30" s="333"/>
      <c r="L30" s="332"/>
      <c r="M30" s="333"/>
      <c r="N30" s="332"/>
      <c r="O30" s="333"/>
      <c r="P30" s="332"/>
      <c r="Q30" s="333"/>
      <c r="R30" s="332"/>
      <c r="S30" s="333"/>
      <c r="T30" s="332"/>
      <c r="U30" s="333"/>
      <c r="V30" s="334"/>
      <c r="W30" s="335"/>
      <c r="X30" s="333"/>
    </row>
    <row r="31" spans="1:27" ht="18" customHeight="1" thickTop="1" thickBot="1" x14ac:dyDescent="0.25">
      <c r="A31" s="175" t="s">
        <v>29</v>
      </c>
      <c r="B31" s="1385" t="s">
        <v>30</v>
      </c>
      <c r="C31" s="1395"/>
      <c r="D31" s="1385" t="s">
        <v>31</v>
      </c>
      <c r="E31" s="1396"/>
      <c r="F31" s="1385" t="s">
        <v>32</v>
      </c>
      <c r="G31" s="1396"/>
      <c r="H31" s="1385" t="s">
        <v>33</v>
      </c>
      <c r="I31" s="1396"/>
      <c r="J31" s="1385" t="s">
        <v>34</v>
      </c>
      <c r="K31" s="1396"/>
      <c r="L31" s="1385" t="s">
        <v>35</v>
      </c>
      <c r="M31" s="1396"/>
      <c r="N31" s="1385" t="s">
        <v>36</v>
      </c>
      <c r="O31" s="1396"/>
      <c r="P31" s="1385" t="s">
        <v>37</v>
      </c>
      <c r="Q31" s="1396"/>
      <c r="R31" s="1385" t="s">
        <v>38</v>
      </c>
      <c r="S31" s="1396"/>
      <c r="T31" s="1385" t="s">
        <v>302</v>
      </c>
      <c r="U31" s="1386"/>
      <c r="V31" s="176"/>
      <c r="W31" s="1382" t="s">
        <v>9</v>
      </c>
      <c r="X31" s="1383"/>
      <c r="Y31" s="56"/>
      <c r="Z31" s="56"/>
      <c r="AA31" s="57"/>
    </row>
    <row r="32" spans="1:27" ht="15" customHeight="1" x14ac:dyDescent="0.2">
      <c r="A32" s="1070" t="s">
        <v>244</v>
      </c>
      <c r="B32" s="177"/>
      <c r="C32" s="154">
        <v>0.54900000000000004</v>
      </c>
      <c r="D32" s="281"/>
      <c r="E32" s="129">
        <v>0.54</v>
      </c>
      <c r="F32" s="282"/>
      <c r="G32" s="129">
        <v>0.55800000000000005</v>
      </c>
      <c r="H32" s="128"/>
      <c r="I32" s="129">
        <v>0.52900000000000003</v>
      </c>
      <c r="J32" s="128"/>
      <c r="K32" s="129">
        <v>0.46800000000000003</v>
      </c>
      <c r="L32" s="128"/>
      <c r="M32" s="129">
        <v>0.54200000000000004</v>
      </c>
      <c r="N32" s="128"/>
      <c r="O32" s="129">
        <v>0.58599999999999997</v>
      </c>
      <c r="P32" s="128"/>
      <c r="Q32" s="129">
        <v>0.55000000000000004</v>
      </c>
      <c r="R32" s="128"/>
      <c r="S32" s="129">
        <v>0.53300000000000003</v>
      </c>
      <c r="T32" s="181"/>
      <c r="U32" s="182">
        <v>0.59799999999999998</v>
      </c>
      <c r="V32" s="183"/>
      <c r="W32" s="469"/>
      <c r="X32" s="594">
        <f>AVERAGE(Q32,O32,M32,U32,S32)</f>
        <v>0.56180000000000008</v>
      </c>
      <c r="Y32" s="56"/>
      <c r="Z32" s="56"/>
      <c r="AA32" s="57"/>
    </row>
    <row r="33" spans="1:27" ht="15" customHeight="1" x14ac:dyDescent="0.2">
      <c r="A33" s="1069" t="s">
        <v>245</v>
      </c>
      <c r="B33" s="184"/>
      <c r="C33" s="155">
        <v>2.1999999999999999E-2</v>
      </c>
      <c r="D33" s="283"/>
      <c r="E33" s="131">
        <v>2.5000000000000001E-2</v>
      </c>
      <c r="F33" s="284"/>
      <c r="G33" s="131">
        <v>2.3E-2</v>
      </c>
      <c r="H33" s="130"/>
      <c r="I33" s="131">
        <v>2.8000000000000001E-2</v>
      </c>
      <c r="J33" s="130"/>
      <c r="K33" s="131">
        <v>2.9000000000000001E-2</v>
      </c>
      <c r="L33" s="130"/>
      <c r="M33" s="131">
        <v>2.1999999999999999E-2</v>
      </c>
      <c r="N33" s="130"/>
      <c r="O33" s="131">
        <v>2.3E-2</v>
      </c>
      <c r="P33" s="130"/>
      <c r="Q33" s="131">
        <v>2.1000000000000001E-2</v>
      </c>
      <c r="R33" s="130"/>
      <c r="S33" s="131">
        <v>2.4E-2</v>
      </c>
      <c r="T33" s="186"/>
      <c r="U33" s="187">
        <v>2.3E-2</v>
      </c>
      <c r="V33" s="183"/>
      <c r="W33" s="469"/>
      <c r="X33" s="594">
        <f>AVERAGE(Q33,O33,M33,U33,S33)</f>
        <v>2.2599999999999999E-2</v>
      </c>
      <c r="Y33" s="56"/>
      <c r="Z33" s="56"/>
      <c r="AA33" s="57"/>
    </row>
    <row r="34" spans="1:27" ht="15" customHeight="1" thickBot="1" x14ac:dyDescent="0.25">
      <c r="A34" s="189" t="s">
        <v>243</v>
      </c>
      <c r="B34" s="1403">
        <f>1-C32-C33</f>
        <v>0.42899999999999994</v>
      </c>
      <c r="C34" s="1404"/>
      <c r="D34" s="1403">
        <f>1-E32-E33</f>
        <v>0.43499999999999994</v>
      </c>
      <c r="E34" s="1404"/>
      <c r="F34" s="1403">
        <f>1-G32-G33</f>
        <v>0.41899999999999993</v>
      </c>
      <c r="G34" s="1404"/>
      <c r="H34" s="1403">
        <f>1-I32-I33</f>
        <v>0.44299999999999995</v>
      </c>
      <c r="I34" s="1404"/>
      <c r="J34" s="1403">
        <f>1-K32-K33</f>
        <v>0.503</v>
      </c>
      <c r="K34" s="1404"/>
      <c r="L34" s="1403">
        <f>1-M32-M33</f>
        <v>0.43599999999999994</v>
      </c>
      <c r="M34" s="1404"/>
      <c r="N34" s="1403">
        <f>1-O32-O33</f>
        <v>0.39100000000000001</v>
      </c>
      <c r="O34" s="1404"/>
      <c r="P34" s="1403">
        <f>1-Q32-Q33</f>
        <v>0.42899999999999994</v>
      </c>
      <c r="Q34" s="1404"/>
      <c r="R34" s="1403">
        <f>1-S32-S33</f>
        <v>0.44299999999999995</v>
      </c>
      <c r="S34" s="1404"/>
      <c r="T34" s="1403">
        <f>1-U32-U33</f>
        <v>0.379</v>
      </c>
      <c r="U34" s="1406"/>
      <c r="V34" s="183"/>
      <c r="W34" s="1390">
        <f>1-X32-X33</f>
        <v>0.41559999999999991</v>
      </c>
      <c r="X34" s="1391"/>
      <c r="Y34" s="58"/>
      <c r="Z34" s="56"/>
      <c r="AA34" s="57"/>
    </row>
    <row r="35" spans="1:27" s="3" customFormat="1" ht="18" customHeight="1" thickTop="1" thickBot="1" x14ac:dyDescent="0.25">
      <c r="A35" s="194" t="s">
        <v>67</v>
      </c>
      <c r="B35" s="227" t="s">
        <v>39</v>
      </c>
      <c r="C35" s="228" t="s">
        <v>74</v>
      </c>
      <c r="D35" s="227" t="s">
        <v>39</v>
      </c>
      <c r="E35" s="228" t="s">
        <v>74</v>
      </c>
      <c r="F35" s="227" t="s">
        <v>39</v>
      </c>
      <c r="G35" s="228" t="s">
        <v>74</v>
      </c>
      <c r="H35" s="227" t="s">
        <v>39</v>
      </c>
      <c r="I35" s="228" t="s">
        <v>74</v>
      </c>
      <c r="J35" s="227" t="s">
        <v>39</v>
      </c>
      <c r="K35" s="228" t="s">
        <v>74</v>
      </c>
      <c r="L35" s="227" t="s">
        <v>39</v>
      </c>
      <c r="M35" s="228" t="s">
        <v>74</v>
      </c>
      <c r="N35" s="227" t="s">
        <v>39</v>
      </c>
      <c r="O35" s="228" t="s">
        <v>74</v>
      </c>
      <c r="P35" s="227" t="s">
        <v>39</v>
      </c>
      <c r="Q35" s="228" t="s">
        <v>74</v>
      </c>
      <c r="R35" s="227" t="s">
        <v>39</v>
      </c>
      <c r="S35" s="228" t="s">
        <v>74</v>
      </c>
      <c r="T35" s="227" t="s">
        <v>39</v>
      </c>
      <c r="U35" s="229" t="s">
        <v>74</v>
      </c>
      <c r="V35" s="230"/>
      <c r="W35" s="1071" t="s">
        <v>39</v>
      </c>
      <c r="X35" s="229" t="s">
        <v>74</v>
      </c>
    </row>
    <row r="36" spans="1:27" ht="15" customHeight="1" thickBot="1" x14ac:dyDescent="0.25">
      <c r="A36" s="535" t="s">
        <v>68</v>
      </c>
      <c r="B36" s="536"/>
      <c r="C36" s="537">
        <f>B36/B17</f>
        <v>0</v>
      </c>
      <c r="D36" s="536"/>
      <c r="E36" s="537">
        <f>D36/D17</f>
        <v>0</v>
      </c>
      <c r="F36" s="536"/>
      <c r="G36" s="537">
        <f>F36/F17</f>
        <v>0</v>
      </c>
      <c r="H36" s="536">
        <v>10</v>
      </c>
      <c r="I36" s="537">
        <f>H36/H17</f>
        <v>0.5</v>
      </c>
      <c r="J36" s="536">
        <v>10</v>
      </c>
      <c r="K36" s="537">
        <f>J36/J17</f>
        <v>0.41666666666666669</v>
      </c>
      <c r="L36" s="536">
        <v>10</v>
      </c>
      <c r="M36" s="537">
        <f>L36/L17</f>
        <v>0.5</v>
      </c>
      <c r="N36" s="536">
        <v>11</v>
      </c>
      <c r="O36" s="537">
        <f>N36/N17</f>
        <v>0.57894736842105265</v>
      </c>
      <c r="P36" s="536">
        <v>11</v>
      </c>
      <c r="Q36" s="537">
        <f>P36/P17</f>
        <v>0.52380952380952384</v>
      </c>
      <c r="R36" s="536">
        <v>10</v>
      </c>
      <c r="S36" s="537">
        <f>R36/R17</f>
        <v>0.47619047619047616</v>
      </c>
      <c r="T36" s="536"/>
      <c r="U36" s="538">
        <f>T36/T17</f>
        <v>0</v>
      </c>
      <c r="V36" s="226"/>
      <c r="W36" s="242">
        <f>AVERAGE(N36,L36,R36,T36,P36)</f>
        <v>10.5</v>
      </c>
      <c r="X36" s="781">
        <f>W36/W17</f>
        <v>0.50480769230769229</v>
      </c>
    </row>
    <row r="37" spans="1:27" s="85" customFormat="1" ht="15" customHeight="1" thickTop="1" x14ac:dyDescent="0.2">
      <c r="A37" s="37" t="s">
        <v>288</v>
      </c>
      <c r="B37" s="650"/>
      <c r="C37" s="650"/>
      <c r="D37" s="650"/>
      <c r="E37" s="650"/>
      <c r="F37" s="650"/>
      <c r="G37" s="650"/>
      <c r="H37" s="650"/>
      <c r="I37" s="650"/>
      <c r="J37" s="650"/>
      <c r="K37" s="650"/>
      <c r="L37" s="650"/>
      <c r="M37" s="650"/>
      <c r="N37" s="650"/>
      <c r="O37" s="650"/>
      <c r="P37" s="650"/>
      <c r="Q37" s="650"/>
      <c r="R37" s="650"/>
      <c r="S37" s="650"/>
      <c r="T37" s="650"/>
      <c r="U37" s="650"/>
      <c r="V37" s="651"/>
      <c r="W37" s="650"/>
      <c r="X37" s="650"/>
      <c r="Y37" s="56"/>
      <c r="Z37" s="56"/>
      <c r="AA37" s="57"/>
    </row>
    <row r="38" spans="1:27" s="85" customFormat="1" ht="15" customHeight="1" thickBot="1" x14ac:dyDescent="0.25">
      <c r="A38" s="37"/>
      <c r="B38" s="650"/>
      <c r="C38" s="650"/>
      <c r="D38" s="650"/>
      <c r="E38" s="650"/>
      <c r="F38" s="650"/>
      <c r="G38" s="650"/>
      <c r="H38" s="650"/>
      <c r="I38" s="650"/>
      <c r="J38" s="650"/>
      <c r="K38" s="650"/>
      <c r="L38" s="650"/>
      <c r="M38" s="650"/>
      <c r="N38" s="650"/>
      <c r="O38" s="650"/>
      <c r="P38" s="650"/>
      <c r="Q38" s="650"/>
      <c r="R38" s="650"/>
      <c r="S38" s="650"/>
      <c r="T38" s="650"/>
      <c r="U38" s="650"/>
      <c r="V38" s="651"/>
      <c r="W38" s="650"/>
      <c r="X38" s="650"/>
      <c r="Y38" s="56"/>
      <c r="Z38" s="56"/>
      <c r="AA38" s="57"/>
    </row>
    <row r="39" spans="1:27" s="1" customFormat="1" ht="18.75" customHeight="1" thickTop="1" thickBot="1" x14ac:dyDescent="0.25">
      <c r="A39" s="175" t="s">
        <v>247</v>
      </c>
      <c r="B39" s="1385" t="s">
        <v>30</v>
      </c>
      <c r="C39" s="1395"/>
      <c r="D39" s="1385" t="s">
        <v>31</v>
      </c>
      <c r="E39" s="1416"/>
      <c r="F39" s="1385" t="s">
        <v>32</v>
      </c>
      <c r="G39" s="1396"/>
      <c r="H39" s="1385" t="s">
        <v>33</v>
      </c>
      <c r="I39" s="1396"/>
      <c r="J39" s="1385" t="s">
        <v>34</v>
      </c>
      <c r="K39" s="1396"/>
      <c r="L39" s="1385" t="s">
        <v>35</v>
      </c>
      <c r="M39" s="1396"/>
      <c r="N39" s="1385" t="s">
        <v>36</v>
      </c>
      <c r="O39" s="1396"/>
      <c r="P39" s="1385" t="s">
        <v>37</v>
      </c>
      <c r="Q39" s="1396"/>
      <c r="R39" s="1385" t="s">
        <v>38</v>
      </c>
      <c r="S39" s="1396"/>
      <c r="T39" s="1385" t="s">
        <v>302</v>
      </c>
      <c r="U39" s="1386"/>
      <c r="V39" s="195"/>
      <c r="W39" s="1382" t="s">
        <v>9</v>
      </c>
      <c r="X39" s="1383"/>
    </row>
    <row r="40" spans="1:27" s="1" customFormat="1" ht="24" x14ac:dyDescent="0.2">
      <c r="A40" s="715" t="s">
        <v>289</v>
      </c>
      <c r="B40" s="711"/>
      <c r="C40" s="529"/>
      <c r="D40" s="711"/>
      <c r="E40" s="994"/>
      <c r="F40" s="711"/>
      <c r="G40" s="712"/>
      <c r="H40" s="711"/>
      <c r="I40" s="712"/>
      <c r="J40" s="711"/>
      <c r="K40" s="712"/>
      <c r="L40" s="711"/>
      <c r="M40" s="712"/>
      <c r="N40" s="711"/>
      <c r="O40" s="712"/>
      <c r="P40" s="711"/>
      <c r="Q40" s="712"/>
      <c r="R40" s="711"/>
      <c r="S40" s="712"/>
      <c r="T40" s="713"/>
      <c r="U40" s="714"/>
      <c r="V40" s="195"/>
      <c r="W40" s="272"/>
      <c r="X40" s="271"/>
    </row>
    <row r="41" spans="1:27" s="1" customFormat="1" ht="24" x14ac:dyDescent="0.2">
      <c r="A41" s="721" t="s">
        <v>237</v>
      </c>
      <c r="B41" s="186"/>
      <c r="C41" s="653">
        <v>14</v>
      </c>
      <c r="D41" s="186"/>
      <c r="E41" s="653">
        <v>15</v>
      </c>
      <c r="F41" s="186"/>
      <c r="G41" s="653">
        <v>14</v>
      </c>
      <c r="H41" s="186"/>
      <c r="I41" s="653">
        <v>12</v>
      </c>
      <c r="J41" s="186"/>
      <c r="K41" s="653">
        <v>14</v>
      </c>
      <c r="L41" s="186"/>
      <c r="M41" s="653">
        <v>12</v>
      </c>
      <c r="N41" s="186"/>
      <c r="O41" s="653">
        <v>15</v>
      </c>
      <c r="P41" s="186"/>
      <c r="Q41" s="653">
        <v>13</v>
      </c>
      <c r="R41" s="186"/>
      <c r="S41" s="653">
        <v>14</v>
      </c>
      <c r="T41" s="654"/>
      <c r="U41" s="340"/>
      <c r="V41" s="195"/>
      <c r="W41" s="347"/>
      <c r="X41" s="340">
        <f>AVERAGE(O41,M41,S41,U41,Q41)</f>
        <v>13.5</v>
      </c>
    </row>
    <row r="42" spans="1:27" s="1" customFormat="1" ht="24" x14ac:dyDescent="0.2">
      <c r="A42" s="721" t="s">
        <v>239</v>
      </c>
      <c r="B42" s="654"/>
      <c r="C42" s="716">
        <v>13</v>
      </c>
      <c r="D42" s="654"/>
      <c r="E42" s="716">
        <v>15</v>
      </c>
      <c r="F42" s="654"/>
      <c r="G42" s="716">
        <v>14</v>
      </c>
      <c r="H42" s="654"/>
      <c r="I42" s="716">
        <v>10</v>
      </c>
      <c r="J42" s="654"/>
      <c r="K42" s="716">
        <v>10</v>
      </c>
      <c r="L42" s="654"/>
      <c r="M42" s="716">
        <v>12</v>
      </c>
      <c r="N42" s="654"/>
      <c r="O42" s="716">
        <v>14</v>
      </c>
      <c r="P42" s="654"/>
      <c r="Q42" s="716">
        <v>13</v>
      </c>
      <c r="R42" s="654"/>
      <c r="S42" s="716">
        <v>12</v>
      </c>
      <c r="T42" s="654"/>
      <c r="U42" s="340"/>
      <c r="V42" s="195"/>
      <c r="W42" s="1252"/>
      <c r="X42" s="394">
        <f t="shared" ref="X42:X43" si="5">AVERAGE(O42,M42,S42,U42,Q42)</f>
        <v>12.75</v>
      </c>
    </row>
    <row r="43" spans="1:27" s="1" customFormat="1" ht="15" customHeight="1" thickBot="1" x14ac:dyDescent="0.25">
      <c r="A43" s="942" t="s">
        <v>238</v>
      </c>
      <c r="B43" s="943"/>
      <c r="C43" s="944">
        <v>14</v>
      </c>
      <c r="D43" s="943"/>
      <c r="E43" s="944">
        <v>15</v>
      </c>
      <c r="F43" s="943"/>
      <c r="G43" s="944">
        <v>14</v>
      </c>
      <c r="H43" s="943"/>
      <c r="I43" s="944">
        <v>12</v>
      </c>
      <c r="J43" s="943"/>
      <c r="K43" s="944">
        <v>14</v>
      </c>
      <c r="L43" s="943"/>
      <c r="M43" s="944">
        <v>12</v>
      </c>
      <c r="N43" s="943"/>
      <c r="O43" s="944">
        <v>15</v>
      </c>
      <c r="P43" s="943"/>
      <c r="Q43" s="944">
        <v>13</v>
      </c>
      <c r="R43" s="943"/>
      <c r="S43" s="944">
        <v>14</v>
      </c>
      <c r="T43" s="956"/>
      <c r="U43" s="957"/>
      <c r="V43" s="195"/>
      <c r="W43" s="950"/>
      <c r="X43" s="1253">
        <f t="shared" si="5"/>
        <v>13.5</v>
      </c>
    </row>
    <row r="44" spans="1:27" s="1" customFormat="1" ht="18" customHeight="1" thickBot="1" x14ac:dyDescent="0.25">
      <c r="A44" s="795" t="s">
        <v>264</v>
      </c>
      <c r="B44" s="799" t="s">
        <v>40</v>
      </c>
      <c r="C44" s="798" t="s">
        <v>41</v>
      </c>
      <c r="D44" s="799" t="s">
        <v>40</v>
      </c>
      <c r="E44" s="798" t="s">
        <v>41</v>
      </c>
      <c r="F44" s="799" t="s">
        <v>40</v>
      </c>
      <c r="G44" s="798" t="s">
        <v>41</v>
      </c>
      <c r="H44" s="799" t="s">
        <v>40</v>
      </c>
      <c r="I44" s="798" t="s">
        <v>41</v>
      </c>
      <c r="J44" s="799" t="s">
        <v>40</v>
      </c>
      <c r="K44" s="798" t="s">
        <v>41</v>
      </c>
      <c r="L44" s="799" t="s">
        <v>40</v>
      </c>
      <c r="M44" s="798" t="s">
        <v>41</v>
      </c>
      <c r="N44" s="799" t="s">
        <v>40</v>
      </c>
      <c r="O44" s="798" t="s">
        <v>41</v>
      </c>
      <c r="P44" s="799" t="s">
        <v>40</v>
      </c>
      <c r="Q44" s="798" t="s">
        <v>41</v>
      </c>
      <c r="R44" s="799" t="s">
        <v>40</v>
      </c>
      <c r="S44" s="798" t="s">
        <v>41</v>
      </c>
      <c r="T44" s="799" t="s">
        <v>40</v>
      </c>
      <c r="U44" s="804" t="s">
        <v>41</v>
      </c>
      <c r="V44" s="955"/>
      <c r="W44" s="1254" t="s">
        <v>40</v>
      </c>
      <c r="X44" s="804" t="s">
        <v>41</v>
      </c>
    </row>
    <row r="45" spans="1:27" s="1" customFormat="1" ht="15" customHeight="1" x14ac:dyDescent="0.2">
      <c r="A45" s="680" t="s">
        <v>42</v>
      </c>
      <c r="B45" s="808"/>
      <c r="C45" s="805"/>
      <c r="D45" s="806"/>
      <c r="E45" s="807"/>
      <c r="F45" s="808"/>
      <c r="G45" s="807"/>
      <c r="H45" s="808"/>
      <c r="I45" s="807"/>
      <c r="J45" s="808"/>
      <c r="K45" s="807"/>
      <c r="L45" s="808"/>
      <c r="M45" s="807"/>
      <c r="N45" s="808"/>
      <c r="O45" s="807"/>
      <c r="P45" s="808"/>
      <c r="Q45" s="807"/>
      <c r="R45" s="808"/>
      <c r="S45" s="807"/>
      <c r="T45" s="808"/>
      <c r="U45" s="1013"/>
      <c r="V45" s="195"/>
      <c r="W45" s="1029"/>
      <c r="X45" s="1030"/>
    </row>
    <row r="46" spans="1:27" s="1" customFormat="1" ht="15" customHeight="1" x14ac:dyDescent="0.2">
      <c r="A46" s="678" t="s">
        <v>43</v>
      </c>
      <c r="B46" s="258"/>
      <c r="C46" s="1053">
        <v>19</v>
      </c>
      <c r="D46" s="260"/>
      <c r="E46" s="1044">
        <v>19</v>
      </c>
      <c r="F46" s="258"/>
      <c r="G46" s="1044">
        <v>19</v>
      </c>
      <c r="H46" s="258"/>
      <c r="I46" s="1044">
        <v>16</v>
      </c>
      <c r="J46" s="1036">
        <v>22</v>
      </c>
      <c r="K46" s="1044">
        <v>22</v>
      </c>
      <c r="L46" s="1036">
        <v>21</v>
      </c>
      <c r="M46" s="1044">
        <v>21</v>
      </c>
      <c r="N46" s="1036">
        <v>21</v>
      </c>
      <c r="O46" s="1044">
        <v>24</v>
      </c>
      <c r="P46" s="1036">
        <v>23</v>
      </c>
      <c r="Q46" s="1044">
        <v>23</v>
      </c>
      <c r="R46" s="1036">
        <v>23</v>
      </c>
      <c r="S46" s="1044">
        <v>23</v>
      </c>
      <c r="T46" s="813"/>
      <c r="U46" s="932"/>
      <c r="V46" s="195"/>
      <c r="W46" s="936">
        <f>AVERAGE(T46,L46,N46,P46,R46)</f>
        <v>22</v>
      </c>
      <c r="X46" s="1031">
        <f t="shared" ref="X46:X51" si="6">AVERAGE(O46,M46,S46,U46,Q46)</f>
        <v>22.75</v>
      </c>
    </row>
    <row r="47" spans="1:27" s="1" customFormat="1" ht="15" customHeight="1" x14ac:dyDescent="0.2">
      <c r="A47" s="678" t="s">
        <v>44</v>
      </c>
      <c r="B47" s="258"/>
      <c r="C47" s="1053">
        <v>8</v>
      </c>
      <c r="D47" s="260"/>
      <c r="E47" s="1044">
        <v>6</v>
      </c>
      <c r="F47" s="258"/>
      <c r="G47" s="1044">
        <v>2</v>
      </c>
      <c r="H47" s="258"/>
      <c r="I47" s="1044">
        <v>2</v>
      </c>
      <c r="J47" s="1036">
        <v>0</v>
      </c>
      <c r="K47" s="1044">
        <v>0</v>
      </c>
      <c r="L47" s="13">
        <v>0.25</v>
      </c>
      <c r="M47" s="1044">
        <v>1</v>
      </c>
      <c r="N47" s="13">
        <v>0.75</v>
      </c>
      <c r="O47" s="1044">
        <v>3</v>
      </c>
      <c r="P47" s="13">
        <v>0.8</v>
      </c>
      <c r="Q47" s="1044">
        <v>2</v>
      </c>
      <c r="R47" s="13">
        <v>0.4</v>
      </c>
      <c r="S47" s="1044">
        <v>1</v>
      </c>
      <c r="T47" s="345"/>
      <c r="U47" s="932"/>
      <c r="V47" s="195"/>
      <c r="W47" s="936">
        <f t="shared" ref="W47:W51" si="7">AVERAGE(T47,L47,N47,P47,R47)</f>
        <v>0.55000000000000004</v>
      </c>
      <c r="X47" s="1031">
        <f t="shared" si="6"/>
        <v>1.75</v>
      </c>
    </row>
    <row r="48" spans="1:27" s="1" customFormat="1" ht="15" customHeight="1" x14ac:dyDescent="0.2">
      <c r="A48" s="676" t="s">
        <v>45</v>
      </c>
      <c r="B48" s="345"/>
      <c r="C48" s="1054"/>
      <c r="D48" s="11"/>
      <c r="E48" s="1045"/>
      <c r="F48" s="13"/>
      <c r="G48" s="1045"/>
      <c r="H48" s="13"/>
      <c r="I48" s="1045"/>
      <c r="J48" s="13"/>
      <c r="K48" s="1045"/>
      <c r="L48" s="13"/>
      <c r="M48" s="1045"/>
      <c r="N48" s="13"/>
      <c r="O48" s="1045"/>
      <c r="P48" s="13"/>
      <c r="Q48" s="1045"/>
      <c r="R48" s="13"/>
      <c r="S48" s="1045"/>
      <c r="T48" s="345"/>
      <c r="U48" s="933"/>
      <c r="V48" s="195"/>
      <c r="W48" s="936"/>
      <c r="X48" s="1031"/>
    </row>
    <row r="49" spans="1:24" s="1" customFormat="1" ht="15" customHeight="1" x14ac:dyDescent="0.2">
      <c r="A49" s="678" t="s">
        <v>43</v>
      </c>
      <c r="B49" s="258"/>
      <c r="C49" s="1054">
        <v>0</v>
      </c>
      <c r="D49" s="260"/>
      <c r="E49" s="1045">
        <v>0</v>
      </c>
      <c r="F49" s="258"/>
      <c r="G49" s="1045">
        <v>0</v>
      </c>
      <c r="H49" s="258"/>
      <c r="I49" s="1045">
        <v>0</v>
      </c>
      <c r="J49" s="1036">
        <v>0</v>
      </c>
      <c r="K49" s="1045">
        <v>0</v>
      </c>
      <c r="L49" s="1036">
        <v>0</v>
      </c>
      <c r="M49" s="1045">
        <v>0</v>
      </c>
      <c r="N49" s="1036">
        <v>0</v>
      </c>
      <c r="O49" s="1045">
        <v>0</v>
      </c>
      <c r="P49" s="1036">
        <v>0</v>
      </c>
      <c r="Q49" s="1045">
        <v>0</v>
      </c>
      <c r="R49" s="1036">
        <v>0</v>
      </c>
      <c r="S49" s="1045">
        <v>0</v>
      </c>
      <c r="T49" s="1036"/>
      <c r="U49" s="933"/>
      <c r="V49" s="195"/>
      <c r="W49" s="936">
        <f t="shared" si="7"/>
        <v>0</v>
      </c>
      <c r="X49" s="1031">
        <f t="shared" si="6"/>
        <v>0</v>
      </c>
    </row>
    <row r="50" spans="1:24" s="1" customFormat="1" ht="15" customHeight="1" thickBot="1" x14ac:dyDescent="0.25">
      <c r="A50" s="679" t="s">
        <v>44</v>
      </c>
      <c r="B50" s="1017"/>
      <c r="C50" s="1060">
        <v>0</v>
      </c>
      <c r="D50" s="1050"/>
      <c r="E50" s="1056">
        <v>0</v>
      </c>
      <c r="F50" s="1017"/>
      <c r="G50" s="1056">
        <v>0</v>
      </c>
      <c r="H50" s="1017"/>
      <c r="I50" s="1056">
        <v>0</v>
      </c>
      <c r="J50" s="1039">
        <v>0</v>
      </c>
      <c r="K50" s="1056">
        <v>0</v>
      </c>
      <c r="L50" s="1039">
        <v>0</v>
      </c>
      <c r="M50" s="1056">
        <v>0</v>
      </c>
      <c r="N50" s="1039">
        <v>0</v>
      </c>
      <c r="O50" s="1056">
        <v>0</v>
      </c>
      <c r="P50" s="1039">
        <v>0</v>
      </c>
      <c r="Q50" s="1056">
        <v>0</v>
      </c>
      <c r="R50" s="1039">
        <v>0</v>
      </c>
      <c r="S50" s="1056">
        <v>0</v>
      </c>
      <c r="T50" s="1039"/>
      <c r="U50" s="934"/>
      <c r="V50" s="195"/>
      <c r="W50" s="1020">
        <f t="shared" si="7"/>
        <v>0</v>
      </c>
      <c r="X50" s="1032">
        <f t="shared" si="6"/>
        <v>0</v>
      </c>
    </row>
    <row r="51" spans="1:24" s="1" customFormat="1" ht="15" customHeight="1" thickBot="1" x14ac:dyDescent="0.25">
      <c r="A51" s="796" t="s">
        <v>28</v>
      </c>
      <c r="B51" s="1021"/>
      <c r="C51" s="824">
        <f>SUM(C46:C50)</f>
        <v>27</v>
      </c>
      <c r="D51" s="1022"/>
      <c r="E51" s="826">
        <f>SUM(E46:E50)</f>
        <v>25</v>
      </c>
      <c r="F51" s="1021"/>
      <c r="G51" s="826">
        <f>SUM(G46:G50)</f>
        <v>21</v>
      </c>
      <c r="H51" s="1021"/>
      <c r="I51" s="826">
        <f t="shared" ref="I51:S51" si="8">SUM(I46:I50)</f>
        <v>18</v>
      </c>
      <c r="J51" s="906">
        <f t="shared" si="8"/>
        <v>22</v>
      </c>
      <c r="K51" s="826">
        <f t="shared" si="8"/>
        <v>22</v>
      </c>
      <c r="L51" s="906">
        <f t="shared" si="8"/>
        <v>21.25</v>
      </c>
      <c r="M51" s="826">
        <f t="shared" si="8"/>
        <v>22</v>
      </c>
      <c r="N51" s="906">
        <f t="shared" si="8"/>
        <v>21.75</v>
      </c>
      <c r="O51" s="826">
        <f t="shared" si="8"/>
        <v>27</v>
      </c>
      <c r="P51" s="906">
        <f t="shared" si="8"/>
        <v>23.8</v>
      </c>
      <c r="Q51" s="826">
        <f t="shared" si="8"/>
        <v>25</v>
      </c>
      <c r="R51" s="906">
        <f t="shared" si="8"/>
        <v>23.4</v>
      </c>
      <c r="S51" s="826">
        <f t="shared" si="8"/>
        <v>24</v>
      </c>
      <c r="T51" s="906">
        <f t="shared" ref="T51:U51" si="9">SUM(T46:T50)</f>
        <v>0</v>
      </c>
      <c r="U51" s="1023">
        <f t="shared" si="9"/>
        <v>0</v>
      </c>
      <c r="V51" s="195"/>
      <c r="W51" s="1028">
        <f t="shared" si="7"/>
        <v>18.04</v>
      </c>
      <c r="X51" s="1033">
        <f t="shared" si="6"/>
        <v>19.600000000000001</v>
      </c>
    </row>
    <row r="52" spans="1:24" s="1" customFormat="1" ht="18" customHeight="1" thickBot="1" x14ac:dyDescent="0.25">
      <c r="A52" s="795" t="s">
        <v>253</v>
      </c>
      <c r="B52" s="801" t="s">
        <v>39</v>
      </c>
      <c r="C52" s="954" t="s">
        <v>46</v>
      </c>
      <c r="D52" s="801" t="s">
        <v>39</v>
      </c>
      <c r="E52" s="798" t="s">
        <v>46</v>
      </c>
      <c r="F52" s="799" t="s">
        <v>39</v>
      </c>
      <c r="G52" s="798" t="s">
        <v>46</v>
      </c>
      <c r="H52" s="799" t="s">
        <v>39</v>
      </c>
      <c r="I52" s="798" t="s">
        <v>46</v>
      </c>
      <c r="J52" s="799" t="s">
        <v>39</v>
      </c>
      <c r="K52" s="798" t="s">
        <v>46</v>
      </c>
      <c r="L52" s="799" t="s">
        <v>39</v>
      </c>
      <c r="M52" s="798" t="s">
        <v>46</v>
      </c>
      <c r="N52" s="799" t="s">
        <v>39</v>
      </c>
      <c r="O52" s="798" t="s">
        <v>46</v>
      </c>
      <c r="P52" s="799" t="s">
        <v>39</v>
      </c>
      <c r="Q52" s="798" t="s">
        <v>46</v>
      </c>
      <c r="R52" s="799" t="s">
        <v>39</v>
      </c>
      <c r="S52" s="798" t="s">
        <v>46</v>
      </c>
      <c r="T52" s="799" t="s">
        <v>39</v>
      </c>
      <c r="U52" s="804" t="s">
        <v>46</v>
      </c>
      <c r="V52" s="195"/>
      <c r="W52" s="832" t="s">
        <v>39</v>
      </c>
      <c r="X52" s="804" t="s">
        <v>46</v>
      </c>
    </row>
    <row r="53" spans="1:24" s="1" customFormat="1" ht="18" customHeight="1" x14ac:dyDescent="0.2">
      <c r="A53" s="680" t="s">
        <v>265</v>
      </c>
      <c r="B53" s="938"/>
      <c r="C53" s="196"/>
      <c r="D53" s="938"/>
      <c r="E53" s="197"/>
      <c r="F53" s="937"/>
      <c r="G53" s="197"/>
      <c r="H53" s="937"/>
      <c r="I53" s="197"/>
      <c r="J53" s="937"/>
      <c r="K53" s="197"/>
      <c r="L53" s="937"/>
      <c r="M53" s="197"/>
      <c r="N53" s="937"/>
      <c r="O53" s="197"/>
      <c r="P53" s="937"/>
      <c r="Q53" s="197"/>
      <c r="R53" s="937"/>
      <c r="S53" s="197"/>
      <c r="T53" s="937"/>
      <c r="U53" s="199"/>
      <c r="V53" s="195"/>
      <c r="W53" s="1026"/>
      <c r="X53" s="199"/>
    </row>
    <row r="54" spans="1:24" s="1" customFormat="1" ht="15" customHeight="1" x14ac:dyDescent="0.2">
      <c r="A54" s="706" t="s">
        <v>47</v>
      </c>
      <c r="B54" s="156">
        <f>14+7</f>
        <v>21</v>
      </c>
      <c r="C54" s="191">
        <f t="shared" ref="C54:C61" si="10">B54/C$51</f>
        <v>0.77777777777777779</v>
      </c>
      <c r="D54" s="156">
        <f>5+13</f>
        <v>18</v>
      </c>
      <c r="E54" s="192">
        <f t="shared" ref="E54:E61" si="11">D54/E$51</f>
        <v>0.72</v>
      </c>
      <c r="F54" s="160">
        <v>15</v>
      </c>
      <c r="G54" s="192">
        <f t="shared" ref="G54:G61" si="12">F54/G$51</f>
        <v>0.7142857142857143</v>
      </c>
      <c r="H54" s="160">
        <v>15</v>
      </c>
      <c r="I54" s="192">
        <f t="shared" ref="I54:I61" si="13">H54/I$51</f>
        <v>0.83333333333333337</v>
      </c>
      <c r="J54" s="160">
        <v>19</v>
      </c>
      <c r="K54" s="192">
        <f t="shared" ref="K54:K61" si="14">J54/K$51</f>
        <v>0.86363636363636365</v>
      </c>
      <c r="L54" s="160">
        <v>19</v>
      </c>
      <c r="M54" s="192">
        <f t="shared" ref="M54:M59" si="15">L54/M$51</f>
        <v>0.86363636363636365</v>
      </c>
      <c r="N54" s="160">
        <f>3+19</f>
        <v>22</v>
      </c>
      <c r="O54" s="192">
        <f t="shared" ref="O54:Q59" si="16">N54/O$51</f>
        <v>0.81481481481481477</v>
      </c>
      <c r="P54" s="160">
        <v>19</v>
      </c>
      <c r="Q54" s="192">
        <f t="shared" si="16"/>
        <v>0.76</v>
      </c>
      <c r="R54" s="160">
        <v>18</v>
      </c>
      <c r="S54" s="192">
        <f t="shared" ref="S54:S59" si="17">R54/S$51</f>
        <v>0.75</v>
      </c>
      <c r="T54" s="202"/>
      <c r="U54" s="203" t="e">
        <f t="shared" ref="U54:U59" si="18">T54/U$51</f>
        <v>#DIV/0!</v>
      </c>
      <c r="V54" s="319"/>
      <c r="W54" s="205">
        <f>AVERAGE(N54,L54,R54,T54,P54)</f>
        <v>19.5</v>
      </c>
      <c r="X54" s="206" t="e">
        <f>AVERAGE(O54,M54,S54,U54,Q54)</f>
        <v>#DIV/0!</v>
      </c>
    </row>
    <row r="55" spans="1:24" s="1" customFormat="1" ht="15" customHeight="1" x14ac:dyDescent="0.2">
      <c r="A55" s="207" t="s">
        <v>48</v>
      </c>
      <c r="B55" s="156">
        <f>1+1</f>
        <v>2</v>
      </c>
      <c r="C55" s="191">
        <f t="shared" si="10"/>
        <v>7.407407407407407E-2</v>
      </c>
      <c r="D55" s="156">
        <f>1+1</f>
        <v>2</v>
      </c>
      <c r="E55" s="192">
        <f t="shared" si="11"/>
        <v>0.08</v>
      </c>
      <c r="F55" s="160">
        <v>2</v>
      </c>
      <c r="G55" s="192">
        <f t="shared" si="12"/>
        <v>9.5238095238095233E-2</v>
      </c>
      <c r="H55" s="160">
        <v>2</v>
      </c>
      <c r="I55" s="192">
        <f t="shared" si="13"/>
        <v>0.1111111111111111</v>
      </c>
      <c r="J55" s="160">
        <v>2</v>
      </c>
      <c r="K55" s="192">
        <f t="shared" si="14"/>
        <v>9.0909090909090912E-2</v>
      </c>
      <c r="L55" s="160">
        <v>2</v>
      </c>
      <c r="M55" s="192">
        <f t="shared" si="15"/>
        <v>9.0909090909090912E-2</v>
      </c>
      <c r="N55" s="160">
        <v>2</v>
      </c>
      <c r="O55" s="192">
        <f t="shared" si="16"/>
        <v>7.407407407407407E-2</v>
      </c>
      <c r="P55" s="160">
        <v>2</v>
      </c>
      <c r="Q55" s="192">
        <f t="shared" si="16"/>
        <v>0.08</v>
      </c>
      <c r="R55" s="160">
        <v>2</v>
      </c>
      <c r="S55" s="192">
        <f t="shared" si="17"/>
        <v>8.3333333333333329E-2</v>
      </c>
      <c r="T55" s="202"/>
      <c r="U55" s="203" t="e">
        <f t="shared" si="18"/>
        <v>#DIV/0!</v>
      </c>
      <c r="V55" s="319"/>
      <c r="W55" s="205">
        <f t="shared" ref="W55:X73" si="19">AVERAGE(N55,L55,R55,T55,P55)</f>
        <v>2</v>
      </c>
      <c r="X55" s="206" t="e">
        <f t="shared" si="19"/>
        <v>#DIV/0!</v>
      </c>
    </row>
    <row r="56" spans="1:24" s="1" customFormat="1" ht="15" customHeight="1" x14ac:dyDescent="0.2">
      <c r="A56" s="207" t="s">
        <v>49</v>
      </c>
      <c r="B56" s="156">
        <v>0</v>
      </c>
      <c r="C56" s="191">
        <f t="shared" si="10"/>
        <v>0</v>
      </c>
      <c r="D56" s="156">
        <v>0</v>
      </c>
      <c r="E56" s="192">
        <f t="shared" si="11"/>
        <v>0</v>
      </c>
      <c r="F56" s="160">
        <v>0</v>
      </c>
      <c r="G56" s="192">
        <f t="shared" si="12"/>
        <v>0</v>
      </c>
      <c r="H56" s="160">
        <v>0</v>
      </c>
      <c r="I56" s="192">
        <f t="shared" si="13"/>
        <v>0</v>
      </c>
      <c r="J56" s="160">
        <v>0</v>
      </c>
      <c r="K56" s="192">
        <f t="shared" si="14"/>
        <v>0</v>
      </c>
      <c r="L56" s="160">
        <v>0</v>
      </c>
      <c r="M56" s="192">
        <f t="shared" si="15"/>
        <v>0</v>
      </c>
      <c r="N56" s="160">
        <v>0</v>
      </c>
      <c r="O56" s="192">
        <f t="shared" si="16"/>
        <v>0</v>
      </c>
      <c r="P56" s="160">
        <v>1</v>
      </c>
      <c r="Q56" s="192">
        <f t="shared" si="16"/>
        <v>0.04</v>
      </c>
      <c r="R56" s="160">
        <v>0</v>
      </c>
      <c r="S56" s="192">
        <f t="shared" si="17"/>
        <v>0</v>
      </c>
      <c r="T56" s="202"/>
      <c r="U56" s="203" t="e">
        <f t="shared" si="18"/>
        <v>#DIV/0!</v>
      </c>
      <c r="V56" s="319"/>
      <c r="W56" s="205">
        <f t="shared" si="19"/>
        <v>0.25</v>
      </c>
      <c r="X56" s="206" t="e">
        <f t="shared" si="19"/>
        <v>#DIV/0!</v>
      </c>
    </row>
    <row r="57" spans="1:24" s="1" customFormat="1" ht="15" customHeight="1" x14ac:dyDescent="0.2">
      <c r="A57" s="207" t="s">
        <v>50</v>
      </c>
      <c r="B57" s="156">
        <v>0</v>
      </c>
      <c r="C57" s="191">
        <f t="shared" si="10"/>
        <v>0</v>
      </c>
      <c r="D57" s="156">
        <v>0</v>
      </c>
      <c r="E57" s="192">
        <f t="shared" si="11"/>
        <v>0</v>
      </c>
      <c r="F57" s="160">
        <v>0</v>
      </c>
      <c r="G57" s="192">
        <f t="shared" si="12"/>
        <v>0</v>
      </c>
      <c r="H57" s="160">
        <v>0</v>
      </c>
      <c r="I57" s="192">
        <f t="shared" si="13"/>
        <v>0</v>
      </c>
      <c r="J57" s="160">
        <v>0</v>
      </c>
      <c r="K57" s="192">
        <f t="shared" si="14"/>
        <v>0</v>
      </c>
      <c r="L57" s="160">
        <v>0</v>
      </c>
      <c r="M57" s="192">
        <f t="shared" si="15"/>
        <v>0</v>
      </c>
      <c r="N57" s="160">
        <v>0</v>
      </c>
      <c r="O57" s="192">
        <f t="shared" si="16"/>
        <v>0</v>
      </c>
      <c r="P57" s="160">
        <v>0</v>
      </c>
      <c r="Q57" s="192">
        <f t="shared" si="16"/>
        <v>0</v>
      </c>
      <c r="R57" s="160">
        <v>0</v>
      </c>
      <c r="S57" s="192">
        <f t="shared" si="17"/>
        <v>0</v>
      </c>
      <c r="T57" s="202"/>
      <c r="U57" s="203" t="e">
        <f t="shared" si="18"/>
        <v>#DIV/0!</v>
      </c>
      <c r="V57" s="319"/>
      <c r="W57" s="205">
        <f t="shared" si="19"/>
        <v>0</v>
      </c>
      <c r="X57" s="206" t="e">
        <f t="shared" si="19"/>
        <v>#DIV/0!</v>
      </c>
    </row>
    <row r="58" spans="1:24" s="1" customFormat="1" ht="15" customHeight="1" x14ac:dyDescent="0.2">
      <c r="A58" s="207" t="s">
        <v>51</v>
      </c>
      <c r="B58" s="156">
        <v>3</v>
      </c>
      <c r="C58" s="191">
        <f t="shared" si="10"/>
        <v>0.1111111111111111</v>
      </c>
      <c r="D58" s="156">
        <v>0</v>
      </c>
      <c r="E58" s="192">
        <f t="shared" si="11"/>
        <v>0</v>
      </c>
      <c r="F58" s="160">
        <v>3</v>
      </c>
      <c r="G58" s="192">
        <f t="shared" si="12"/>
        <v>0.14285714285714285</v>
      </c>
      <c r="H58" s="160">
        <v>1</v>
      </c>
      <c r="I58" s="192">
        <f t="shared" si="13"/>
        <v>5.5555555555555552E-2</v>
      </c>
      <c r="J58" s="160">
        <v>1</v>
      </c>
      <c r="K58" s="192">
        <f t="shared" si="14"/>
        <v>4.5454545454545456E-2</v>
      </c>
      <c r="L58" s="160">
        <v>1</v>
      </c>
      <c r="M58" s="192">
        <f t="shared" si="15"/>
        <v>4.5454545454545456E-2</v>
      </c>
      <c r="N58" s="160">
        <v>1</v>
      </c>
      <c r="O58" s="192">
        <f t="shared" si="16"/>
        <v>3.7037037037037035E-2</v>
      </c>
      <c r="P58" s="160">
        <v>1</v>
      </c>
      <c r="Q58" s="192">
        <f t="shared" si="16"/>
        <v>0.04</v>
      </c>
      <c r="R58" s="160">
        <v>1</v>
      </c>
      <c r="S58" s="192">
        <f t="shared" si="17"/>
        <v>4.1666666666666664E-2</v>
      </c>
      <c r="T58" s="202"/>
      <c r="U58" s="203" t="e">
        <f t="shared" si="18"/>
        <v>#DIV/0!</v>
      </c>
      <c r="V58" s="319"/>
      <c r="W58" s="205">
        <f t="shared" si="19"/>
        <v>1</v>
      </c>
      <c r="X58" s="206" t="e">
        <f t="shared" si="19"/>
        <v>#DIV/0!</v>
      </c>
    </row>
    <row r="59" spans="1:24" s="1" customFormat="1" ht="15" customHeight="1" x14ac:dyDescent="0.2">
      <c r="A59" s="207" t="s">
        <v>52</v>
      </c>
      <c r="B59" s="156">
        <v>1</v>
      </c>
      <c r="C59" s="191">
        <f t="shared" si="10"/>
        <v>3.7037037037037035E-2</v>
      </c>
      <c r="D59" s="156">
        <v>3</v>
      </c>
      <c r="E59" s="192">
        <f t="shared" si="11"/>
        <v>0.12</v>
      </c>
      <c r="F59" s="160">
        <v>1</v>
      </c>
      <c r="G59" s="192">
        <f t="shared" si="12"/>
        <v>4.7619047619047616E-2</v>
      </c>
      <c r="H59" s="160">
        <v>0</v>
      </c>
      <c r="I59" s="192">
        <f t="shared" si="13"/>
        <v>0</v>
      </c>
      <c r="J59" s="160">
        <v>0</v>
      </c>
      <c r="K59" s="192">
        <f t="shared" si="14"/>
        <v>0</v>
      </c>
      <c r="L59" s="160">
        <v>0</v>
      </c>
      <c r="M59" s="192">
        <f t="shared" si="15"/>
        <v>0</v>
      </c>
      <c r="N59" s="160">
        <v>1</v>
      </c>
      <c r="O59" s="192">
        <f t="shared" si="16"/>
        <v>3.7037037037037035E-2</v>
      </c>
      <c r="P59" s="160">
        <v>0</v>
      </c>
      <c r="Q59" s="192">
        <f t="shared" si="16"/>
        <v>0</v>
      </c>
      <c r="R59" s="160">
        <v>1</v>
      </c>
      <c r="S59" s="192">
        <f t="shared" si="17"/>
        <v>4.1666666666666664E-2</v>
      </c>
      <c r="T59" s="202"/>
      <c r="U59" s="203" t="e">
        <f t="shared" si="18"/>
        <v>#DIV/0!</v>
      </c>
      <c r="V59" s="319"/>
      <c r="W59" s="205">
        <f t="shared" si="19"/>
        <v>0.5</v>
      </c>
      <c r="X59" s="206" t="e">
        <f t="shared" si="19"/>
        <v>#DIV/0!</v>
      </c>
    </row>
    <row r="60" spans="1:24" s="1" customFormat="1" ht="15" customHeight="1" x14ac:dyDescent="0.2">
      <c r="A60" s="207" t="s">
        <v>53</v>
      </c>
      <c r="B60" s="400"/>
      <c r="C60" s="191">
        <f t="shared" si="10"/>
        <v>0</v>
      </c>
      <c r="D60" s="1223"/>
      <c r="E60" s="1224"/>
      <c r="F60" s="1225"/>
      <c r="G60" s="1224"/>
      <c r="H60" s="162">
        <v>0</v>
      </c>
      <c r="I60" s="192">
        <f t="shared" si="13"/>
        <v>0</v>
      </c>
      <c r="J60" s="162">
        <v>0</v>
      </c>
      <c r="K60" s="192">
        <f t="shared" si="14"/>
        <v>0</v>
      </c>
      <c r="L60" s="162">
        <v>0</v>
      </c>
      <c r="M60" s="192">
        <f>L60/M$51</f>
        <v>0</v>
      </c>
      <c r="N60" s="162">
        <v>0</v>
      </c>
      <c r="O60" s="192">
        <f>N60/O$51</f>
        <v>0</v>
      </c>
      <c r="P60" s="162">
        <v>0</v>
      </c>
      <c r="Q60" s="192">
        <f>P60/Q$51</f>
        <v>0</v>
      </c>
      <c r="R60" s="162">
        <v>0</v>
      </c>
      <c r="S60" s="192">
        <f>R60/S$51</f>
        <v>0</v>
      </c>
      <c r="T60" s="202"/>
      <c r="U60" s="203" t="e">
        <f>T60/U$51</f>
        <v>#DIV/0!</v>
      </c>
      <c r="V60" s="319"/>
      <c r="W60" s="205">
        <f t="shared" si="19"/>
        <v>0</v>
      </c>
      <c r="X60" s="206" t="e">
        <f t="shared" si="19"/>
        <v>#DIV/0!</v>
      </c>
    </row>
    <row r="61" spans="1:24" s="1" customFormat="1" ht="15" customHeight="1" thickBot="1" x14ac:dyDescent="0.25">
      <c r="A61" s="696" t="s">
        <v>54</v>
      </c>
      <c r="B61" s="158">
        <v>0</v>
      </c>
      <c r="C61" s="724">
        <f t="shared" si="10"/>
        <v>0</v>
      </c>
      <c r="D61" s="158">
        <v>2</v>
      </c>
      <c r="E61" s="725">
        <f t="shared" si="11"/>
        <v>0.08</v>
      </c>
      <c r="F61" s="162">
        <v>0</v>
      </c>
      <c r="G61" s="725">
        <f t="shared" si="12"/>
        <v>0</v>
      </c>
      <c r="H61" s="162">
        <v>0</v>
      </c>
      <c r="I61" s="725">
        <f t="shared" si="13"/>
        <v>0</v>
      </c>
      <c r="J61" s="162">
        <v>0</v>
      </c>
      <c r="K61" s="725">
        <f t="shared" si="14"/>
        <v>0</v>
      </c>
      <c r="L61" s="162">
        <v>0</v>
      </c>
      <c r="M61" s="725">
        <f>L61/M$51</f>
        <v>0</v>
      </c>
      <c r="N61" s="162">
        <v>1</v>
      </c>
      <c r="O61" s="725">
        <f>N61/O$51</f>
        <v>3.7037037037037035E-2</v>
      </c>
      <c r="P61" s="162">
        <v>2</v>
      </c>
      <c r="Q61" s="725">
        <f>P61/Q$51</f>
        <v>0.08</v>
      </c>
      <c r="R61" s="162">
        <v>2</v>
      </c>
      <c r="S61" s="725">
        <f>R61/S$51</f>
        <v>8.3333333333333329E-2</v>
      </c>
      <c r="T61" s="193"/>
      <c r="U61" s="726" t="e">
        <f>T61/U$51</f>
        <v>#DIV/0!</v>
      </c>
      <c r="V61" s="319"/>
      <c r="W61" s="727">
        <f t="shared" si="19"/>
        <v>1.25</v>
      </c>
      <c r="X61" s="728" t="e">
        <f t="shared" si="19"/>
        <v>#DIV/0!</v>
      </c>
    </row>
    <row r="62" spans="1:24" s="1" customFormat="1" ht="18" customHeight="1" x14ac:dyDescent="0.2">
      <c r="A62" s="680" t="s">
        <v>55</v>
      </c>
      <c r="B62" s="912"/>
      <c r="C62" s="732"/>
      <c r="D62" s="912"/>
      <c r="E62" s="733"/>
      <c r="F62" s="914"/>
      <c r="G62" s="733"/>
      <c r="H62" s="914"/>
      <c r="I62" s="733"/>
      <c r="J62" s="914"/>
      <c r="K62" s="733"/>
      <c r="L62" s="914"/>
      <c r="M62" s="733"/>
      <c r="N62" s="914"/>
      <c r="O62" s="733"/>
      <c r="P62" s="914"/>
      <c r="Q62" s="733"/>
      <c r="R62" s="914"/>
      <c r="S62" s="733"/>
      <c r="T62" s="734"/>
      <c r="U62" s="735"/>
      <c r="V62" s="319"/>
      <c r="W62" s="736"/>
      <c r="X62" s="737"/>
    </row>
    <row r="63" spans="1:24" s="1" customFormat="1" ht="15" customHeight="1" x14ac:dyDescent="0.2">
      <c r="A63" s="200" t="s">
        <v>56</v>
      </c>
      <c r="B63" s="132">
        <v>15</v>
      </c>
      <c r="C63" s="191">
        <f>B63/C$51</f>
        <v>0.55555555555555558</v>
      </c>
      <c r="D63" s="132">
        <f>10+3</f>
        <v>13</v>
      </c>
      <c r="E63" s="192">
        <f>D63/E$51</f>
        <v>0.52</v>
      </c>
      <c r="F63" s="48">
        <v>10</v>
      </c>
      <c r="G63" s="192">
        <f>F63/G$51</f>
        <v>0.47619047619047616</v>
      </c>
      <c r="H63" s="48">
        <v>9</v>
      </c>
      <c r="I63" s="192">
        <f>H63/I$51</f>
        <v>0.5</v>
      </c>
      <c r="J63" s="48">
        <v>13</v>
      </c>
      <c r="K63" s="192">
        <f>J63/K$51</f>
        <v>0.59090909090909094</v>
      </c>
      <c r="L63" s="48">
        <v>11</v>
      </c>
      <c r="M63" s="192">
        <f>L63/M$51</f>
        <v>0.5</v>
      </c>
      <c r="N63" s="48">
        <f>1+13</f>
        <v>14</v>
      </c>
      <c r="O63" s="192">
        <f>N63/O$51</f>
        <v>0.51851851851851849</v>
      </c>
      <c r="P63" s="48">
        <v>13</v>
      </c>
      <c r="Q63" s="192">
        <f>P63/Q$51</f>
        <v>0.52</v>
      </c>
      <c r="R63" s="48">
        <v>11</v>
      </c>
      <c r="S63" s="192">
        <f>R63/S$51</f>
        <v>0.45833333333333331</v>
      </c>
      <c r="T63" s="209"/>
      <c r="U63" s="203" t="e">
        <f>T63/U$51</f>
        <v>#DIV/0!</v>
      </c>
      <c r="V63" s="319"/>
      <c r="W63" s="205">
        <f t="shared" si="19"/>
        <v>12.25</v>
      </c>
      <c r="X63" s="206" t="e">
        <f t="shared" si="19"/>
        <v>#DIV/0!</v>
      </c>
    </row>
    <row r="64" spans="1:24" s="1" customFormat="1" ht="15" customHeight="1" thickBot="1" x14ac:dyDescent="0.25">
      <c r="A64" s="696" t="s">
        <v>57</v>
      </c>
      <c r="B64" s="910">
        <v>12</v>
      </c>
      <c r="C64" s="724">
        <f>B64/C$51</f>
        <v>0.44444444444444442</v>
      </c>
      <c r="D64" s="910">
        <f>9+3</f>
        <v>12</v>
      </c>
      <c r="E64" s="725">
        <f>D64/E$51</f>
        <v>0.48</v>
      </c>
      <c r="F64" s="911">
        <v>11</v>
      </c>
      <c r="G64" s="725">
        <f>F64/G$51</f>
        <v>0.52380952380952384</v>
      </c>
      <c r="H64" s="911">
        <v>9</v>
      </c>
      <c r="I64" s="725">
        <f>H64/I$51</f>
        <v>0.5</v>
      </c>
      <c r="J64" s="911">
        <v>9</v>
      </c>
      <c r="K64" s="725">
        <f>J64/K$51</f>
        <v>0.40909090909090912</v>
      </c>
      <c r="L64" s="911">
        <v>11</v>
      </c>
      <c r="M64" s="725">
        <f>L64/M$51</f>
        <v>0.5</v>
      </c>
      <c r="N64" s="911">
        <f>2+11</f>
        <v>13</v>
      </c>
      <c r="O64" s="725">
        <f>N64/O$51</f>
        <v>0.48148148148148145</v>
      </c>
      <c r="P64" s="911">
        <v>12</v>
      </c>
      <c r="Q64" s="725">
        <f>P64/Q$51</f>
        <v>0.48</v>
      </c>
      <c r="R64" s="911">
        <v>13</v>
      </c>
      <c r="S64" s="725">
        <f>R64/S$51</f>
        <v>0.54166666666666663</v>
      </c>
      <c r="T64" s="730"/>
      <c r="U64" s="726" t="e">
        <f>T64/U$51</f>
        <v>#DIV/0!</v>
      </c>
      <c r="V64" s="319"/>
      <c r="W64" s="727">
        <f t="shared" si="19"/>
        <v>12.25</v>
      </c>
      <c r="X64" s="728" t="e">
        <f t="shared" si="19"/>
        <v>#DIV/0!</v>
      </c>
    </row>
    <row r="65" spans="1:24" s="1" customFormat="1" ht="18" customHeight="1" x14ac:dyDescent="0.2">
      <c r="A65" s="680" t="s">
        <v>58</v>
      </c>
      <c r="B65" s="917"/>
      <c r="C65" s="739"/>
      <c r="D65" s="917"/>
      <c r="E65" s="740"/>
      <c r="F65" s="918"/>
      <c r="G65" s="740"/>
      <c r="H65" s="918"/>
      <c r="I65" s="740"/>
      <c r="J65" s="918"/>
      <c r="K65" s="740"/>
      <c r="L65" s="918"/>
      <c r="M65" s="740"/>
      <c r="N65" s="918"/>
      <c r="O65" s="740"/>
      <c r="P65" s="918"/>
      <c r="Q65" s="740"/>
      <c r="R65" s="918"/>
      <c r="S65" s="740"/>
      <c r="T65" s="741"/>
      <c r="U65" s="742"/>
      <c r="V65" s="319"/>
      <c r="W65" s="736"/>
      <c r="X65" s="737"/>
    </row>
    <row r="66" spans="1:24" s="1" customFormat="1" ht="15" customHeight="1" x14ac:dyDescent="0.2">
      <c r="A66" s="200" t="s">
        <v>59</v>
      </c>
      <c r="B66" s="133">
        <v>11</v>
      </c>
      <c r="C66" s="191">
        <f>B66/C$51</f>
        <v>0.40740740740740738</v>
      </c>
      <c r="D66" s="133">
        <v>11</v>
      </c>
      <c r="E66" s="192">
        <f>D66/E$51</f>
        <v>0.44</v>
      </c>
      <c r="F66" s="134">
        <v>11</v>
      </c>
      <c r="G66" s="192">
        <f>F66/G$51</f>
        <v>0.52380952380952384</v>
      </c>
      <c r="H66" s="134">
        <v>9</v>
      </c>
      <c r="I66" s="192">
        <f>H66/I$51</f>
        <v>0.5</v>
      </c>
      <c r="J66" s="134">
        <v>9</v>
      </c>
      <c r="K66" s="192">
        <f>J66/K$51</f>
        <v>0.40909090909090912</v>
      </c>
      <c r="L66" s="134">
        <v>9</v>
      </c>
      <c r="M66" s="192">
        <f>L66/M$51</f>
        <v>0.40909090909090912</v>
      </c>
      <c r="N66" s="134">
        <v>10</v>
      </c>
      <c r="O66" s="192">
        <f>N66/O$51</f>
        <v>0.37037037037037035</v>
      </c>
      <c r="P66" s="134">
        <v>10</v>
      </c>
      <c r="Q66" s="192">
        <f>P66/Q$51</f>
        <v>0.4</v>
      </c>
      <c r="R66" s="134">
        <v>10</v>
      </c>
      <c r="S66" s="192">
        <f>R66/S$51</f>
        <v>0.41666666666666669</v>
      </c>
      <c r="T66" s="211"/>
      <c r="U66" s="203" t="e">
        <f>T66/U$51</f>
        <v>#DIV/0!</v>
      </c>
      <c r="V66" s="319"/>
      <c r="W66" s="205">
        <f t="shared" si="19"/>
        <v>9.75</v>
      </c>
      <c r="X66" s="206" t="e">
        <f t="shared" si="19"/>
        <v>#DIV/0!</v>
      </c>
    </row>
    <row r="67" spans="1:24" s="1" customFormat="1" ht="15" customHeight="1" x14ac:dyDescent="0.2">
      <c r="A67" s="200" t="s">
        <v>60</v>
      </c>
      <c r="B67" s="133">
        <v>4</v>
      </c>
      <c r="C67" s="191">
        <f>B67/C$51</f>
        <v>0.14814814814814814</v>
      </c>
      <c r="D67" s="133">
        <v>4</v>
      </c>
      <c r="E67" s="192">
        <f>D67/E$51</f>
        <v>0.16</v>
      </c>
      <c r="F67" s="134">
        <v>3</v>
      </c>
      <c r="G67" s="192">
        <f>F67/G$51</f>
        <v>0.14285714285714285</v>
      </c>
      <c r="H67" s="134">
        <v>3</v>
      </c>
      <c r="I67" s="192">
        <f>H67/I$51</f>
        <v>0.16666666666666666</v>
      </c>
      <c r="J67" s="134">
        <v>5</v>
      </c>
      <c r="K67" s="192">
        <f>J67/K$51</f>
        <v>0.22727272727272727</v>
      </c>
      <c r="L67" s="134">
        <v>3</v>
      </c>
      <c r="M67" s="192">
        <f>L67/M$51</f>
        <v>0.13636363636363635</v>
      </c>
      <c r="N67" s="134">
        <v>5</v>
      </c>
      <c r="O67" s="192">
        <f>N67/O$51</f>
        <v>0.18518518518518517</v>
      </c>
      <c r="P67" s="134">
        <v>11</v>
      </c>
      <c r="Q67" s="192">
        <f>P67/Q$51</f>
        <v>0.44</v>
      </c>
      <c r="R67" s="134">
        <v>4</v>
      </c>
      <c r="S67" s="192">
        <f>R67/S$51</f>
        <v>0.16666666666666666</v>
      </c>
      <c r="T67" s="211"/>
      <c r="U67" s="203" t="e">
        <f>T67/U$51</f>
        <v>#DIV/0!</v>
      </c>
      <c r="V67" s="319"/>
      <c r="W67" s="205">
        <f t="shared" si="19"/>
        <v>5.75</v>
      </c>
      <c r="X67" s="206" t="e">
        <f t="shared" si="19"/>
        <v>#DIV/0!</v>
      </c>
    </row>
    <row r="68" spans="1:24" s="1" customFormat="1" ht="15" customHeight="1" thickBot="1" x14ac:dyDescent="0.25">
      <c r="A68" s="696" t="s">
        <v>61</v>
      </c>
      <c r="B68" s="910">
        <v>12</v>
      </c>
      <c r="C68" s="724">
        <f>B68/C$51</f>
        <v>0.44444444444444442</v>
      </c>
      <c r="D68" s="910">
        <f>6+4</f>
        <v>10</v>
      </c>
      <c r="E68" s="725">
        <f>D68/E$51</f>
        <v>0.4</v>
      </c>
      <c r="F68" s="911">
        <v>7</v>
      </c>
      <c r="G68" s="725">
        <f>F68/G$51</f>
        <v>0.33333333333333331</v>
      </c>
      <c r="H68" s="911">
        <v>6</v>
      </c>
      <c r="I68" s="725">
        <f>H68/I$51</f>
        <v>0.33333333333333331</v>
      </c>
      <c r="J68" s="911">
        <v>8</v>
      </c>
      <c r="K68" s="725">
        <f>J68/K$51</f>
        <v>0.36363636363636365</v>
      </c>
      <c r="L68" s="911">
        <v>10</v>
      </c>
      <c r="M68" s="725">
        <f>L68/M$51</f>
        <v>0.45454545454545453</v>
      </c>
      <c r="N68" s="911">
        <f>3+9</f>
        <v>12</v>
      </c>
      <c r="O68" s="725">
        <f>N68/O$51</f>
        <v>0.44444444444444442</v>
      </c>
      <c r="P68" s="911">
        <v>4</v>
      </c>
      <c r="Q68" s="725">
        <f>P68/Q$51</f>
        <v>0.16</v>
      </c>
      <c r="R68" s="911">
        <v>10</v>
      </c>
      <c r="S68" s="725">
        <f>R68/S$51</f>
        <v>0.41666666666666669</v>
      </c>
      <c r="T68" s="730"/>
      <c r="U68" s="726" t="e">
        <f>T68/U$51</f>
        <v>#DIV/0!</v>
      </c>
      <c r="V68" s="319"/>
      <c r="W68" s="727">
        <f t="shared" si="19"/>
        <v>9</v>
      </c>
      <c r="X68" s="728" t="e">
        <f t="shared" si="19"/>
        <v>#DIV/0!</v>
      </c>
    </row>
    <row r="69" spans="1:24" s="1" customFormat="1" ht="18" customHeight="1" x14ac:dyDescent="0.2">
      <c r="A69" s="680" t="s">
        <v>62</v>
      </c>
      <c r="B69" s="917"/>
      <c r="C69" s="739"/>
      <c r="D69" s="917"/>
      <c r="E69" s="740"/>
      <c r="F69" s="918"/>
      <c r="G69" s="740"/>
      <c r="H69" s="918"/>
      <c r="I69" s="740"/>
      <c r="J69" s="918"/>
      <c r="K69" s="740"/>
      <c r="L69" s="918"/>
      <c r="M69" s="740"/>
      <c r="N69" s="918"/>
      <c r="O69" s="740"/>
      <c r="P69" s="918"/>
      <c r="Q69" s="740"/>
      <c r="R69" s="918"/>
      <c r="S69" s="740"/>
      <c r="T69" s="741"/>
      <c r="U69" s="742"/>
      <c r="V69" s="319"/>
      <c r="W69" s="736"/>
      <c r="X69" s="737"/>
    </row>
    <row r="70" spans="1:24" s="1" customFormat="1" ht="15" customHeight="1" x14ac:dyDescent="0.2">
      <c r="A70" s="200" t="s">
        <v>63</v>
      </c>
      <c r="B70" s="133">
        <v>15</v>
      </c>
      <c r="C70" s="191">
        <f>B70/C$51</f>
        <v>0.55555555555555558</v>
      </c>
      <c r="D70" s="133">
        <f>1+15</f>
        <v>16</v>
      </c>
      <c r="E70" s="192">
        <f>D70/E$51</f>
        <v>0.64</v>
      </c>
      <c r="F70" s="134">
        <v>14</v>
      </c>
      <c r="G70" s="192">
        <f>F70/G$51</f>
        <v>0.66666666666666663</v>
      </c>
      <c r="H70" s="134">
        <v>12</v>
      </c>
      <c r="I70" s="192">
        <f>H70/I$51</f>
        <v>0.66666666666666663</v>
      </c>
      <c r="J70" s="134">
        <v>12</v>
      </c>
      <c r="K70" s="192">
        <f>J70/K$51</f>
        <v>0.54545454545454541</v>
      </c>
      <c r="L70" s="134">
        <v>13</v>
      </c>
      <c r="M70" s="192">
        <f>L70/M$51</f>
        <v>0.59090909090909094</v>
      </c>
      <c r="N70" s="134">
        <v>17</v>
      </c>
      <c r="O70" s="192">
        <f>N70/O$51</f>
        <v>0.62962962962962965</v>
      </c>
      <c r="P70" s="134">
        <v>14</v>
      </c>
      <c r="Q70" s="192">
        <f>P70/Q$51</f>
        <v>0.56000000000000005</v>
      </c>
      <c r="R70" s="134">
        <v>15</v>
      </c>
      <c r="S70" s="192">
        <f>R70/S$51</f>
        <v>0.625</v>
      </c>
      <c r="T70" s="211"/>
      <c r="U70" s="203" t="e">
        <f>T70/U$51</f>
        <v>#DIV/0!</v>
      </c>
      <c r="V70" s="319"/>
      <c r="W70" s="205">
        <f t="shared" si="19"/>
        <v>14.75</v>
      </c>
      <c r="X70" s="206" t="e">
        <f t="shared" si="19"/>
        <v>#DIV/0!</v>
      </c>
    </row>
    <row r="71" spans="1:24" s="1" customFormat="1" ht="15" customHeight="1" x14ac:dyDescent="0.2">
      <c r="A71" s="200" t="s">
        <v>64</v>
      </c>
      <c r="B71" s="133">
        <v>8</v>
      </c>
      <c r="C71" s="191">
        <f>B71/C$51</f>
        <v>0.29629629629629628</v>
      </c>
      <c r="D71" s="133">
        <f>2+4</f>
        <v>6</v>
      </c>
      <c r="E71" s="192">
        <f>D71/E$51</f>
        <v>0.24</v>
      </c>
      <c r="F71" s="134">
        <v>6</v>
      </c>
      <c r="G71" s="192">
        <f>F71/G$51</f>
        <v>0.2857142857142857</v>
      </c>
      <c r="H71" s="134">
        <v>4</v>
      </c>
      <c r="I71" s="192">
        <f>H71/I$51</f>
        <v>0.22222222222222221</v>
      </c>
      <c r="J71" s="134">
        <v>8</v>
      </c>
      <c r="K71" s="192">
        <f>J71/K$51</f>
        <v>0.36363636363636365</v>
      </c>
      <c r="L71" s="134">
        <v>7</v>
      </c>
      <c r="M71" s="192">
        <f>L71/M$51</f>
        <v>0.31818181818181818</v>
      </c>
      <c r="N71" s="134">
        <f>3+5</f>
        <v>8</v>
      </c>
      <c r="O71" s="192">
        <f>N71/O$51</f>
        <v>0.29629629629629628</v>
      </c>
      <c r="P71" s="134">
        <v>8</v>
      </c>
      <c r="Q71" s="192">
        <f>P71/Q$51</f>
        <v>0.32</v>
      </c>
      <c r="R71" s="134">
        <v>7</v>
      </c>
      <c r="S71" s="192">
        <f>R71/S$51</f>
        <v>0.29166666666666669</v>
      </c>
      <c r="T71" s="211"/>
      <c r="U71" s="203" t="e">
        <f>T71/U$51</f>
        <v>#DIV/0!</v>
      </c>
      <c r="V71" s="319"/>
      <c r="W71" s="205">
        <f t="shared" si="19"/>
        <v>7.5</v>
      </c>
      <c r="X71" s="206" t="e">
        <f t="shared" si="19"/>
        <v>#DIV/0!</v>
      </c>
    </row>
    <row r="72" spans="1:24" s="1" customFormat="1" ht="15" customHeight="1" x14ac:dyDescent="0.2">
      <c r="A72" s="200" t="s">
        <v>65</v>
      </c>
      <c r="B72" s="133">
        <v>4</v>
      </c>
      <c r="C72" s="191">
        <f>B72/C$51</f>
        <v>0.14814814814814814</v>
      </c>
      <c r="D72" s="133">
        <v>3</v>
      </c>
      <c r="E72" s="192">
        <f>D72/E$51</f>
        <v>0.12</v>
      </c>
      <c r="F72" s="134">
        <v>1</v>
      </c>
      <c r="G72" s="192">
        <f>F72/G$51</f>
        <v>4.7619047619047616E-2</v>
      </c>
      <c r="H72" s="134">
        <v>2</v>
      </c>
      <c r="I72" s="192">
        <f>H72/I$51</f>
        <v>0.1111111111111111</v>
      </c>
      <c r="J72" s="134">
        <v>2</v>
      </c>
      <c r="K72" s="192">
        <f>J72/K$51</f>
        <v>9.0909090909090912E-2</v>
      </c>
      <c r="L72" s="134">
        <v>2</v>
      </c>
      <c r="M72" s="192">
        <f>L72/M$51</f>
        <v>9.0909090909090912E-2</v>
      </c>
      <c r="N72" s="134">
        <v>2</v>
      </c>
      <c r="O72" s="192">
        <f>N72/O$51</f>
        <v>7.407407407407407E-2</v>
      </c>
      <c r="P72" s="134">
        <v>3</v>
      </c>
      <c r="Q72" s="192">
        <f>P72/Q$51</f>
        <v>0.12</v>
      </c>
      <c r="R72" s="134">
        <v>2</v>
      </c>
      <c r="S72" s="192">
        <f>R72/S$51</f>
        <v>8.3333333333333329E-2</v>
      </c>
      <c r="T72" s="211"/>
      <c r="U72" s="203" t="e">
        <f>T72/U$51</f>
        <v>#DIV/0!</v>
      </c>
      <c r="V72" s="195"/>
      <c r="W72" s="205">
        <f t="shared" si="19"/>
        <v>2.25</v>
      </c>
      <c r="X72" s="206" t="e">
        <f t="shared" si="19"/>
        <v>#DIV/0!</v>
      </c>
    </row>
    <row r="73" spans="1:24" s="1" customFormat="1" ht="15" customHeight="1" thickBot="1" x14ac:dyDescent="0.25">
      <c r="A73" s="212" t="s">
        <v>66</v>
      </c>
      <c r="B73" s="159">
        <v>0</v>
      </c>
      <c r="C73" s="214">
        <f>B73/C$51</f>
        <v>0</v>
      </c>
      <c r="D73" s="159">
        <v>0</v>
      </c>
      <c r="E73" s="215">
        <f>D73/E$51</f>
        <v>0</v>
      </c>
      <c r="F73" s="163">
        <v>0</v>
      </c>
      <c r="G73" s="215">
        <f>F73/G$51</f>
        <v>0</v>
      </c>
      <c r="H73" s="163">
        <v>0</v>
      </c>
      <c r="I73" s="215">
        <f>H73/I$51</f>
        <v>0</v>
      </c>
      <c r="J73" s="163">
        <v>0</v>
      </c>
      <c r="K73" s="215">
        <f>J73/K$51</f>
        <v>0</v>
      </c>
      <c r="L73" s="163">
        <v>0</v>
      </c>
      <c r="M73" s="215">
        <f>L73/M$51</f>
        <v>0</v>
      </c>
      <c r="N73" s="163">
        <v>0</v>
      </c>
      <c r="O73" s="215">
        <f>N73/O$51</f>
        <v>0</v>
      </c>
      <c r="P73" s="163">
        <v>0</v>
      </c>
      <c r="Q73" s="215">
        <f>P73/Q$51</f>
        <v>0</v>
      </c>
      <c r="R73" s="163">
        <v>0</v>
      </c>
      <c r="S73" s="215">
        <f>R73/S$51</f>
        <v>0</v>
      </c>
      <c r="T73" s="217"/>
      <c r="U73" s="218" t="e">
        <f>T73/U$51</f>
        <v>#DIV/0!</v>
      </c>
      <c r="V73" s="195"/>
      <c r="W73" s="219">
        <f t="shared" si="19"/>
        <v>0</v>
      </c>
      <c r="X73" s="220" t="e">
        <f t="shared" si="19"/>
        <v>#DIV/0!</v>
      </c>
    </row>
    <row r="74" spans="1:24" ht="15" customHeight="1" thickTop="1" x14ac:dyDescent="0.2">
      <c r="A74" s="743" t="s">
        <v>248</v>
      </c>
    </row>
    <row r="75" spans="1:24" ht="15" customHeight="1" x14ac:dyDescent="0.2">
      <c r="A75" s="1"/>
      <c r="H75" s="65" t="s">
        <v>19</v>
      </c>
      <c r="J75" s="65" t="s">
        <v>19</v>
      </c>
      <c r="L75" s="65" t="s">
        <v>19</v>
      </c>
      <c r="N75" s="65" t="s">
        <v>19</v>
      </c>
      <c r="P75" s="65" t="s">
        <v>19</v>
      </c>
      <c r="R75" s="65" t="s">
        <v>19</v>
      </c>
      <c r="T75" s="65"/>
    </row>
    <row r="76" spans="1:24" x14ac:dyDescent="0.2">
      <c r="A76" s="1"/>
    </row>
    <row r="77" spans="1:24" x14ac:dyDescent="0.2">
      <c r="A77" s="1"/>
    </row>
    <row r="78" spans="1:24" x14ac:dyDescent="0.2">
      <c r="A78" s="1"/>
    </row>
    <row r="79" spans="1:24" x14ac:dyDescent="0.2">
      <c r="A79" s="1"/>
    </row>
    <row r="80" spans="1:24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x14ac:dyDescent="0.2">
      <c r="A84" s="1"/>
    </row>
    <row r="85" spans="1:1" x14ac:dyDescent="0.2">
      <c r="A85" s="1"/>
    </row>
    <row r="86" spans="1:1" x14ac:dyDescent="0.2">
      <c r="A86" s="1"/>
    </row>
    <row r="87" spans="1:1" x14ac:dyDescent="0.2">
      <c r="A87" s="1"/>
    </row>
    <row r="88" spans="1:1" x14ac:dyDescent="0.2">
      <c r="A88" s="1"/>
    </row>
    <row r="89" spans="1:1" x14ac:dyDescent="0.2">
      <c r="A89" s="1"/>
    </row>
    <row r="90" spans="1:1" x14ac:dyDescent="0.2">
      <c r="A90" s="1"/>
    </row>
    <row r="91" spans="1:1" x14ac:dyDescent="0.2">
      <c r="A91" s="1"/>
    </row>
    <row r="92" spans="1:1" x14ac:dyDescent="0.2">
      <c r="A92" s="1"/>
    </row>
    <row r="93" spans="1:1" x14ac:dyDescent="0.2">
      <c r="A93" s="1"/>
    </row>
    <row r="94" spans="1:1" x14ac:dyDescent="0.2">
      <c r="A94" s="1"/>
    </row>
    <row r="95" spans="1:1" x14ac:dyDescent="0.2">
      <c r="A95" s="1"/>
    </row>
    <row r="96" spans="1:1" x14ac:dyDescent="0.2">
      <c r="A96" s="1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x14ac:dyDescent="0.2">
      <c r="A100" s="1"/>
    </row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x14ac:dyDescent="0.2">
      <c r="A107" s="1"/>
    </row>
    <row r="108" spans="1:1" x14ac:dyDescent="0.2">
      <c r="A108" s="1"/>
    </row>
    <row r="109" spans="1:1" x14ac:dyDescent="0.2">
      <c r="A109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x14ac:dyDescent="0.2">
      <c r="A120" s="1"/>
    </row>
    <row r="121" spans="1:1" x14ac:dyDescent="0.2">
      <c r="A121" s="1"/>
    </row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x14ac:dyDescent="0.2">
      <c r="A128" s="1"/>
    </row>
    <row r="129" spans="1:1" x14ac:dyDescent="0.2">
      <c r="A129" s="1"/>
    </row>
    <row r="130" spans="1:1" x14ac:dyDescent="0.2">
      <c r="A130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x14ac:dyDescent="0.2">
      <c r="A152" s="1"/>
    </row>
    <row r="153" spans="1:1" x14ac:dyDescent="0.2">
      <c r="A153" s="1"/>
    </row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  <row r="177" spans="1:1" x14ac:dyDescent="0.2">
      <c r="A177" s="1"/>
    </row>
    <row r="178" spans="1:1" x14ac:dyDescent="0.2">
      <c r="A178" s="1"/>
    </row>
    <row r="179" spans="1:1" x14ac:dyDescent="0.2">
      <c r="A179" s="1"/>
    </row>
    <row r="180" spans="1:1" x14ac:dyDescent="0.2">
      <c r="A180" s="1"/>
    </row>
    <row r="181" spans="1:1" x14ac:dyDescent="0.2">
      <c r="A181" s="1"/>
    </row>
    <row r="182" spans="1:1" x14ac:dyDescent="0.2">
      <c r="A182" s="1"/>
    </row>
    <row r="183" spans="1:1" x14ac:dyDescent="0.2">
      <c r="A183" s="1"/>
    </row>
    <row r="184" spans="1:1" x14ac:dyDescent="0.2">
      <c r="A184" s="1"/>
    </row>
    <row r="185" spans="1:1" x14ac:dyDescent="0.2">
      <c r="A185" s="1"/>
    </row>
    <row r="186" spans="1:1" x14ac:dyDescent="0.2">
      <c r="A186" s="1"/>
    </row>
    <row r="187" spans="1:1" x14ac:dyDescent="0.2">
      <c r="A187" s="1"/>
    </row>
    <row r="188" spans="1:1" x14ac:dyDescent="0.2">
      <c r="A188" s="1"/>
    </row>
    <row r="189" spans="1:1" x14ac:dyDescent="0.2">
      <c r="A189" s="1"/>
    </row>
    <row r="190" spans="1:1" x14ac:dyDescent="0.2">
      <c r="A190" s="1"/>
    </row>
    <row r="191" spans="1:1" x14ac:dyDescent="0.2">
      <c r="A191" s="1"/>
    </row>
    <row r="192" spans="1:1" x14ac:dyDescent="0.2">
      <c r="A192" s="1"/>
    </row>
    <row r="193" spans="1:1" x14ac:dyDescent="0.2">
      <c r="A193" s="1"/>
    </row>
    <row r="194" spans="1:1" x14ac:dyDescent="0.2">
      <c r="A194" s="1"/>
    </row>
    <row r="195" spans="1:1" x14ac:dyDescent="0.2">
      <c r="A195" s="1"/>
    </row>
    <row r="196" spans="1:1" x14ac:dyDescent="0.2">
      <c r="A196" s="1"/>
    </row>
    <row r="197" spans="1:1" x14ac:dyDescent="0.2">
      <c r="A197" s="1"/>
    </row>
    <row r="198" spans="1:1" x14ac:dyDescent="0.2">
      <c r="A198" s="1"/>
    </row>
    <row r="199" spans="1:1" x14ac:dyDescent="0.2">
      <c r="A199" s="1"/>
    </row>
    <row r="200" spans="1:1" x14ac:dyDescent="0.2">
      <c r="A200" s="1"/>
    </row>
    <row r="201" spans="1:1" x14ac:dyDescent="0.2">
      <c r="A201" s="1"/>
    </row>
    <row r="202" spans="1:1" x14ac:dyDescent="0.2">
      <c r="A202" s="1"/>
    </row>
    <row r="203" spans="1:1" x14ac:dyDescent="0.2">
      <c r="A203" s="1"/>
    </row>
    <row r="204" spans="1:1" x14ac:dyDescent="0.2">
      <c r="A204" s="1"/>
    </row>
    <row r="205" spans="1:1" x14ac:dyDescent="0.2">
      <c r="A205" s="1"/>
    </row>
    <row r="206" spans="1:1" x14ac:dyDescent="0.2">
      <c r="A206" s="1"/>
    </row>
    <row r="207" spans="1:1" x14ac:dyDescent="0.2">
      <c r="A207" s="1"/>
    </row>
    <row r="208" spans="1:1" x14ac:dyDescent="0.2">
      <c r="A208" s="1"/>
    </row>
    <row r="209" spans="1:1" x14ac:dyDescent="0.2">
      <c r="A209" s="1"/>
    </row>
    <row r="210" spans="1:1" x14ac:dyDescent="0.2">
      <c r="A210" s="1"/>
    </row>
    <row r="211" spans="1:1" x14ac:dyDescent="0.2">
      <c r="A211" s="1"/>
    </row>
    <row r="212" spans="1:1" x14ac:dyDescent="0.2">
      <c r="A212" s="1"/>
    </row>
    <row r="213" spans="1:1" x14ac:dyDescent="0.2">
      <c r="A213" s="1"/>
    </row>
    <row r="214" spans="1:1" x14ac:dyDescent="0.2">
      <c r="A214" s="1"/>
    </row>
    <row r="215" spans="1:1" x14ac:dyDescent="0.2">
      <c r="A215" s="1"/>
    </row>
    <row r="216" spans="1:1" x14ac:dyDescent="0.2">
      <c r="A216" s="1"/>
    </row>
    <row r="217" spans="1:1" x14ac:dyDescent="0.2">
      <c r="A217" s="1"/>
    </row>
    <row r="218" spans="1:1" x14ac:dyDescent="0.2">
      <c r="A218" s="1"/>
    </row>
    <row r="219" spans="1:1" x14ac:dyDescent="0.2">
      <c r="A219" s="1"/>
    </row>
    <row r="220" spans="1:1" x14ac:dyDescent="0.2">
      <c r="A220" s="1"/>
    </row>
    <row r="221" spans="1:1" x14ac:dyDescent="0.2">
      <c r="A221" s="1"/>
    </row>
    <row r="222" spans="1:1" x14ac:dyDescent="0.2">
      <c r="A222" s="1"/>
    </row>
    <row r="223" spans="1:1" x14ac:dyDescent="0.2">
      <c r="A223" s="1"/>
    </row>
    <row r="224" spans="1:1" x14ac:dyDescent="0.2">
      <c r="A224" s="1"/>
    </row>
    <row r="225" spans="1:1" x14ac:dyDescent="0.2">
      <c r="A225" s="1"/>
    </row>
    <row r="226" spans="1:1" x14ac:dyDescent="0.2">
      <c r="A226" s="1"/>
    </row>
    <row r="227" spans="1:1" x14ac:dyDescent="0.2">
      <c r="A227" s="1"/>
    </row>
    <row r="228" spans="1:1" x14ac:dyDescent="0.2">
      <c r="A228" s="1"/>
    </row>
    <row r="229" spans="1:1" x14ac:dyDescent="0.2">
      <c r="A229" s="1"/>
    </row>
    <row r="230" spans="1:1" x14ac:dyDescent="0.2">
      <c r="A230" s="1"/>
    </row>
    <row r="231" spans="1:1" x14ac:dyDescent="0.2">
      <c r="A231" s="1"/>
    </row>
    <row r="232" spans="1:1" x14ac:dyDescent="0.2">
      <c r="A232" s="1"/>
    </row>
    <row r="233" spans="1:1" x14ac:dyDescent="0.2">
      <c r="A233" s="1"/>
    </row>
    <row r="234" spans="1:1" x14ac:dyDescent="0.2">
      <c r="A234" s="1"/>
    </row>
    <row r="235" spans="1:1" x14ac:dyDescent="0.2">
      <c r="A235" s="1"/>
    </row>
    <row r="236" spans="1:1" x14ac:dyDescent="0.2">
      <c r="A236" s="1"/>
    </row>
    <row r="237" spans="1:1" x14ac:dyDescent="0.2">
      <c r="A237" s="1"/>
    </row>
    <row r="238" spans="1:1" x14ac:dyDescent="0.2">
      <c r="A238" s="1"/>
    </row>
    <row r="239" spans="1:1" x14ac:dyDescent="0.2">
      <c r="A239" s="1"/>
    </row>
    <row r="240" spans="1:1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6" spans="1:1" x14ac:dyDescent="0.2">
      <c r="A296" s="1"/>
    </row>
    <row r="297" spans="1:1" x14ac:dyDescent="0.2">
      <c r="A297" s="1"/>
    </row>
    <row r="298" spans="1:1" x14ac:dyDescent="0.2">
      <c r="A298" s="1"/>
    </row>
    <row r="299" spans="1:1" x14ac:dyDescent="0.2">
      <c r="A299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  <row r="303" spans="1:1" x14ac:dyDescent="0.2">
      <c r="A303" s="1"/>
    </row>
    <row r="304" spans="1:1" x14ac:dyDescent="0.2">
      <c r="A304" s="1"/>
    </row>
    <row r="305" spans="1:1" x14ac:dyDescent="0.2">
      <c r="A305" s="1"/>
    </row>
    <row r="306" spans="1:1" x14ac:dyDescent="0.2">
      <c r="A306" s="1"/>
    </row>
    <row r="307" spans="1:1" x14ac:dyDescent="0.2">
      <c r="A307" s="1"/>
    </row>
    <row r="308" spans="1:1" x14ac:dyDescent="0.2">
      <c r="A308" s="1"/>
    </row>
    <row r="309" spans="1:1" x14ac:dyDescent="0.2">
      <c r="A309" s="1"/>
    </row>
    <row r="310" spans="1:1" x14ac:dyDescent="0.2">
      <c r="A310" s="1"/>
    </row>
    <row r="311" spans="1:1" x14ac:dyDescent="0.2">
      <c r="A311" s="1"/>
    </row>
    <row r="312" spans="1:1" x14ac:dyDescent="0.2">
      <c r="A312" s="1"/>
    </row>
    <row r="313" spans="1:1" x14ac:dyDescent="0.2">
      <c r="A313" s="1"/>
    </row>
    <row r="314" spans="1:1" x14ac:dyDescent="0.2">
      <c r="A314" s="1"/>
    </row>
    <row r="315" spans="1:1" x14ac:dyDescent="0.2">
      <c r="A315" s="1"/>
    </row>
    <row r="316" spans="1:1" x14ac:dyDescent="0.2">
      <c r="A316" s="1"/>
    </row>
    <row r="317" spans="1:1" x14ac:dyDescent="0.2">
      <c r="A317" s="1"/>
    </row>
    <row r="318" spans="1:1" x14ac:dyDescent="0.2">
      <c r="A318" s="1"/>
    </row>
    <row r="319" spans="1:1" x14ac:dyDescent="0.2">
      <c r="A319" s="1"/>
    </row>
    <row r="320" spans="1:1" x14ac:dyDescent="0.2">
      <c r="A320" s="1"/>
    </row>
    <row r="321" spans="1:1" x14ac:dyDescent="0.2">
      <c r="A321" s="1"/>
    </row>
    <row r="322" spans="1:1" x14ac:dyDescent="0.2">
      <c r="A322" s="1"/>
    </row>
    <row r="323" spans="1:1" x14ac:dyDescent="0.2">
      <c r="A323" s="1"/>
    </row>
    <row r="324" spans="1:1" x14ac:dyDescent="0.2">
      <c r="A324" s="1"/>
    </row>
    <row r="325" spans="1:1" x14ac:dyDescent="0.2">
      <c r="A325" s="1"/>
    </row>
    <row r="326" spans="1:1" x14ac:dyDescent="0.2">
      <c r="A326" s="1"/>
    </row>
    <row r="327" spans="1:1" x14ac:dyDescent="0.2">
      <c r="A327" s="1"/>
    </row>
    <row r="328" spans="1:1" x14ac:dyDescent="0.2">
      <c r="A328" s="1"/>
    </row>
    <row r="329" spans="1:1" x14ac:dyDescent="0.2">
      <c r="A329" s="1"/>
    </row>
    <row r="330" spans="1:1" x14ac:dyDescent="0.2">
      <c r="A330" s="1"/>
    </row>
    <row r="331" spans="1:1" x14ac:dyDescent="0.2">
      <c r="A331" s="1"/>
    </row>
    <row r="332" spans="1:1" x14ac:dyDescent="0.2">
      <c r="A332" s="1"/>
    </row>
    <row r="333" spans="1:1" x14ac:dyDescent="0.2">
      <c r="A333" s="1"/>
    </row>
    <row r="334" spans="1:1" x14ac:dyDescent="0.2">
      <c r="A334" s="1"/>
    </row>
    <row r="335" spans="1:1" x14ac:dyDescent="0.2">
      <c r="A335" s="1"/>
    </row>
    <row r="336" spans="1:1" x14ac:dyDescent="0.2">
      <c r="A336" s="1"/>
    </row>
    <row r="337" spans="1:1" x14ac:dyDescent="0.2">
      <c r="A337" s="1"/>
    </row>
    <row r="338" spans="1:1" x14ac:dyDescent="0.2">
      <c r="A338" s="1"/>
    </row>
    <row r="339" spans="1:1" x14ac:dyDescent="0.2">
      <c r="A339" s="1"/>
    </row>
    <row r="340" spans="1:1" x14ac:dyDescent="0.2">
      <c r="A340" s="1"/>
    </row>
    <row r="341" spans="1:1" x14ac:dyDescent="0.2">
      <c r="A341" s="1"/>
    </row>
    <row r="342" spans="1:1" x14ac:dyDescent="0.2">
      <c r="A342" s="1"/>
    </row>
    <row r="343" spans="1:1" x14ac:dyDescent="0.2">
      <c r="A343" s="1"/>
    </row>
    <row r="344" spans="1:1" x14ac:dyDescent="0.2">
      <c r="A344" s="1"/>
    </row>
    <row r="345" spans="1:1" x14ac:dyDescent="0.2">
      <c r="A345" s="1"/>
    </row>
    <row r="346" spans="1:1" x14ac:dyDescent="0.2">
      <c r="A346" s="1"/>
    </row>
    <row r="347" spans="1:1" x14ac:dyDescent="0.2">
      <c r="A347" s="1"/>
    </row>
    <row r="348" spans="1:1" x14ac:dyDescent="0.2">
      <c r="A348" s="1"/>
    </row>
    <row r="349" spans="1:1" x14ac:dyDescent="0.2">
      <c r="A349" s="1"/>
    </row>
    <row r="350" spans="1:1" x14ac:dyDescent="0.2">
      <c r="A350" s="1"/>
    </row>
    <row r="351" spans="1:1" x14ac:dyDescent="0.2">
      <c r="A351" s="1"/>
    </row>
    <row r="352" spans="1:1" x14ac:dyDescent="0.2">
      <c r="A352" s="1"/>
    </row>
    <row r="353" spans="1:1" x14ac:dyDescent="0.2">
      <c r="A353" s="1"/>
    </row>
    <row r="354" spans="1:1" x14ac:dyDescent="0.2">
      <c r="A354" s="1"/>
    </row>
    <row r="355" spans="1:1" x14ac:dyDescent="0.2">
      <c r="A355" s="1"/>
    </row>
    <row r="356" spans="1:1" x14ac:dyDescent="0.2">
      <c r="A356" s="1"/>
    </row>
    <row r="357" spans="1:1" x14ac:dyDescent="0.2">
      <c r="A357" s="1"/>
    </row>
    <row r="358" spans="1:1" x14ac:dyDescent="0.2">
      <c r="A358" s="1"/>
    </row>
    <row r="359" spans="1:1" x14ac:dyDescent="0.2">
      <c r="A359" s="1"/>
    </row>
    <row r="360" spans="1:1" x14ac:dyDescent="0.2">
      <c r="A360" s="1"/>
    </row>
    <row r="361" spans="1:1" x14ac:dyDescent="0.2">
      <c r="A361" s="1"/>
    </row>
    <row r="362" spans="1:1" x14ac:dyDescent="0.2">
      <c r="A362" s="1"/>
    </row>
    <row r="363" spans="1:1" x14ac:dyDescent="0.2">
      <c r="A363" s="1"/>
    </row>
    <row r="364" spans="1:1" x14ac:dyDescent="0.2">
      <c r="A364" s="1"/>
    </row>
    <row r="365" spans="1:1" x14ac:dyDescent="0.2">
      <c r="A365" s="1"/>
    </row>
    <row r="366" spans="1:1" x14ac:dyDescent="0.2">
      <c r="A366" s="1"/>
    </row>
    <row r="367" spans="1:1" x14ac:dyDescent="0.2">
      <c r="A367" s="1"/>
    </row>
    <row r="368" spans="1:1" x14ac:dyDescent="0.2">
      <c r="A368" s="1"/>
    </row>
    <row r="369" spans="1:1" x14ac:dyDescent="0.2">
      <c r="A369" s="1"/>
    </row>
    <row r="370" spans="1:1" x14ac:dyDescent="0.2">
      <c r="A370" s="1"/>
    </row>
    <row r="371" spans="1:1" x14ac:dyDescent="0.2">
      <c r="A371" s="1"/>
    </row>
    <row r="372" spans="1:1" x14ac:dyDescent="0.2">
      <c r="A372" s="1"/>
    </row>
    <row r="373" spans="1:1" x14ac:dyDescent="0.2">
      <c r="A373" s="1"/>
    </row>
    <row r="374" spans="1:1" x14ac:dyDescent="0.2">
      <c r="A374" s="1"/>
    </row>
    <row r="375" spans="1:1" x14ac:dyDescent="0.2">
      <c r="A375" s="1"/>
    </row>
    <row r="376" spans="1:1" x14ac:dyDescent="0.2">
      <c r="A376" s="1"/>
    </row>
    <row r="377" spans="1:1" x14ac:dyDescent="0.2">
      <c r="A377" s="1"/>
    </row>
    <row r="378" spans="1:1" x14ac:dyDescent="0.2">
      <c r="A378" s="1"/>
    </row>
    <row r="379" spans="1:1" x14ac:dyDescent="0.2">
      <c r="A379" s="1"/>
    </row>
    <row r="380" spans="1:1" x14ac:dyDescent="0.2">
      <c r="A380" s="1"/>
    </row>
    <row r="381" spans="1:1" x14ac:dyDescent="0.2">
      <c r="A381" s="1"/>
    </row>
    <row r="382" spans="1:1" x14ac:dyDescent="0.2">
      <c r="A382" s="1"/>
    </row>
    <row r="383" spans="1:1" x14ac:dyDescent="0.2">
      <c r="A383" s="1"/>
    </row>
    <row r="384" spans="1:1" x14ac:dyDescent="0.2">
      <c r="A384" s="1"/>
    </row>
    <row r="385" spans="1:1" x14ac:dyDescent="0.2">
      <c r="A385" s="1"/>
    </row>
    <row r="386" spans="1:1" x14ac:dyDescent="0.2">
      <c r="A386" s="1"/>
    </row>
    <row r="387" spans="1:1" x14ac:dyDescent="0.2">
      <c r="A387" s="1"/>
    </row>
    <row r="388" spans="1:1" x14ac:dyDescent="0.2">
      <c r="A388" s="1"/>
    </row>
    <row r="389" spans="1:1" x14ac:dyDescent="0.2">
      <c r="A389" s="1"/>
    </row>
    <row r="390" spans="1:1" x14ac:dyDescent="0.2">
      <c r="A390" s="1"/>
    </row>
    <row r="391" spans="1:1" x14ac:dyDescent="0.2">
      <c r="A391" s="1"/>
    </row>
    <row r="392" spans="1:1" x14ac:dyDescent="0.2">
      <c r="A392" s="1"/>
    </row>
    <row r="393" spans="1:1" x14ac:dyDescent="0.2">
      <c r="A393" s="1"/>
    </row>
    <row r="394" spans="1:1" x14ac:dyDescent="0.2">
      <c r="A394" s="1"/>
    </row>
    <row r="395" spans="1:1" x14ac:dyDescent="0.2">
      <c r="A395" s="1"/>
    </row>
    <row r="396" spans="1:1" x14ac:dyDescent="0.2">
      <c r="A396" s="1"/>
    </row>
    <row r="397" spans="1:1" x14ac:dyDescent="0.2">
      <c r="A397" s="1"/>
    </row>
    <row r="398" spans="1:1" x14ac:dyDescent="0.2">
      <c r="A398" s="1"/>
    </row>
    <row r="399" spans="1:1" x14ac:dyDescent="0.2">
      <c r="A399" s="1"/>
    </row>
    <row r="400" spans="1:1" x14ac:dyDescent="0.2">
      <c r="A400" s="1"/>
    </row>
    <row r="401" spans="1:1" x14ac:dyDescent="0.2">
      <c r="A401" s="1"/>
    </row>
    <row r="402" spans="1:1" x14ac:dyDescent="0.2">
      <c r="A402" s="1"/>
    </row>
    <row r="403" spans="1:1" x14ac:dyDescent="0.2">
      <c r="A403" s="1"/>
    </row>
    <row r="404" spans="1:1" x14ac:dyDescent="0.2">
      <c r="A404" s="1"/>
    </row>
    <row r="405" spans="1:1" x14ac:dyDescent="0.2">
      <c r="A405" s="1"/>
    </row>
    <row r="406" spans="1:1" x14ac:dyDescent="0.2">
      <c r="A406" s="1"/>
    </row>
    <row r="407" spans="1:1" x14ac:dyDescent="0.2">
      <c r="A407" s="1"/>
    </row>
    <row r="408" spans="1:1" x14ac:dyDescent="0.2">
      <c r="A408" s="1"/>
    </row>
    <row r="409" spans="1:1" x14ac:dyDescent="0.2">
      <c r="A409" s="1"/>
    </row>
    <row r="410" spans="1:1" x14ac:dyDescent="0.2">
      <c r="A410" s="1"/>
    </row>
    <row r="411" spans="1:1" x14ac:dyDescent="0.2">
      <c r="A411" s="1"/>
    </row>
    <row r="412" spans="1:1" x14ac:dyDescent="0.2">
      <c r="A412" s="1"/>
    </row>
    <row r="413" spans="1:1" x14ac:dyDescent="0.2">
      <c r="A413" s="1"/>
    </row>
    <row r="414" spans="1:1" x14ac:dyDescent="0.2">
      <c r="A414" s="1"/>
    </row>
    <row r="415" spans="1:1" x14ac:dyDescent="0.2">
      <c r="A415" s="1"/>
    </row>
    <row r="416" spans="1:1" x14ac:dyDescent="0.2">
      <c r="A416" s="1"/>
    </row>
    <row r="417" spans="1:1" x14ac:dyDescent="0.2">
      <c r="A417" s="1"/>
    </row>
    <row r="418" spans="1:1" x14ac:dyDescent="0.2">
      <c r="A418" s="1"/>
    </row>
    <row r="419" spans="1:1" x14ac:dyDescent="0.2">
      <c r="A419" s="1"/>
    </row>
    <row r="420" spans="1:1" x14ac:dyDescent="0.2">
      <c r="A420" s="1"/>
    </row>
  </sheetData>
  <mergeCells count="77">
    <mergeCell ref="W9:X9"/>
    <mergeCell ref="P9:Q9"/>
    <mergeCell ref="B9:C9"/>
    <mergeCell ref="D9:E9"/>
    <mergeCell ref="F9:G9"/>
    <mergeCell ref="H9:I9"/>
    <mergeCell ref="J9:K9"/>
    <mergeCell ref="T9:U9"/>
    <mergeCell ref="L18:M18"/>
    <mergeCell ref="N18:O18"/>
    <mergeCell ref="L9:M9"/>
    <mergeCell ref="N9:O9"/>
    <mergeCell ref="R9:S9"/>
    <mergeCell ref="B18:C18"/>
    <mergeCell ref="D18:E18"/>
    <mergeCell ref="F18:G18"/>
    <mergeCell ref="H18:I18"/>
    <mergeCell ref="J18:K18"/>
    <mergeCell ref="P22:Q22"/>
    <mergeCell ref="R22:S22"/>
    <mergeCell ref="W22:X22"/>
    <mergeCell ref="R18:S18"/>
    <mergeCell ref="W18:X18"/>
    <mergeCell ref="P18:Q18"/>
    <mergeCell ref="T18:U18"/>
    <mergeCell ref="T22:U22"/>
    <mergeCell ref="J22:K22"/>
    <mergeCell ref="L22:M22"/>
    <mergeCell ref="N22:O22"/>
    <mergeCell ref="B22:C22"/>
    <mergeCell ref="D22:E22"/>
    <mergeCell ref="F22:G22"/>
    <mergeCell ref="H22:I22"/>
    <mergeCell ref="B31:C31"/>
    <mergeCell ref="D31:E31"/>
    <mergeCell ref="F31:G31"/>
    <mergeCell ref="H31:I31"/>
    <mergeCell ref="P31:Q31"/>
    <mergeCell ref="J31:K31"/>
    <mergeCell ref="L31:M31"/>
    <mergeCell ref="N31:O31"/>
    <mergeCell ref="R24:S24"/>
    <mergeCell ref="W24:X24"/>
    <mergeCell ref="P24:Q24"/>
    <mergeCell ref="B24:C24"/>
    <mergeCell ref="D24:E24"/>
    <mergeCell ref="F24:G24"/>
    <mergeCell ref="H24:I24"/>
    <mergeCell ref="J24:K24"/>
    <mergeCell ref="L24:M24"/>
    <mergeCell ref="N24:O24"/>
    <mergeCell ref="T24:U24"/>
    <mergeCell ref="R31:S31"/>
    <mergeCell ref="W34:X34"/>
    <mergeCell ref="P34:Q34"/>
    <mergeCell ref="R34:S34"/>
    <mergeCell ref="J34:K34"/>
    <mergeCell ref="L34:M34"/>
    <mergeCell ref="N34:O34"/>
    <mergeCell ref="W31:X31"/>
    <mergeCell ref="T31:U31"/>
    <mergeCell ref="T34:U34"/>
    <mergeCell ref="P39:Q39"/>
    <mergeCell ref="R39:S39"/>
    <mergeCell ref="W39:X39"/>
    <mergeCell ref="B39:C39"/>
    <mergeCell ref="D39:E39"/>
    <mergeCell ref="F39:G39"/>
    <mergeCell ref="H39:I39"/>
    <mergeCell ref="J39:K39"/>
    <mergeCell ref="T39:U39"/>
    <mergeCell ref="B34:C34"/>
    <mergeCell ref="D34:E34"/>
    <mergeCell ref="F34:G34"/>
    <mergeCell ref="L39:M39"/>
    <mergeCell ref="N39:O39"/>
    <mergeCell ref="H34:I34"/>
  </mergeCells>
  <printOptions horizontalCentered="1"/>
  <pageMargins left="0.75" right="0.75" top="0.5" bottom="0.5" header="0.25" footer="0.25"/>
  <pageSetup scale="70" orientation="landscape" r:id="rId1"/>
  <headerFooter alignWithMargins="0">
    <oddHeader xml:space="preserve">&amp;L
</oddHeader>
    <oddFooter>&amp;LPrepared by Planning and Analysis&amp;C&amp;P of &amp;N&amp;RUpdated &amp;D</oddFooter>
  </headerFooter>
  <rowBreaks count="1" manualBreakCount="1">
    <brk id="37" max="21" man="1"/>
  </rowBreaks>
  <colBreaks count="1" manualBreakCount="1">
    <brk id="21" min="8" max="73" man="1"/>
  </colBreaks>
  <ignoredErrors>
    <ignoredError sqref="A54:N73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G425"/>
  <sheetViews>
    <sheetView view="pageBreakPreview" zoomScaleNormal="100" zoomScaleSheetLayoutView="100" workbookViewId="0">
      <pane xSplit="1" ySplit="2" topLeftCell="T3" activePane="bottomRight" state="frozen"/>
      <selection activeCell="T36" sqref="T36:U36"/>
      <selection pane="topRight" activeCell="T36" sqref="T36:U36"/>
      <selection pane="bottomLeft" activeCell="T36" sqref="T36:U36"/>
      <selection pane="bottomRight" activeCell="T36" sqref="T36:U36"/>
    </sheetView>
  </sheetViews>
  <sheetFormatPr defaultColWidth="10.28515625" defaultRowHeight="12.75" x14ac:dyDescent="0.2"/>
  <cols>
    <col min="1" max="1" width="37.28515625" customWidth="1"/>
    <col min="2" max="2" width="6.7109375" hidden="1" customWidth="1"/>
    <col min="3" max="3" width="10.7109375" hidden="1" customWidth="1"/>
    <col min="4" max="4" width="6.7109375" hidden="1" customWidth="1"/>
    <col min="5" max="5" width="10.7109375" hidden="1" customWidth="1"/>
    <col min="6" max="6" width="6.7109375" customWidth="1"/>
    <col min="7" max="7" width="10.7109375" customWidth="1"/>
    <col min="8" max="8" width="6.7109375" customWidth="1"/>
    <col min="9" max="9" width="10.7109375" customWidth="1"/>
    <col min="10" max="10" width="6.7109375" customWidth="1"/>
    <col min="11" max="11" width="10.7109375" customWidth="1"/>
    <col min="12" max="12" width="6.7109375" customWidth="1"/>
    <col min="13" max="13" width="10.7109375" customWidth="1"/>
    <col min="14" max="14" width="6.7109375" customWidth="1"/>
    <col min="15" max="15" width="10.7109375" customWidth="1"/>
    <col min="16" max="16" width="6.7109375" customWidth="1"/>
    <col min="17" max="17" width="10.7109375" customWidth="1"/>
    <col min="18" max="18" width="6.7109375" customWidth="1"/>
    <col min="19" max="19" width="10.7109375" customWidth="1"/>
    <col min="20" max="20" width="6.7109375" customWidth="1"/>
    <col min="21" max="21" width="10.7109375" customWidth="1"/>
    <col min="22" max="22" width="3.28515625" customWidth="1"/>
    <col min="23" max="23" width="6.7109375" customWidth="1"/>
    <col min="24" max="24" width="10.7109375" customWidth="1"/>
    <col min="25" max="25" width="1.5703125" customWidth="1"/>
  </cols>
  <sheetData>
    <row r="1" spans="1:33" s="1" customFormat="1" ht="15.75" x14ac:dyDescent="0.25">
      <c r="A1" s="667" t="s">
        <v>240</v>
      </c>
      <c r="B1"/>
      <c r="C1"/>
      <c r="D1"/>
      <c r="E1"/>
      <c r="F1" s="564"/>
      <c r="G1" s="564"/>
      <c r="H1" s="564"/>
      <c r="I1" s="564"/>
    </row>
    <row r="2" spans="1:33" s="1" customFormat="1" ht="15.75" x14ac:dyDescent="0.25">
      <c r="A2" s="667" t="s">
        <v>241</v>
      </c>
      <c r="B2"/>
      <c r="C2"/>
      <c r="D2"/>
      <c r="E2"/>
      <c r="F2" s="564"/>
      <c r="G2" s="564"/>
      <c r="H2" s="564"/>
      <c r="I2" s="564"/>
    </row>
    <row r="3" spans="1:33" s="1" customFormat="1" ht="5.25" customHeight="1" x14ac:dyDescent="0.25">
      <c r="A3" s="667"/>
      <c r="B3"/>
      <c r="C3"/>
      <c r="D3"/>
      <c r="E3"/>
      <c r="F3" s="564"/>
      <c r="G3" s="564"/>
      <c r="H3" s="564"/>
      <c r="I3" s="564"/>
    </row>
    <row r="4" spans="1:33" s="1" customFormat="1" ht="15.75" x14ac:dyDescent="0.25">
      <c r="A4" s="668" t="s">
        <v>261</v>
      </c>
      <c r="B4"/>
      <c r="C4"/>
      <c r="D4"/>
      <c r="E4"/>
      <c r="F4" s="564"/>
      <c r="G4" s="564"/>
      <c r="H4" s="564"/>
      <c r="I4" s="564"/>
      <c r="T4" s="1" t="s">
        <v>19</v>
      </c>
    </row>
    <row r="5" spans="1:33" s="1" customFormat="1" ht="6" customHeight="1" x14ac:dyDescent="0.25">
      <c r="A5" s="668"/>
      <c r="B5"/>
      <c r="C5"/>
      <c r="D5"/>
      <c r="E5"/>
      <c r="F5" s="564"/>
      <c r="G5" s="564"/>
      <c r="H5" s="564"/>
      <c r="I5" s="564"/>
    </row>
    <row r="6" spans="1:33" s="670" customFormat="1" x14ac:dyDescent="0.2">
      <c r="A6" s="669" t="s">
        <v>242</v>
      </c>
      <c r="F6" s="671"/>
      <c r="G6" s="671"/>
      <c r="H6" s="671"/>
      <c r="I6" s="671"/>
      <c r="AG6" s="1"/>
    </row>
    <row r="7" spans="1:33" s="1" customFormat="1" ht="13.5" customHeight="1" x14ac:dyDescent="0.2">
      <c r="A7" s="672">
        <v>3670020160</v>
      </c>
      <c r="B7" s="673"/>
      <c r="C7" s="674"/>
      <c r="D7" s="673"/>
      <c r="E7" s="674"/>
      <c r="F7" s="79"/>
      <c r="G7" s="56"/>
      <c r="H7" s="79"/>
      <c r="I7" s="56"/>
      <c r="J7" s="79"/>
      <c r="K7" s="56"/>
      <c r="L7" s="79"/>
      <c r="M7" s="56"/>
      <c r="N7" s="79"/>
      <c r="O7" s="56"/>
      <c r="P7" s="79"/>
      <c r="Q7" s="56"/>
      <c r="R7" s="79"/>
      <c r="S7" s="56"/>
      <c r="T7" s="79"/>
      <c r="U7" s="56"/>
      <c r="V7" s="79"/>
      <c r="W7" s="56"/>
      <c r="X7" s="79"/>
      <c r="Y7" s="56"/>
      <c r="Z7" s="79"/>
      <c r="AA7" s="56"/>
      <c r="AB7" s="79"/>
      <c r="AC7" s="56"/>
    </row>
    <row r="8" spans="1:33" s="1" customFormat="1" ht="12.75" customHeight="1" thickBot="1" x14ac:dyDescent="0.25">
      <c r="A8" s="672"/>
      <c r="B8" s="673"/>
      <c r="C8" s="674"/>
      <c r="D8" s="673"/>
      <c r="E8" s="674"/>
      <c r="F8" s="79"/>
      <c r="G8" s="56"/>
      <c r="H8" s="79"/>
      <c r="I8" s="56"/>
      <c r="J8" s="79"/>
      <c r="K8" s="56"/>
      <c r="L8" s="79"/>
      <c r="M8" s="56"/>
      <c r="N8" s="79"/>
      <c r="O8" s="56"/>
      <c r="P8" s="79"/>
      <c r="Q8" s="56"/>
      <c r="R8" s="79"/>
      <c r="S8" s="56"/>
      <c r="T8" s="79"/>
      <c r="U8" s="56"/>
      <c r="V8" s="79"/>
      <c r="W8" s="56"/>
      <c r="X8" s="79"/>
      <c r="Y8" s="56"/>
      <c r="Z8" s="79"/>
      <c r="AA8" s="56"/>
      <c r="AB8" s="79"/>
      <c r="AC8" s="56"/>
    </row>
    <row r="9" spans="1:33" ht="18" customHeight="1" thickTop="1" x14ac:dyDescent="0.2">
      <c r="A9" s="4"/>
      <c r="B9" s="1397" t="s">
        <v>0</v>
      </c>
      <c r="C9" s="1398"/>
      <c r="D9" s="1401" t="s">
        <v>1</v>
      </c>
      <c r="E9" s="1398"/>
      <c r="F9" s="1401" t="s">
        <v>2</v>
      </c>
      <c r="G9" s="1398"/>
      <c r="H9" s="1401" t="s">
        <v>3</v>
      </c>
      <c r="I9" s="1398"/>
      <c r="J9" s="1401" t="s">
        <v>4</v>
      </c>
      <c r="K9" s="1398"/>
      <c r="L9" s="1401" t="s">
        <v>5</v>
      </c>
      <c r="M9" s="1398"/>
      <c r="N9" s="1401" t="s">
        <v>6</v>
      </c>
      <c r="O9" s="1398"/>
      <c r="P9" s="1401" t="s">
        <v>7</v>
      </c>
      <c r="Q9" s="1398"/>
      <c r="R9" s="1401" t="s">
        <v>8</v>
      </c>
      <c r="S9" s="1398"/>
      <c r="T9" s="1401" t="s">
        <v>301</v>
      </c>
      <c r="U9" s="1402"/>
      <c r="W9" s="1407" t="s">
        <v>9</v>
      </c>
      <c r="X9" s="1408"/>
    </row>
    <row r="10" spans="1:33" ht="30" customHeight="1" thickBot="1" x14ac:dyDescent="0.25">
      <c r="A10" s="70" t="s">
        <v>246</v>
      </c>
      <c r="B10" s="884" t="s">
        <v>262</v>
      </c>
      <c r="C10" s="783" t="s">
        <v>263</v>
      </c>
      <c r="D10" s="784" t="s">
        <v>262</v>
      </c>
      <c r="E10" s="783" t="s">
        <v>263</v>
      </c>
      <c r="F10" s="782" t="s">
        <v>262</v>
      </c>
      <c r="G10" s="783" t="s">
        <v>263</v>
      </c>
      <c r="H10" s="782" t="s">
        <v>262</v>
      </c>
      <c r="I10" s="783" t="s">
        <v>263</v>
      </c>
      <c r="J10" s="782" t="s">
        <v>262</v>
      </c>
      <c r="K10" s="783" t="s">
        <v>263</v>
      </c>
      <c r="L10" s="782" t="s">
        <v>262</v>
      </c>
      <c r="M10" s="783" t="s">
        <v>263</v>
      </c>
      <c r="N10" s="782" t="s">
        <v>262</v>
      </c>
      <c r="O10" s="783" t="s">
        <v>263</v>
      </c>
      <c r="P10" s="782" t="s">
        <v>262</v>
      </c>
      <c r="Q10" s="783" t="s">
        <v>263</v>
      </c>
      <c r="R10" s="782" t="s">
        <v>262</v>
      </c>
      <c r="S10" s="783" t="s">
        <v>263</v>
      </c>
      <c r="T10" s="782" t="s">
        <v>262</v>
      </c>
      <c r="U10" s="785" t="s">
        <v>263</v>
      </c>
      <c r="W10" s="1316" t="s">
        <v>262</v>
      </c>
      <c r="X10" s="1317" t="s">
        <v>263</v>
      </c>
    </row>
    <row r="11" spans="1:33" ht="15" customHeight="1" x14ac:dyDescent="0.2">
      <c r="A11" s="270" t="s">
        <v>109</v>
      </c>
      <c r="B11" s="345"/>
      <c r="C11" s="662"/>
      <c r="D11" s="663"/>
      <c r="E11" s="664"/>
      <c r="F11" s="345"/>
      <c r="G11" s="664"/>
      <c r="H11" s="345"/>
      <c r="I11" s="664"/>
      <c r="J11" s="345"/>
      <c r="K11" s="664"/>
      <c r="L11" s="345"/>
      <c r="M11" s="664"/>
      <c r="N11" s="345"/>
      <c r="O11" s="664"/>
      <c r="P11" s="345"/>
      <c r="Q11" s="664"/>
      <c r="R11" s="345"/>
      <c r="S11" s="664"/>
      <c r="T11" s="345"/>
      <c r="U11" s="346"/>
      <c r="V11" s="226"/>
      <c r="W11" s="347"/>
      <c r="X11" s="861"/>
    </row>
    <row r="12" spans="1:33" s="23" customFormat="1" ht="15" customHeight="1" x14ac:dyDescent="0.2">
      <c r="A12" s="349" t="s">
        <v>15</v>
      </c>
      <c r="B12" s="153">
        <v>29</v>
      </c>
      <c r="C12" s="262"/>
      <c r="D12" s="350">
        <v>42</v>
      </c>
      <c r="E12" s="264"/>
      <c r="F12" s="153">
        <v>36</v>
      </c>
      <c r="G12" s="264"/>
      <c r="H12" s="153">
        <v>38</v>
      </c>
      <c r="I12" s="264"/>
      <c r="J12" s="153">
        <v>39</v>
      </c>
      <c r="K12" s="264"/>
      <c r="L12" s="153">
        <v>36</v>
      </c>
      <c r="M12" s="264"/>
      <c r="N12" s="153">
        <v>52</v>
      </c>
      <c r="O12" s="264"/>
      <c r="P12" s="153">
        <v>44</v>
      </c>
      <c r="Q12" s="264"/>
      <c r="R12" s="153">
        <f>16+24</f>
        <v>40</v>
      </c>
      <c r="S12" s="264"/>
      <c r="T12" s="153">
        <v>36</v>
      </c>
      <c r="U12" s="266"/>
      <c r="V12" s="352"/>
      <c r="W12" s="347">
        <f>AVERAGE(N12,L12,R12,T12,P12)</f>
        <v>41.6</v>
      </c>
      <c r="X12" s="859"/>
    </row>
    <row r="13" spans="1:33" s="23" customFormat="1" ht="15" customHeight="1" thickBot="1" x14ac:dyDescent="0.25">
      <c r="A13" s="353" t="s">
        <v>16</v>
      </c>
      <c r="B13" s="354">
        <v>66</v>
      </c>
      <c r="C13" s="263"/>
      <c r="D13" s="355">
        <v>62</v>
      </c>
      <c r="E13" s="265"/>
      <c r="F13" s="354">
        <v>62</v>
      </c>
      <c r="G13" s="265"/>
      <c r="H13" s="354">
        <v>77</v>
      </c>
      <c r="I13" s="265"/>
      <c r="J13" s="354">
        <v>81</v>
      </c>
      <c r="K13" s="265"/>
      <c r="L13" s="354">
        <v>83</v>
      </c>
      <c r="M13" s="265"/>
      <c r="N13" s="354">
        <v>86</v>
      </c>
      <c r="O13" s="265"/>
      <c r="P13" s="354">
        <v>81</v>
      </c>
      <c r="Q13" s="265"/>
      <c r="R13" s="354">
        <f>28+53</f>
        <v>81</v>
      </c>
      <c r="S13" s="265"/>
      <c r="T13" s="354">
        <v>87</v>
      </c>
      <c r="U13" s="267"/>
      <c r="V13" s="352"/>
      <c r="W13" s="188">
        <f>AVERAGE(N13,L13,R13,T13,P13)</f>
        <v>83.6</v>
      </c>
      <c r="X13" s="860"/>
    </row>
    <row r="14" spans="1:33" s="73" customFormat="1" ht="15" customHeight="1" thickBot="1" x14ac:dyDescent="0.25">
      <c r="A14" s="357" t="s">
        <v>17</v>
      </c>
      <c r="B14" s="358">
        <f t="shared" ref="B14:R14" si="0">SUM(B12:B13)</f>
        <v>95</v>
      </c>
      <c r="C14" s="359">
        <v>18</v>
      </c>
      <c r="D14" s="358">
        <f t="shared" si="0"/>
        <v>104</v>
      </c>
      <c r="E14" s="359">
        <v>24</v>
      </c>
      <c r="F14" s="358">
        <f t="shared" si="0"/>
        <v>98</v>
      </c>
      <c r="G14" s="359">
        <v>15</v>
      </c>
      <c r="H14" s="358">
        <f t="shared" si="0"/>
        <v>115</v>
      </c>
      <c r="I14" s="359">
        <v>19</v>
      </c>
      <c r="J14" s="358">
        <f t="shared" si="0"/>
        <v>120</v>
      </c>
      <c r="K14" s="359">
        <v>20</v>
      </c>
      <c r="L14" s="358">
        <f t="shared" si="0"/>
        <v>119</v>
      </c>
      <c r="M14" s="359">
        <v>21</v>
      </c>
      <c r="N14" s="640">
        <f t="shared" si="0"/>
        <v>138</v>
      </c>
      <c r="O14" s="359">
        <v>32</v>
      </c>
      <c r="P14" s="358">
        <f t="shared" si="0"/>
        <v>125</v>
      </c>
      <c r="Q14" s="359">
        <v>23</v>
      </c>
      <c r="R14" s="640">
        <f t="shared" si="0"/>
        <v>121</v>
      </c>
      <c r="S14" s="359">
        <v>19</v>
      </c>
      <c r="T14" s="358">
        <v>123</v>
      </c>
      <c r="U14" s="1275"/>
      <c r="V14" s="867"/>
      <c r="W14" s="492">
        <f>AVERAGE(N14,L14,R14,T14,P14)</f>
        <v>125.2</v>
      </c>
      <c r="X14" s="862">
        <f>AVERAGE(O14,M14,S14,K14,Q14)</f>
        <v>23</v>
      </c>
    </row>
    <row r="15" spans="1:33" s="23" customFormat="1" ht="15" customHeight="1" x14ac:dyDescent="0.2">
      <c r="A15" s="398" t="s">
        <v>111</v>
      </c>
      <c r="B15" s="403"/>
      <c r="C15" s="140"/>
      <c r="D15" s="865"/>
      <c r="E15" s="147"/>
      <c r="F15" s="403"/>
      <c r="G15" s="147"/>
      <c r="H15" s="402"/>
      <c r="I15" s="147"/>
      <c r="J15" s="403"/>
      <c r="K15" s="404"/>
      <c r="L15" s="403"/>
      <c r="M15" s="404"/>
      <c r="N15" s="403"/>
      <c r="O15" s="404"/>
      <c r="P15" s="403"/>
      <c r="Q15" s="287">
        <v>6</v>
      </c>
      <c r="R15" s="1322">
        <v>34</v>
      </c>
      <c r="S15" s="287">
        <v>20</v>
      </c>
      <c r="T15" s="361">
        <v>40</v>
      </c>
      <c r="U15" s="1298"/>
      <c r="V15" s="352"/>
      <c r="W15" s="736"/>
      <c r="X15" s="861"/>
    </row>
    <row r="16" spans="1:33" s="23" customFormat="1" ht="15" customHeight="1" x14ac:dyDescent="0.2">
      <c r="A16" s="353" t="s">
        <v>20</v>
      </c>
      <c r="B16" s="29">
        <v>15</v>
      </c>
      <c r="C16" s="21">
        <v>5</v>
      </c>
      <c r="D16" s="86">
        <v>8</v>
      </c>
      <c r="E16" s="19">
        <v>5</v>
      </c>
      <c r="F16" s="29">
        <v>5</v>
      </c>
      <c r="G16" s="19">
        <v>12</v>
      </c>
      <c r="H16" s="29">
        <v>6</v>
      </c>
      <c r="I16" s="19">
        <v>3</v>
      </c>
      <c r="J16" s="29">
        <v>9</v>
      </c>
      <c r="K16" s="19">
        <v>3</v>
      </c>
      <c r="L16" s="29">
        <v>12</v>
      </c>
      <c r="M16" s="19">
        <v>1</v>
      </c>
      <c r="N16" s="29">
        <v>11</v>
      </c>
      <c r="O16" s="19">
        <v>8</v>
      </c>
      <c r="P16" s="29">
        <v>11</v>
      </c>
      <c r="Q16" s="19">
        <v>10</v>
      </c>
      <c r="R16" s="29">
        <v>4</v>
      </c>
      <c r="S16" s="19">
        <v>8</v>
      </c>
      <c r="T16" s="153">
        <v>5</v>
      </c>
      <c r="U16" s="152"/>
      <c r="V16" s="352"/>
      <c r="W16" s="188">
        <f>AVERAGE(N16,L16,R16,T16,P16)</f>
        <v>8.6</v>
      </c>
      <c r="X16" s="863">
        <f t="shared" ref="X16:X17" si="1">AVERAGE(O16,M16,S16,K16,Q16)</f>
        <v>6</v>
      </c>
    </row>
    <row r="17" spans="1:24" s="23" customFormat="1" ht="15" customHeight="1" x14ac:dyDescent="0.2">
      <c r="A17" s="353" t="s">
        <v>90</v>
      </c>
      <c r="B17" s="29">
        <v>31</v>
      </c>
      <c r="C17" s="21">
        <v>1</v>
      </c>
      <c r="D17" s="86">
        <v>38</v>
      </c>
      <c r="E17" s="19">
        <v>3</v>
      </c>
      <c r="F17" s="29">
        <v>36</v>
      </c>
      <c r="G17" s="19">
        <v>4</v>
      </c>
      <c r="H17" s="29">
        <v>35</v>
      </c>
      <c r="I17" s="19">
        <v>7</v>
      </c>
      <c r="J17" s="29">
        <v>34</v>
      </c>
      <c r="K17" s="19">
        <v>5</v>
      </c>
      <c r="L17" s="29">
        <v>35</v>
      </c>
      <c r="M17" s="19">
        <v>10</v>
      </c>
      <c r="N17" s="29">
        <v>35</v>
      </c>
      <c r="O17" s="19">
        <v>2</v>
      </c>
      <c r="P17" s="29">
        <v>36</v>
      </c>
      <c r="Q17" s="19">
        <v>4</v>
      </c>
      <c r="R17" s="29">
        <v>42</v>
      </c>
      <c r="S17" s="19">
        <v>4</v>
      </c>
      <c r="T17" s="153">
        <v>44</v>
      </c>
      <c r="U17" s="152"/>
      <c r="V17" s="352"/>
      <c r="W17" s="188">
        <f>AVERAGE(N17,L17,R17,T17,P17)</f>
        <v>38.4</v>
      </c>
      <c r="X17" s="863">
        <f t="shared" si="1"/>
        <v>5</v>
      </c>
    </row>
    <row r="18" spans="1:24" ht="15" customHeight="1" x14ac:dyDescent="0.2">
      <c r="A18" s="461" t="s">
        <v>110</v>
      </c>
      <c r="B18" s="354"/>
      <c r="C18" s="665"/>
      <c r="D18" s="355"/>
      <c r="E18" s="356"/>
      <c r="F18" s="354"/>
      <c r="G18" s="356"/>
      <c r="H18" s="354"/>
      <c r="I18" s="356"/>
      <c r="J18" s="354"/>
      <c r="K18" s="356"/>
      <c r="L18" s="354"/>
      <c r="M18" s="356"/>
      <c r="N18" s="354"/>
      <c r="O18" s="356"/>
      <c r="P18" s="354"/>
      <c r="Q18" s="356"/>
      <c r="R18" s="354"/>
      <c r="S18" s="356"/>
      <c r="T18" s="345"/>
      <c r="U18" s="1318"/>
      <c r="V18" s="226"/>
      <c r="W18" s="347"/>
      <c r="X18" s="863"/>
    </row>
    <row r="19" spans="1:24" s="23" customFormat="1" ht="15" customHeight="1" thickBot="1" x14ac:dyDescent="0.25">
      <c r="A19" s="362" t="s">
        <v>21</v>
      </c>
      <c r="B19" s="407"/>
      <c r="C19" s="462"/>
      <c r="D19" s="405"/>
      <c r="E19" s="406"/>
      <c r="F19" s="407"/>
      <c r="G19" s="406"/>
      <c r="H19" s="407"/>
      <c r="I19" s="406"/>
      <c r="J19" s="407"/>
      <c r="K19" s="406"/>
      <c r="L19" s="33">
        <v>0</v>
      </c>
      <c r="M19" s="32">
        <v>9</v>
      </c>
      <c r="N19" s="33">
        <v>0</v>
      </c>
      <c r="O19" s="32">
        <v>4</v>
      </c>
      <c r="P19" s="33">
        <v>0</v>
      </c>
      <c r="Q19" s="32">
        <v>2</v>
      </c>
      <c r="R19" s="33">
        <v>1</v>
      </c>
      <c r="S19" s="32">
        <v>0</v>
      </c>
      <c r="T19" s="365">
        <v>0</v>
      </c>
      <c r="U19" s="1282"/>
      <c r="V19" s="352"/>
      <c r="W19" s="188">
        <f>AVERAGE(N19,L19,R19,T19,P19)</f>
        <v>0.2</v>
      </c>
      <c r="X19" s="863">
        <f>AVERAGE(O19,M19,S19,K19,Q19)</f>
        <v>3.75</v>
      </c>
    </row>
    <row r="20" spans="1:24" ht="18" customHeight="1" thickTop="1" thickBot="1" x14ac:dyDescent="0.25">
      <c r="A20" s="298" t="s">
        <v>71</v>
      </c>
      <c r="B20" s="1418"/>
      <c r="C20" s="1381"/>
      <c r="D20" s="1380"/>
      <c r="E20" s="1381"/>
      <c r="F20" s="1380"/>
      <c r="G20" s="1381"/>
      <c r="H20" s="1380"/>
      <c r="I20" s="1381"/>
      <c r="J20" s="1380"/>
      <c r="K20" s="1381"/>
      <c r="L20" s="1380"/>
      <c r="M20" s="1381"/>
      <c r="N20" s="1380"/>
      <c r="O20" s="1381"/>
      <c r="P20" s="1380"/>
      <c r="Q20" s="1381"/>
      <c r="R20" s="1380"/>
      <c r="S20" s="1381"/>
      <c r="T20" s="1380"/>
      <c r="U20" s="1383"/>
      <c r="V20" s="226"/>
      <c r="W20" s="1382"/>
      <c r="X20" s="1383"/>
    </row>
    <row r="21" spans="1:24" ht="15" customHeight="1" x14ac:dyDescent="0.2">
      <c r="A21" s="749" t="s">
        <v>266</v>
      </c>
      <c r="B21" s="885"/>
      <c r="C21" s="385"/>
      <c r="D21" s="384"/>
      <c r="E21" s="385"/>
      <c r="F21" s="384"/>
      <c r="G21" s="385"/>
      <c r="H21" s="384"/>
      <c r="I21" s="385"/>
      <c r="J21" s="384"/>
      <c r="K21" s="385"/>
      <c r="L21" s="384"/>
      <c r="M21" s="385"/>
      <c r="N21" s="384"/>
      <c r="O21" s="385"/>
      <c r="P21" s="384"/>
      <c r="Q21" s="385"/>
      <c r="R21" s="384"/>
      <c r="S21" s="385"/>
      <c r="T21" s="384"/>
      <c r="U21" s="386"/>
      <c r="V21" s="226"/>
      <c r="W21" s="853"/>
      <c r="X21" s="852" t="e">
        <f>AVERAGE(O21,M21,I21,K21,Q21)</f>
        <v>#DIV/0!</v>
      </c>
    </row>
    <row r="22" spans="1:24" ht="15" customHeight="1" x14ac:dyDescent="0.2">
      <c r="A22" s="677" t="s">
        <v>72</v>
      </c>
      <c r="B22" s="886"/>
      <c r="C22" s="388">
        <v>0.42</v>
      </c>
      <c r="D22" s="387"/>
      <c r="E22" s="388">
        <v>0.42</v>
      </c>
      <c r="F22" s="387"/>
      <c r="G22" s="388">
        <v>0.44</v>
      </c>
      <c r="H22" s="387"/>
      <c r="I22" s="388">
        <v>0.32</v>
      </c>
      <c r="J22" s="387"/>
      <c r="K22" s="388">
        <v>0.42</v>
      </c>
      <c r="L22" s="387"/>
      <c r="M22" s="388">
        <v>0.61</v>
      </c>
      <c r="N22" s="387"/>
      <c r="O22" s="388">
        <v>0.52</v>
      </c>
      <c r="P22" s="387"/>
      <c r="Q22" s="388">
        <v>0.47</v>
      </c>
      <c r="R22" s="387"/>
      <c r="S22" s="388"/>
      <c r="T22" s="387"/>
      <c r="U22" s="776"/>
      <c r="V22" s="226"/>
      <c r="W22" s="853"/>
      <c r="X22" s="1255">
        <f t="shared" ref="X22:X23" si="2">AVERAGE(O22,M22,S22,K22,Q22)</f>
        <v>0.50499999999999989</v>
      </c>
    </row>
    <row r="23" spans="1:24" ht="15" customHeight="1" x14ac:dyDescent="0.2">
      <c r="A23" s="677" t="s">
        <v>73</v>
      </c>
      <c r="B23" s="887"/>
      <c r="C23" s="390">
        <v>0.57999999999999996</v>
      </c>
      <c r="D23" s="389"/>
      <c r="E23" s="390">
        <v>0.47</v>
      </c>
      <c r="F23" s="389"/>
      <c r="G23" s="390">
        <v>0.5</v>
      </c>
      <c r="H23" s="389"/>
      <c r="I23" s="390">
        <v>0.53</v>
      </c>
      <c r="J23" s="389"/>
      <c r="K23" s="390">
        <v>0.53</v>
      </c>
      <c r="L23" s="389"/>
      <c r="M23" s="390">
        <v>0.33</v>
      </c>
      <c r="N23" s="389"/>
      <c r="O23" s="390">
        <v>0.28000000000000003</v>
      </c>
      <c r="P23" s="389"/>
      <c r="Q23" s="390">
        <v>0.37</v>
      </c>
      <c r="R23" s="389"/>
      <c r="S23" s="390"/>
      <c r="T23" s="389"/>
      <c r="U23" s="777"/>
      <c r="V23" s="226"/>
      <c r="W23" s="853"/>
      <c r="X23" s="1255">
        <f t="shared" si="2"/>
        <v>0.37750000000000006</v>
      </c>
    </row>
    <row r="24" spans="1:24" ht="15" customHeight="1" thickBot="1" x14ac:dyDescent="0.25">
      <c r="A24" s="751" t="s">
        <v>75</v>
      </c>
      <c r="B24" s="888"/>
      <c r="C24" s="309"/>
      <c r="D24" s="308"/>
      <c r="E24" s="309"/>
      <c r="F24" s="308"/>
      <c r="G24" s="309"/>
      <c r="H24" s="308"/>
      <c r="I24" s="309"/>
      <c r="J24" s="308"/>
      <c r="K24" s="309"/>
      <c r="L24" s="308"/>
      <c r="M24" s="309"/>
      <c r="N24" s="308"/>
      <c r="O24" s="309"/>
      <c r="P24" s="308"/>
      <c r="Q24" s="309"/>
      <c r="R24" s="308"/>
      <c r="S24" s="309"/>
      <c r="T24" s="308"/>
      <c r="U24" s="310"/>
      <c r="V24" s="226"/>
      <c r="W24" s="854"/>
      <c r="X24" s="543" t="e">
        <f>AVERAGE(O24,M24,S24,U24,Q24)</f>
        <v>#DIV/0!</v>
      </c>
    </row>
    <row r="25" spans="1:24" ht="18" customHeight="1" thickTop="1" thickBot="1" x14ac:dyDescent="0.25">
      <c r="A25" s="221" t="s">
        <v>78</v>
      </c>
      <c r="B25" s="1418"/>
      <c r="C25" s="1381"/>
      <c r="D25" s="1380"/>
      <c r="E25" s="1381"/>
      <c r="F25" s="1380"/>
      <c r="G25" s="1381"/>
      <c r="H25" s="1380"/>
      <c r="I25" s="1381"/>
      <c r="J25" s="1380"/>
      <c r="K25" s="1381"/>
      <c r="L25" s="1380"/>
      <c r="M25" s="1381"/>
      <c r="N25" s="1380"/>
      <c r="O25" s="1381"/>
      <c r="P25" s="1380"/>
      <c r="Q25" s="1381"/>
      <c r="R25" s="1380"/>
      <c r="S25" s="1381"/>
      <c r="T25" s="1380"/>
      <c r="U25" s="1383"/>
      <c r="V25" s="226"/>
      <c r="W25" s="1382"/>
      <c r="X25" s="1383"/>
    </row>
    <row r="26" spans="1:24" ht="15" customHeight="1" thickBot="1" x14ac:dyDescent="0.25">
      <c r="A26" s="866" t="s">
        <v>144</v>
      </c>
      <c r="B26" s="889"/>
      <c r="C26" s="465">
        <v>28.7</v>
      </c>
      <c r="D26" s="464"/>
      <c r="E26" s="465">
        <v>29.5</v>
      </c>
      <c r="F26" s="464"/>
      <c r="G26" s="465">
        <v>28.6</v>
      </c>
      <c r="H26" s="464"/>
      <c r="I26" s="465">
        <v>29.3</v>
      </c>
      <c r="J26" s="464"/>
      <c r="K26" s="465">
        <v>28.7</v>
      </c>
      <c r="L26" s="464"/>
      <c r="M26" s="465">
        <v>28</v>
      </c>
      <c r="N26" s="464"/>
      <c r="O26" s="465">
        <v>28.9</v>
      </c>
      <c r="P26" s="464"/>
      <c r="Q26" s="465">
        <v>30.6</v>
      </c>
      <c r="R26" s="464"/>
      <c r="S26" s="465">
        <v>30.5</v>
      </c>
      <c r="T26" s="464"/>
      <c r="U26" s="466"/>
      <c r="V26" s="868"/>
      <c r="W26" s="467"/>
      <c r="X26" s="778">
        <f>AVERAGE(S26,Q26,O26,M26,U26)</f>
        <v>29.5</v>
      </c>
    </row>
    <row r="27" spans="1:24" ht="18" customHeight="1" thickTop="1" thickBot="1" x14ac:dyDescent="0.25">
      <c r="A27" s="314" t="s">
        <v>22</v>
      </c>
      <c r="B27" s="1418"/>
      <c r="C27" s="1381"/>
      <c r="D27" s="1380"/>
      <c r="E27" s="1381"/>
      <c r="F27" s="1380"/>
      <c r="G27" s="1381"/>
      <c r="H27" s="1380"/>
      <c r="I27" s="1381"/>
      <c r="J27" s="1380"/>
      <c r="K27" s="1381"/>
      <c r="L27" s="1380"/>
      <c r="M27" s="1381"/>
      <c r="N27" s="1380"/>
      <c r="O27" s="1381"/>
      <c r="P27" s="1380"/>
      <c r="Q27" s="1381"/>
      <c r="R27" s="1380"/>
      <c r="S27" s="1381"/>
      <c r="T27" s="1380"/>
      <c r="U27" s="1383"/>
      <c r="V27" s="226"/>
      <c r="W27" s="1382"/>
      <c r="X27" s="1383"/>
    </row>
    <row r="28" spans="1:24" ht="15" customHeight="1" x14ac:dyDescent="0.2">
      <c r="A28" s="677" t="s">
        <v>24</v>
      </c>
      <c r="B28" s="315"/>
      <c r="C28" s="48">
        <v>21109</v>
      </c>
      <c r="D28" s="45"/>
      <c r="E28" s="47">
        <v>20860</v>
      </c>
      <c r="F28" s="46"/>
      <c r="G28" s="47">
        <v>20601</v>
      </c>
      <c r="H28" s="46"/>
      <c r="I28" s="47">
        <v>20895</v>
      </c>
      <c r="J28" s="46"/>
      <c r="K28" s="47">
        <v>21870</v>
      </c>
      <c r="L28" s="46"/>
      <c r="M28" s="47">
        <v>22579</v>
      </c>
      <c r="N28" s="46"/>
      <c r="O28" s="47">
        <v>23749</v>
      </c>
      <c r="P28" s="46"/>
      <c r="Q28" s="47">
        <v>22619</v>
      </c>
      <c r="R28" s="46"/>
      <c r="S28" s="47">
        <v>22151</v>
      </c>
      <c r="T28" s="315"/>
      <c r="U28" s="1273"/>
      <c r="V28" s="226"/>
      <c r="W28" s="50"/>
      <c r="X28" s="51">
        <f>AVERAGE(O28,M28,S28,K28,Q28)</f>
        <v>22593.599999999999</v>
      </c>
    </row>
    <row r="29" spans="1:24" ht="15" customHeight="1" x14ac:dyDescent="0.2">
      <c r="A29" s="677" t="s">
        <v>25</v>
      </c>
      <c r="B29" s="315"/>
      <c r="C29" s="48">
        <v>2682</v>
      </c>
      <c r="D29" s="45"/>
      <c r="E29" s="47">
        <v>2619</v>
      </c>
      <c r="F29" s="46"/>
      <c r="G29" s="47">
        <v>2612</v>
      </c>
      <c r="H29" s="46"/>
      <c r="I29" s="47">
        <v>2730</v>
      </c>
      <c r="J29" s="46"/>
      <c r="K29" s="47">
        <v>2851</v>
      </c>
      <c r="L29" s="46"/>
      <c r="M29" s="47">
        <v>2882</v>
      </c>
      <c r="N29" s="46"/>
      <c r="O29" s="47">
        <v>2821</v>
      </c>
      <c r="P29" s="46"/>
      <c r="Q29" s="47">
        <v>3153</v>
      </c>
      <c r="R29" s="46"/>
      <c r="S29" s="47">
        <v>3322</v>
      </c>
      <c r="T29" s="315"/>
      <c r="U29" s="1273"/>
      <c r="V29" s="226"/>
      <c r="W29" s="52"/>
      <c r="X29" s="51">
        <f t="shared" ref="X29:X32" si="3">AVERAGE(O29,M29,S29,K29,Q29)</f>
        <v>3005.8</v>
      </c>
    </row>
    <row r="30" spans="1:24" ht="15" customHeight="1" x14ac:dyDescent="0.2">
      <c r="A30" s="677" t="s">
        <v>26</v>
      </c>
      <c r="B30" s="315"/>
      <c r="C30" s="48">
        <v>551</v>
      </c>
      <c r="D30" s="45"/>
      <c r="E30" s="47">
        <v>580</v>
      </c>
      <c r="F30" s="46"/>
      <c r="G30" s="47">
        <v>359</v>
      </c>
      <c r="H30" s="46"/>
      <c r="I30" s="47">
        <v>421</v>
      </c>
      <c r="J30" s="46"/>
      <c r="K30" s="47">
        <v>484</v>
      </c>
      <c r="L30" s="46"/>
      <c r="M30" s="47">
        <v>704</v>
      </c>
      <c r="N30" s="46"/>
      <c r="O30" s="47">
        <v>700</v>
      </c>
      <c r="P30" s="46"/>
      <c r="Q30" s="47">
        <v>706</v>
      </c>
      <c r="R30" s="46"/>
      <c r="S30" s="47">
        <v>754</v>
      </c>
      <c r="T30" s="315"/>
      <c r="U30" s="1273"/>
      <c r="V30" s="226"/>
      <c r="W30" s="52"/>
      <c r="X30" s="51">
        <f t="shared" si="3"/>
        <v>669.6</v>
      </c>
    </row>
    <row r="31" spans="1:24" ht="15" customHeight="1" thickBot="1" x14ac:dyDescent="0.25">
      <c r="A31" s="849" t="s">
        <v>27</v>
      </c>
      <c r="B31" s="83"/>
      <c r="C31" s="54">
        <v>353</v>
      </c>
      <c r="D31" s="45"/>
      <c r="E31" s="53">
        <v>454</v>
      </c>
      <c r="F31" s="46"/>
      <c r="G31" s="53">
        <v>579</v>
      </c>
      <c r="H31" s="46"/>
      <c r="I31" s="53">
        <v>462</v>
      </c>
      <c r="J31" s="46"/>
      <c r="K31" s="53">
        <v>456</v>
      </c>
      <c r="L31" s="46"/>
      <c r="M31" s="53">
        <v>384</v>
      </c>
      <c r="N31" s="46"/>
      <c r="O31" s="53">
        <v>387</v>
      </c>
      <c r="P31" s="46"/>
      <c r="Q31" s="53">
        <v>405</v>
      </c>
      <c r="R31" s="46"/>
      <c r="S31" s="53">
        <v>344</v>
      </c>
      <c r="T31" s="83"/>
      <c r="U31" s="1274"/>
      <c r="V31" s="226"/>
      <c r="W31" s="63"/>
      <c r="X31" s="484">
        <f t="shared" si="3"/>
        <v>395.2</v>
      </c>
    </row>
    <row r="32" spans="1:24" ht="15" customHeight="1" thickBot="1" x14ac:dyDescent="0.25">
      <c r="A32" s="850" t="s">
        <v>28</v>
      </c>
      <c r="B32" s="328"/>
      <c r="C32" s="329">
        <f>SUM(C28:C31)</f>
        <v>24695</v>
      </c>
      <c r="D32" s="330"/>
      <c r="E32" s="331">
        <f>SUM(E28:E31)</f>
        <v>24513</v>
      </c>
      <c r="F32" s="328"/>
      <c r="G32" s="331">
        <f>SUM(G28:G31)</f>
        <v>24151</v>
      </c>
      <c r="H32" s="328"/>
      <c r="I32" s="331">
        <f>SUM(I28:I31)</f>
        <v>24508</v>
      </c>
      <c r="J32" s="328"/>
      <c r="K32" s="331">
        <f>SUM(K28:K31)</f>
        <v>25661</v>
      </c>
      <c r="L32" s="328"/>
      <c r="M32" s="331">
        <f>SUM(M28:M31)</f>
        <v>26549</v>
      </c>
      <c r="N32" s="328"/>
      <c r="O32" s="331">
        <f>SUM(O28:O31)</f>
        <v>27657</v>
      </c>
      <c r="P32" s="328"/>
      <c r="Q32" s="331">
        <f>SUM(Q28:Q31)</f>
        <v>26883</v>
      </c>
      <c r="R32" s="328"/>
      <c r="S32" s="331">
        <f>SUM(S28:S31)</f>
        <v>26571</v>
      </c>
      <c r="T32" s="328"/>
      <c r="U32" s="1277">
        <f>SUM(U28:U31)</f>
        <v>0</v>
      </c>
      <c r="V32" s="226"/>
      <c r="W32" s="485"/>
      <c r="X32" s="486">
        <f t="shared" si="3"/>
        <v>26664.2</v>
      </c>
    </row>
    <row r="33" spans="1:27" ht="15" customHeight="1" thickTop="1" thickBot="1" x14ac:dyDescent="0.25">
      <c r="A33" s="900"/>
      <c r="B33" s="297"/>
      <c r="C33" s="312"/>
      <c r="D33" s="297"/>
      <c r="E33" s="312"/>
      <c r="F33" s="297"/>
      <c r="G33" s="312"/>
      <c r="H33" s="297"/>
      <c r="I33" s="312"/>
      <c r="J33" s="297"/>
      <c r="K33" s="312"/>
      <c r="L33" s="297"/>
      <c r="M33" s="312"/>
      <c r="N33" s="297"/>
      <c r="O33" s="312"/>
      <c r="P33" s="297"/>
      <c r="Q33" s="312"/>
      <c r="R33" s="297"/>
      <c r="S33" s="312"/>
      <c r="T33" s="297"/>
      <c r="U33" s="870"/>
      <c r="V33" s="226"/>
      <c r="W33" s="313"/>
      <c r="X33" s="313"/>
    </row>
    <row r="34" spans="1:27" ht="18" customHeight="1" thickTop="1" thickBot="1" x14ac:dyDescent="0.25">
      <c r="A34" s="175" t="s">
        <v>29</v>
      </c>
      <c r="B34" s="1417" t="s">
        <v>30</v>
      </c>
      <c r="C34" s="1395"/>
      <c r="D34" s="1385" t="s">
        <v>31</v>
      </c>
      <c r="E34" s="1396"/>
      <c r="F34" s="1385" t="s">
        <v>32</v>
      </c>
      <c r="G34" s="1396"/>
      <c r="H34" s="1385" t="s">
        <v>33</v>
      </c>
      <c r="I34" s="1396"/>
      <c r="J34" s="1385" t="s">
        <v>34</v>
      </c>
      <c r="K34" s="1396"/>
      <c r="L34" s="1385" t="s">
        <v>35</v>
      </c>
      <c r="M34" s="1396"/>
      <c r="N34" s="1385" t="s">
        <v>36</v>
      </c>
      <c r="O34" s="1396"/>
      <c r="P34" s="1385" t="s">
        <v>37</v>
      </c>
      <c r="Q34" s="1396"/>
      <c r="R34" s="1385" t="s">
        <v>38</v>
      </c>
      <c r="S34" s="1396"/>
      <c r="T34" s="1385" t="s">
        <v>302</v>
      </c>
      <c r="U34" s="1386"/>
      <c r="V34" s="869"/>
      <c r="W34" s="1382" t="s">
        <v>9</v>
      </c>
      <c r="X34" s="1383"/>
      <c r="Y34" s="56"/>
      <c r="Z34" s="56"/>
      <c r="AA34" s="57"/>
    </row>
    <row r="35" spans="1:27" ht="15" customHeight="1" x14ac:dyDescent="0.2">
      <c r="A35" s="873" t="s">
        <v>267</v>
      </c>
      <c r="B35" s="890"/>
      <c r="C35" s="154">
        <v>1.6E-2</v>
      </c>
      <c r="D35" s="281"/>
      <c r="E35" s="129">
        <v>2.4E-2</v>
      </c>
      <c r="F35" s="282"/>
      <c r="G35" s="129">
        <v>1.9E-2</v>
      </c>
      <c r="H35" s="128"/>
      <c r="I35" s="129">
        <v>2.7E-2</v>
      </c>
      <c r="J35" s="128"/>
      <c r="K35" s="129">
        <v>2.5999999999999999E-2</v>
      </c>
      <c r="L35" s="128"/>
      <c r="M35" s="129">
        <v>2.5999999999999999E-2</v>
      </c>
      <c r="N35" s="128"/>
      <c r="O35" s="129">
        <v>2.9000000000000001E-2</v>
      </c>
      <c r="P35" s="128"/>
      <c r="Q35" s="129">
        <v>0.03</v>
      </c>
      <c r="R35" s="128"/>
      <c r="S35" s="129">
        <v>0.02</v>
      </c>
      <c r="T35" s="181"/>
      <c r="U35" s="182">
        <v>1.9E-2</v>
      </c>
      <c r="V35" s="651"/>
      <c r="W35" s="469"/>
      <c r="X35" s="594">
        <f>AVERAGE(Q35,O35,M35,U35,S35)</f>
        <v>2.4799999999999999E-2</v>
      </c>
      <c r="Y35" s="56"/>
      <c r="Z35" s="56"/>
      <c r="AA35" s="57"/>
    </row>
    <row r="36" spans="1:27" ht="15" customHeight="1" x14ac:dyDescent="0.2">
      <c r="A36" s="874" t="s">
        <v>268</v>
      </c>
      <c r="B36" s="186"/>
      <c r="C36" s="155">
        <v>2.8000000000000001E-2</v>
      </c>
      <c r="D36" s="283"/>
      <c r="E36" s="131">
        <v>0.03</v>
      </c>
      <c r="F36" s="284"/>
      <c r="G36" s="131">
        <v>2.5000000000000001E-2</v>
      </c>
      <c r="H36" s="130"/>
      <c r="I36" s="131">
        <v>2.7E-2</v>
      </c>
      <c r="J36" s="130"/>
      <c r="K36" s="131">
        <v>2.5999999999999999E-2</v>
      </c>
      <c r="L36" s="130"/>
      <c r="M36" s="131">
        <v>2.8000000000000001E-2</v>
      </c>
      <c r="N36" s="130"/>
      <c r="O36" s="131">
        <v>2.8000000000000001E-2</v>
      </c>
      <c r="P36" s="130"/>
      <c r="Q36" s="131">
        <v>2.7E-2</v>
      </c>
      <c r="R36" s="130"/>
      <c r="S36" s="131">
        <v>2.8000000000000001E-2</v>
      </c>
      <c r="T36" s="186"/>
      <c r="U36" s="187">
        <v>2.8000000000000001E-2</v>
      </c>
      <c r="V36" s="651"/>
      <c r="W36" s="469"/>
      <c r="X36" s="594">
        <f>AVERAGE(Q36,O36,M36,U36,S36)</f>
        <v>2.7800000000000002E-2</v>
      </c>
      <c r="Y36" s="56"/>
      <c r="Z36" s="56"/>
      <c r="AA36" s="57"/>
    </row>
    <row r="37" spans="1:27" ht="18" customHeight="1" thickBot="1" x14ac:dyDescent="0.25">
      <c r="A37" s="846" t="s">
        <v>271</v>
      </c>
      <c r="B37" s="1405">
        <f>1-C35-C36</f>
        <v>0.95599999999999996</v>
      </c>
      <c r="C37" s="1404"/>
      <c r="D37" s="1403">
        <f>1-E35-E36</f>
        <v>0.94599999999999995</v>
      </c>
      <c r="E37" s="1404"/>
      <c r="F37" s="1403">
        <f>1-G35-G36</f>
        <v>0.95599999999999996</v>
      </c>
      <c r="G37" s="1404"/>
      <c r="H37" s="1403">
        <f>1-I35-I36</f>
        <v>0.94599999999999995</v>
      </c>
      <c r="I37" s="1404"/>
      <c r="J37" s="1403">
        <f>1-K35-K36</f>
        <v>0.94799999999999995</v>
      </c>
      <c r="K37" s="1404"/>
      <c r="L37" s="1403">
        <f>1-M35-M36</f>
        <v>0.94599999999999995</v>
      </c>
      <c r="M37" s="1404"/>
      <c r="N37" s="1403">
        <f>1-O35-O36</f>
        <v>0.94299999999999995</v>
      </c>
      <c r="O37" s="1404"/>
      <c r="P37" s="1403">
        <f>1-Q35-Q36</f>
        <v>0.94299999999999995</v>
      </c>
      <c r="Q37" s="1404"/>
      <c r="R37" s="1403">
        <f>1-S35-S36</f>
        <v>0.95199999999999996</v>
      </c>
      <c r="S37" s="1404"/>
      <c r="T37" s="1403">
        <f>1-U35-U36</f>
        <v>0.95299999999999996</v>
      </c>
      <c r="U37" s="1406"/>
      <c r="V37" s="651"/>
      <c r="W37" s="1390">
        <f>1-X35-X36</f>
        <v>0.94739999999999991</v>
      </c>
      <c r="X37" s="1391"/>
      <c r="Y37" s="58"/>
      <c r="Z37" s="56"/>
      <c r="AA37" s="57"/>
    </row>
    <row r="38" spans="1:27" s="3" customFormat="1" ht="18" customHeight="1" thickTop="1" thickBot="1" x14ac:dyDescent="0.25">
      <c r="A38" s="194" t="s">
        <v>67</v>
      </c>
      <c r="B38" s="891" t="s">
        <v>39</v>
      </c>
      <c r="C38" s="788" t="s">
        <v>74</v>
      </c>
      <c r="D38" s="789" t="s">
        <v>39</v>
      </c>
      <c r="E38" s="228" t="s">
        <v>74</v>
      </c>
      <c r="F38" s="227" t="s">
        <v>39</v>
      </c>
      <c r="G38" s="788" t="s">
        <v>74</v>
      </c>
      <c r="H38" s="789" t="s">
        <v>39</v>
      </c>
      <c r="I38" s="228" t="s">
        <v>74</v>
      </c>
      <c r="J38" s="227" t="s">
        <v>39</v>
      </c>
      <c r="K38" s="788" t="s">
        <v>74</v>
      </c>
      <c r="L38" s="789" t="s">
        <v>39</v>
      </c>
      <c r="M38" s="228" t="s">
        <v>74</v>
      </c>
      <c r="N38" s="227" t="s">
        <v>39</v>
      </c>
      <c r="O38" s="788" t="s">
        <v>74</v>
      </c>
      <c r="P38" s="789" t="s">
        <v>39</v>
      </c>
      <c r="Q38" s="228" t="s">
        <v>74</v>
      </c>
      <c r="R38" s="227" t="s">
        <v>39</v>
      </c>
      <c r="S38" s="788" t="s">
        <v>74</v>
      </c>
      <c r="T38" s="227" t="s">
        <v>39</v>
      </c>
      <c r="U38" s="790" t="s">
        <v>74</v>
      </c>
      <c r="V38" s="230"/>
      <c r="W38" s="791" t="s">
        <v>39</v>
      </c>
      <c r="X38" s="790" t="s">
        <v>74</v>
      </c>
    </row>
    <row r="39" spans="1:27" ht="15" customHeight="1" x14ac:dyDescent="0.2">
      <c r="A39" s="899" t="s">
        <v>68</v>
      </c>
      <c r="B39" s="892"/>
      <c r="C39" s="835"/>
      <c r="D39" s="834"/>
      <c r="E39" s="835"/>
      <c r="F39" s="834"/>
      <c r="G39" s="835"/>
      <c r="H39" s="234">
        <v>5</v>
      </c>
      <c r="I39" s="235">
        <f>H39/H16</f>
        <v>0.83333333333333337</v>
      </c>
      <c r="J39" s="234">
        <v>8</v>
      </c>
      <c r="K39" s="235">
        <f>J39/J16</f>
        <v>0.88888888888888884</v>
      </c>
      <c r="L39" s="234">
        <v>11</v>
      </c>
      <c r="M39" s="235">
        <f>L39/L16</f>
        <v>0.91666666666666663</v>
      </c>
      <c r="N39" s="234">
        <v>10</v>
      </c>
      <c r="O39" s="235">
        <f>N39/N16</f>
        <v>0.90909090909090906</v>
      </c>
      <c r="P39" s="234">
        <v>7</v>
      </c>
      <c r="Q39" s="235">
        <f>P39/P16</f>
        <v>0.63636363636363635</v>
      </c>
      <c r="R39" s="234">
        <v>4</v>
      </c>
      <c r="S39" s="235">
        <f>R39/R16</f>
        <v>1</v>
      </c>
      <c r="T39" s="234"/>
      <c r="U39" s="236">
        <f>T39/T16</f>
        <v>0</v>
      </c>
      <c r="V39" s="226"/>
      <c r="W39" s="237">
        <f>AVERAGE(N39,L39,R39,T39,P39)</f>
        <v>8</v>
      </c>
      <c r="X39" s="774">
        <f t="shared" ref="X39:X40" si="4">W39/W16</f>
        <v>0.93023255813953487</v>
      </c>
    </row>
    <row r="40" spans="1:27" ht="15" customHeight="1" thickBot="1" x14ac:dyDescent="0.25">
      <c r="A40" s="751" t="s">
        <v>69</v>
      </c>
      <c r="B40" s="893"/>
      <c r="C40" s="837"/>
      <c r="D40" s="836"/>
      <c r="E40" s="837"/>
      <c r="F40" s="836"/>
      <c r="G40" s="837"/>
      <c r="H40" s="239">
        <v>32</v>
      </c>
      <c r="I40" s="240">
        <f>H40/H17</f>
        <v>0.91428571428571426</v>
      </c>
      <c r="J40" s="239">
        <v>32</v>
      </c>
      <c r="K40" s="240">
        <f>J40/J17</f>
        <v>0.94117647058823528</v>
      </c>
      <c r="L40" s="239">
        <v>32</v>
      </c>
      <c r="M40" s="240">
        <f>L40/L17</f>
        <v>0.91428571428571426</v>
      </c>
      <c r="N40" s="239">
        <v>33</v>
      </c>
      <c r="O40" s="240">
        <f>N40/N17</f>
        <v>0.94285714285714284</v>
      </c>
      <c r="P40" s="239">
        <v>34</v>
      </c>
      <c r="Q40" s="240">
        <f>P40/P17</f>
        <v>0.94444444444444442</v>
      </c>
      <c r="R40" s="239">
        <v>38</v>
      </c>
      <c r="S40" s="240">
        <f>R40/R17</f>
        <v>0.90476190476190477</v>
      </c>
      <c r="T40" s="239"/>
      <c r="U40" s="241">
        <f>T40/T17</f>
        <v>0</v>
      </c>
      <c r="V40" s="226"/>
      <c r="W40" s="242">
        <f>AVERAGE(N40,L40,R40,T40,P40)</f>
        <v>34.25</v>
      </c>
      <c r="X40" s="775">
        <f t="shared" si="4"/>
        <v>0.89192708333333337</v>
      </c>
    </row>
    <row r="41" spans="1:27" ht="13.5" thickTop="1" x14ac:dyDescent="0.2">
      <c r="A41" s="675" t="s">
        <v>272</v>
      </c>
      <c r="B41" s="332"/>
      <c r="C41" s="279"/>
      <c r="D41" s="332"/>
      <c r="E41" s="279"/>
      <c r="F41" s="332"/>
      <c r="G41" s="279"/>
      <c r="H41" s="332"/>
      <c r="I41" s="279"/>
      <c r="J41" s="332"/>
      <c r="K41" s="279"/>
      <c r="L41" s="332"/>
      <c r="M41" s="279"/>
      <c r="N41" s="332"/>
      <c r="O41" s="279"/>
      <c r="P41" s="332"/>
      <c r="Q41" s="279"/>
      <c r="R41" s="332"/>
      <c r="S41" s="279"/>
      <c r="T41" s="332"/>
      <c r="U41" s="279"/>
      <c r="V41" s="334"/>
      <c r="W41" s="666"/>
      <c r="X41" s="279"/>
    </row>
    <row r="42" spans="1:27" x14ac:dyDescent="0.2">
      <c r="A42" s="675"/>
      <c r="B42" s="332"/>
      <c r="C42" s="279"/>
      <c r="D42" s="332"/>
      <c r="E42" s="279"/>
      <c r="F42" s="332"/>
      <c r="G42" s="279"/>
      <c r="H42" s="332"/>
      <c r="I42" s="279"/>
      <c r="J42" s="332"/>
      <c r="K42" s="279"/>
      <c r="L42" s="332"/>
      <c r="M42" s="279"/>
      <c r="N42" s="332"/>
      <c r="O42" s="279"/>
      <c r="P42" s="332"/>
      <c r="Q42" s="279"/>
      <c r="R42" s="332"/>
      <c r="S42" s="279"/>
      <c r="T42" s="332"/>
      <c r="U42" s="279"/>
      <c r="V42" s="334"/>
      <c r="W42" s="666"/>
      <c r="X42" s="279"/>
    </row>
    <row r="43" spans="1:27" s="85" customFormat="1" ht="15" customHeight="1" thickBot="1" x14ac:dyDescent="0.25">
      <c r="A43" s="649"/>
      <c r="B43" s="650"/>
      <c r="C43" s="650"/>
      <c r="D43" s="650"/>
      <c r="E43" s="650"/>
      <c r="F43" s="650"/>
      <c r="G43" s="650"/>
      <c r="H43" s="650"/>
      <c r="I43" s="650"/>
      <c r="J43" s="650"/>
      <c r="K43" s="650"/>
      <c r="L43" s="650"/>
      <c r="M43" s="650"/>
      <c r="N43" s="650"/>
      <c r="O43" s="650"/>
      <c r="P43" s="650"/>
      <c r="Q43" s="650"/>
      <c r="R43" s="650"/>
      <c r="S43" s="650"/>
      <c r="T43" s="650"/>
      <c r="U43" s="650"/>
      <c r="V43" s="651"/>
      <c r="W43" s="650"/>
      <c r="X43" s="650"/>
      <c r="Y43" s="56"/>
      <c r="Z43" s="56"/>
      <c r="AA43" s="57"/>
    </row>
    <row r="44" spans="1:27" s="1" customFormat="1" ht="18.75" customHeight="1" thickTop="1" thickBot="1" x14ac:dyDescent="0.25">
      <c r="A44" s="175" t="s">
        <v>247</v>
      </c>
      <c r="B44" s="1385" t="s">
        <v>30</v>
      </c>
      <c r="C44" s="1395"/>
      <c r="D44" s="1385" t="s">
        <v>31</v>
      </c>
      <c r="E44" s="1396"/>
      <c r="F44" s="1385" t="s">
        <v>32</v>
      </c>
      <c r="G44" s="1396"/>
      <c r="H44" s="1385" t="s">
        <v>33</v>
      </c>
      <c r="I44" s="1396"/>
      <c r="J44" s="1385" t="s">
        <v>34</v>
      </c>
      <c r="K44" s="1396"/>
      <c r="L44" s="1385" t="s">
        <v>35</v>
      </c>
      <c r="M44" s="1396"/>
      <c r="N44" s="1385" t="s">
        <v>36</v>
      </c>
      <c r="O44" s="1396"/>
      <c r="P44" s="1385" t="s">
        <v>37</v>
      </c>
      <c r="Q44" s="1396"/>
      <c r="R44" s="1385" t="s">
        <v>38</v>
      </c>
      <c r="S44" s="1396"/>
      <c r="T44" s="1385" t="s">
        <v>302</v>
      </c>
      <c r="U44" s="1386"/>
      <c r="V44" s="195"/>
      <c r="W44" s="1382" t="s">
        <v>9</v>
      </c>
      <c r="X44" s="1383"/>
    </row>
    <row r="45" spans="1:27" s="1" customFormat="1" ht="30" customHeight="1" x14ac:dyDescent="0.2">
      <c r="A45" s="715" t="s">
        <v>249</v>
      </c>
      <c r="B45" s="711"/>
      <c r="C45" s="529"/>
      <c r="D45" s="711"/>
      <c r="E45" s="712"/>
      <c r="F45" s="711"/>
      <c r="G45" s="712"/>
      <c r="H45" s="711"/>
      <c r="I45" s="712"/>
      <c r="J45" s="711"/>
      <c r="K45" s="712"/>
      <c r="L45" s="711"/>
      <c r="M45" s="712"/>
      <c r="N45" s="711"/>
      <c r="O45" s="712"/>
      <c r="P45" s="711"/>
      <c r="Q45" s="712"/>
      <c r="R45" s="711"/>
      <c r="S45" s="712"/>
      <c r="T45" s="713"/>
      <c r="U45" s="714"/>
      <c r="V45" s="195"/>
      <c r="W45" s="272"/>
      <c r="X45" s="271"/>
    </row>
    <row r="46" spans="1:27" s="1" customFormat="1" ht="25.5" customHeight="1" x14ac:dyDescent="0.2">
      <c r="A46" s="721" t="s">
        <v>237</v>
      </c>
      <c r="B46" s="186"/>
      <c r="C46" s="653">
        <v>26</v>
      </c>
      <c r="D46" s="186"/>
      <c r="E46" s="653">
        <v>29</v>
      </c>
      <c r="F46" s="186"/>
      <c r="G46" s="653">
        <v>29</v>
      </c>
      <c r="H46" s="186"/>
      <c r="I46" s="653">
        <v>30</v>
      </c>
      <c r="J46" s="186"/>
      <c r="K46" s="653">
        <v>30</v>
      </c>
      <c r="L46" s="186"/>
      <c r="M46" s="653">
        <v>31</v>
      </c>
      <c r="N46" s="186"/>
      <c r="O46" s="653">
        <v>28</v>
      </c>
      <c r="P46" s="186"/>
      <c r="Q46" s="653">
        <v>30</v>
      </c>
      <c r="R46" s="186"/>
      <c r="S46" s="653">
        <v>33</v>
      </c>
      <c r="T46" s="654"/>
      <c r="U46" s="340"/>
      <c r="V46" s="195"/>
      <c r="W46" s="347"/>
      <c r="X46" s="340">
        <f>AVERAGE(O46,M46,S46,U46,Q46)</f>
        <v>30.5</v>
      </c>
    </row>
    <row r="47" spans="1:27" s="1" customFormat="1" ht="25.5" customHeight="1" x14ac:dyDescent="0.2">
      <c r="A47" s="721" t="s">
        <v>239</v>
      </c>
      <c r="B47" s="654"/>
      <c r="C47" s="716">
        <v>26</v>
      </c>
      <c r="D47" s="654"/>
      <c r="E47" s="716">
        <v>29</v>
      </c>
      <c r="F47" s="654"/>
      <c r="G47" s="716">
        <v>29</v>
      </c>
      <c r="H47" s="654"/>
      <c r="I47" s="716">
        <v>30</v>
      </c>
      <c r="J47" s="654"/>
      <c r="K47" s="716">
        <v>30</v>
      </c>
      <c r="L47" s="654"/>
      <c r="M47" s="716">
        <v>31</v>
      </c>
      <c r="N47" s="654"/>
      <c r="O47" s="716">
        <v>28</v>
      </c>
      <c r="P47" s="654"/>
      <c r="Q47" s="716">
        <v>30</v>
      </c>
      <c r="R47" s="654"/>
      <c r="S47" s="716">
        <v>33</v>
      </c>
      <c r="T47" s="654"/>
      <c r="U47" s="340"/>
      <c r="V47" s="195"/>
      <c r="W47" s="1252"/>
      <c r="X47" s="394">
        <f t="shared" ref="X47:X48" si="5">AVERAGE(O47,M47,S47,U47,Q47)</f>
        <v>30.5</v>
      </c>
    </row>
    <row r="48" spans="1:27" s="882" customFormat="1" ht="15" customHeight="1" thickBot="1" x14ac:dyDescent="0.25">
      <c r="A48" s="876" t="s">
        <v>238</v>
      </c>
      <c r="B48" s="877"/>
      <c r="C48" s="878">
        <v>26</v>
      </c>
      <c r="D48" s="877"/>
      <c r="E48" s="878">
        <v>29</v>
      </c>
      <c r="F48" s="877"/>
      <c r="G48" s="878">
        <v>29</v>
      </c>
      <c r="H48" s="877"/>
      <c r="I48" s="878">
        <v>30</v>
      </c>
      <c r="J48" s="877"/>
      <c r="K48" s="878">
        <v>30</v>
      </c>
      <c r="L48" s="877"/>
      <c r="M48" s="878">
        <v>31</v>
      </c>
      <c r="N48" s="877"/>
      <c r="O48" s="878">
        <v>28</v>
      </c>
      <c r="P48" s="877"/>
      <c r="Q48" s="878">
        <v>30</v>
      </c>
      <c r="R48" s="877"/>
      <c r="S48" s="878">
        <v>33</v>
      </c>
      <c r="T48" s="879"/>
      <c r="U48" s="880"/>
      <c r="V48" s="881"/>
      <c r="W48" s="950"/>
      <c r="X48" s="1253">
        <f t="shared" si="5"/>
        <v>30.5</v>
      </c>
    </row>
    <row r="49" spans="1:24" s="1" customFormat="1" ht="18.75" customHeight="1" thickBot="1" x14ac:dyDescent="0.25">
      <c r="A49" s="795" t="s">
        <v>264</v>
      </c>
      <c r="B49" s="797" t="s">
        <v>40</v>
      </c>
      <c r="C49" s="798" t="s">
        <v>41</v>
      </c>
      <c r="D49" s="799" t="s">
        <v>40</v>
      </c>
      <c r="E49" s="800" t="s">
        <v>41</v>
      </c>
      <c r="F49" s="797" t="s">
        <v>40</v>
      </c>
      <c r="G49" s="798" t="s">
        <v>41</v>
      </c>
      <c r="H49" s="799" t="s">
        <v>40</v>
      </c>
      <c r="I49" s="800" t="s">
        <v>41</v>
      </c>
      <c r="J49" s="797" t="s">
        <v>40</v>
      </c>
      <c r="K49" s="798" t="s">
        <v>41</v>
      </c>
      <c r="L49" s="799" t="s">
        <v>40</v>
      </c>
      <c r="M49" s="800" t="s">
        <v>41</v>
      </c>
      <c r="N49" s="797" t="s">
        <v>40</v>
      </c>
      <c r="O49" s="798" t="s">
        <v>41</v>
      </c>
      <c r="P49" s="799" t="s">
        <v>40</v>
      </c>
      <c r="Q49" s="800" t="s">
        <v>41</v>
      </c>
      <c r="R49" s="797" t="s">
        <v>40</v>
      </c>
      <c r="S49" s="798" t="s">
        <v>41</v>
      </c>
      <c r="T49" s="801" t="s">
        <v>40</v>
      </c>
      <c r="U49" s="802" t="s">
        <v>41</v>
      </c>
      <c r="V49" s="204"/>
      <c r="W49" s="1254" t="s">
        <v>40</v>
      </c>
      <c r="X49" s="804" t="s">
        <v>41</v>
      </c>
    </row>
    <row r="50" spans="1:24" s="1" customFormat="1" ht="15" customHeight="1" x14ac:dyDescent="0.2">
      <c r="A50" s="680" t="s">
        <v>42</v>
      </c>
      <c r="B50" s="681"/>
      <c r="C50" s="805"/>
      <c r="D50" s="806"/>
      <c r="E50" s="682"/>
      <c r="F50" s="681"/>
      <c r="G50" s="807"/>
      <c r="H50" s="808"/>
      <c r="I50" s="682"/>
      <c r="J50" s="681"/>
      <c r="K50" s="807"/>
      <c r="L50" s="808"/>
      <c r="M50" s="682"/>
      <c r="N50" s="681"/>
      <c r="O50" s="807"/>
      <c r="P50" s="808"/>
      <c r="Q50" s="682"/>
      <c r="R50" s="681"/>
      <c r="S50" s="807"/>
      <c r="T50" s="806"/>
      <c r="U50" s="683"/>
      <c r="V50" s="204"/>
      <c r="W50" s="1029"/>
      <c r="X50" s="1030"/>
    </row>
    <row r="51" spans="1:24" s="1" customFormat="1" ht="15" customHeight="1" x14ac:dyDescent="0.2">
      <c r="A51" s="678" t="s">
        <v>43</v>
      </c>
      <c r="B51" s="809"/>
      <c r="C51" s="810">
        <v>30</v>
      </c>
      <c r="D51" s="809"/>
      <c r="E51" s="321">
        <v>34</v>
      </c>
      <c r="F51" s="809"/>
      <c r="G51" s="811">
        <v>33</v>
      </c>
      <c r="H51" s="809"/>
      <c r="I51" s="321">
        <v>35</v>
      </c>
      <c r="J51" s="812">
        <v>35</v>
      </c>
      <c r="K51" s="811">
        <v>35</v>
      </c>
      <c r="L51" s="813">
        <v>37</v>
      </c>
      <c r="M51" s="321">
        <v>37</v>
      </c>
      <c r="N51" s="812">
        <v>34</v>
      </c>
      <c r="O51" s="811">
        <v>34</v>
      </c>
      <c r="P51" s="813">
        <v>39</v>
      </c>
      <c r="Q51" s="321">
        <v>39</v>
      </c>
      <c r="R51" s="812">
        <v>41</v>
      </c>
      <c r="S51" s="811">
        <v>41</v>
      </c>
      <c r="T51" s="814"/>
      <c r="U51" s="322"/>
      <c r="V51" s="204"/>
      <c r="W51" s="936">
        <f>AVERAGE(T51,L51,N51,P51,R51)</f>
        <v>37.75</v>
      </c>
      <c r="X51" s="1031">
        <f>AVERAGE(O51,M51,S51,U51,Q51)</f>
        <v>37.75</v>
      </c>
    </row>
    <row r="52" spans="1:24" s="1" customFormat="1" ht="15" customHeight="1" x14ac:dyDescent="0.2">
      <c r="A52" s="678" t="s">
        <v>44</v>
      </c>
      <c r="B52" s="809"/>
      <c r="C52" s="810">
        <v>3</v>
      </c>
      <c r="D52" s="809"/>
      <c r="E52" s="321">
        <v>1</v>
      </c>
      <c r="F52" s="809"/>
      <c r="G52" s="811">
        <v>3</v>
      </c>
      <c r="H52" s="809"/>
      <c r="I52" s="321">
        <v>3</v>
      </c>
      <c r="J52" s="812">
        <v>1.7</v>
      </c>
      <c r="K52" s="811">
        <v>3</v>
      </c>
      <c r="L52" s="844">
        <v>2.35</v>
      </c>
      <c r="M52" s="321">
        <v>4</v>
      </c>
      <c r="N52" s="812">
        <v>3.6</v>
      </c>
      <c r="O52" s="811">
        <v>6</v>
      </c>
      <c r="P52" s="813">
        <v>4</v>
      </c>
      <c r="Q52" s="321">
        <v>8</v>
      </c>
      <c r="R52" s="812">
        <v>3.3</v>
      </c>
      <c r="S52" s="811">
        <v>6</v>
      </c>
      <c r="T52" s="814"/>
      <c r="U52" s="322"/>
      <c r="V52" s="204"/>
      <c r="W52" s="936">
        <f t="shared" ref="W52:W56" si="6">AVERAGE(T52,L52,N52,P52,R52)</f>
        <v>3.3125</v>
      </c>
      <c r="X52" s="1031">
        <f t="shared" ref="X52:X56" si="7">AVERAGE(O52,M52,S52,U52,Q52)</f>
        <v>6</v>
      </c>
    </row>
    <row r="53" spans="1:24" s="1" customFormat="1" ht="15" customHeight="1" x14ac:dyDescent="0.2">
      <c r="A53" s="676" t="s">
        <v>45</v>
      </c>
      <c r="B53" s="663"/>
      <c r="C53" s="815"/>
      <c r="D53" s="663"/>
      <c r="E53" s="325"/>
      <c r="F53" s="663"/>
      <c r="G53" s="816"/>
      <c r="H53" s="663"/>
      <c r="I53" s="325"/>
      <c r="J53" s="812"/>
      <c r="K53" s="816"/>
      <c r="L53" s="813"/>
      <c r="M53" s="325"/>
      <c r="N53" s="812"/>
      <c r="O53" s="816"/>
      <c r="P53" s="813"/>
      <c r="Q53" s="325"/>
      <c r="R53" s="812"/>
      <c r="S53" s="816"/>
      <c r="T53" s="814"/>
      <c r="U53" s="340"/>
      <c r="V53" s="204"/>
      <c r="W53" s="936"/>
      <c r="X53" s="1031"/>
    </row>
    <row r="54" spans="1:24" s="1" customFormat="1" ht="15" customHeight="1" x14ac:dyDescent="0.2">
      <c r="A54" s="678" t="s">
        <v>43</v>
      </c>
      <c r="B54" s="809"/>
      <c r="C54" s="815">
        <v>1</v>
      </c>
      <c r="D54" s="809"/>
      <c r="E54" s="325">
        <v>0</v>
      </c>
      <c r="F54" s="809"/>
      <c r="G54" s="816">
        <v>0</v>
      </c>
      <c r="H54" s="809"/>
      <c r="I54" s="325">
        <v>0</v>
      </c>
      <c r="J54" s="812">
        <v>0</v>
      </c>
      <c r="K54" s="816">
        <v>0</v>
      </c>
      <c r="L54" s="813">
        <v>0</v>
      </c>
      <c r="M54" s="325">
        <v>0</v>
      </c>
      <c r="N54" s="812">
        <v>0</v>
      </c>
      <c r="O54" s="816">
        <v>0</v>
      </c>
      <c r="P54" s="813">
        <v>0</v>
      </c>
      <c r="Q54" s="325">
        <v>0</v>
      </c>
      <c r="R54" s="812">
        <v>0</v>
      </c>
      <c r="S54" s="816">
        <v>0</v>
      </c>
      <c r="T54" s="814"/>
      <c r="U54" s="340"/>
      <c r="V54" s="204"/>
      <c r="W54" s="936">
        <f t="shared" si="6"/>
        <v>0</v>
      </c>
      <c r="X54" s="1031">
        <f t="shared" si="7"/>
        <v>0</v>
      </c>
    </row>
    <row r="55" spans="1:24" s="1" customFormat="1" ht="15" customHeight="1" thickBot="1" x14ac:dyDescent="0.25">
      <c r="A55" s="679" t="s">
        <v>44</v>
      </c>
      <c r="B55" s="817"/>
      <c r="C55" s="818">
        <v>0</v>
      </c>
      <c r="D55" s="817"/>
      <c r="E55" s="476">
        <v>0</v>
      </c>
      <c r="F55" s="817"/>
      <c r="G55" s="819">
        <v>0</v>
      </c>
      <c r="H55" s="817"/>
      <c r="I55" s="476">
        <v>0</v>
      </c>
      <c r="J55" s="820">
        <v>0</v>
      </c>
      <c r="K55" s="819">
        <v>0</v>
      </c>
      <c r="L55" s="821">
        <v>0</v>
      </c>
      <c r="M55" s="476">
        <v>0</v>
      </c>
      <c r="N55" s="820">
        <v>0</v>
      </c>
      <c r="O55" s="819">
        <v>0</v>
      </c>
      <c r="P55" s="821">
        <v>0</v>
      </c>
      <c r="Q55" s="476">
        <v>0</v>
      </c>
      <c r="R55" s="820">
        <v>0</v>
      </c>
      <c r="S55" s="819">
        <v>0</v>
      </c>
      <c r="T55" s="822"/>
      <c r="U55" s="326"/>
      <c r="V55" s="204"/>
      <c r="W55" s="1020">
        <f t="shared" si="6"/>
        <v>0</v>
      </c>
      <c r="X55" s="1032">
        <f t="shared" si="7"/>
        <v>0</v>
      </c>
    </row>
    <row r="56" spans="1:24" s="1" customFormat="1" ht="15" customHeight="1" thickBot="1" x14ac:dyDescent="0.25">
      <c r="A56" s="796" t="s">
        <v>28</v>
      </c>
      <c r="B56" s="823"/>
      <c r="C56" s="824">
        <f>SUM(C51:C55)</f>
        <v>34</v>
      </c>
      <c r="D56" s="823"/>
      <c r="E56" s="825">
        <f>SUM(E51:E55)</f>
        <v>35</v>
      </c>
      <c r="F56" s="823"/>
      <c r="G56" s="826">
        <f>SUM(G51:G55)</f>
        <v>36</v>
      </c>
      <c r="H56" s="823"/>
      <c r="I56" s="825">
        <f t="shared" ref="I56:S56" si="8">SUM(I51:I55)</f>
        <v>38</v>
      </c>
      <c r="J56" s="827">
        <f t="shared" si="8"/>
        <v>36.700000000000003</v>
      </c>
      <c r="K56" s="826">
        <f t="shared" si="8"/>
        <v>38</v>
      </c>
      <c r="L56" s="827">
        <f t="shared" si="8"/>
        <v>39.35</v>
      </c>
      <c r="M56" s="825">
        <f t="shared" si="8"/>
        <v>41</v>
      </c>
      <c r="N56" s="827">
        <f t="shared" si="8"/>
        <v>37.6</v>
      </c>
      <c r="O56" s="826">
        <f t="shared" si="8"/>
        <v>40</v>
      </c>
      <c r="P56" s="827">
        <f t="shared" si="8"/>
        <v>43</v>
      </c>
      <c r="Q56" s="825">
        <f t="shared" si="8"/>
        <v>47</v>
      </c>
      <c r="R56" s="827">
        <f t="shared" si="8"/>
        <v>44.3</v>
      </c>
      <c r="S56" s="826">
        <f t="shared" si="8"/>
        <v>47</v>
      </c>
      <c r="T56" s="827">
        <f t="shared" ref="T56:U56" si="9">SUM(T51:T55)</f>
        <v>0</v>
      </c>
      <c r="U56" s="828">
        <f t="shared" si="9"/>
        <v>0</v>
      </c>
      <c r="V56" s="204"/>
      <c r="W56" s="1028">
        <f t="shared" si="6"/>
        <v>32.85</v>
      </c>
      <c r="X56" s="1033">
        <f t="shared" si="7"/>
        <v>35</v>
      </c>
    </row>
    <row r="57" spans="1:24" s="1" customFormat="1" ht="18" customHeight="1" thickBot="1" x14ac:dyDescent="0.25">
      <c r="A57" s="872" t="s">
        <v>253</v>
      </c>
      <c r="B57" s="344" t="s">
        <v>39</v>
      </c>
      <c r="C57" s="707" t="s">
        <v>46</v>
      </c>
      <c r="D57" s="344" t="s">
        <v>39</v>
      </c>
      <c r="E57" s="708" t="s">
        <v>46</v>
      </c>
      <c r="F57" s="829" t="s">
        <v>39</v>
      </c>
      <c r="G57" s="708" t="s">
        <v>46</v>
      </c>
      <c r="H57" s="709" t="s">
        <v>39</v>
      </c>
      <c r="I57" s="830" t="s">
        <v>46</v>
      </c>
      <c r="J57" s="829" t="s">
        <v>39</v>
      </c>
      <c r="K57" s="708" t="s">
        <v>46</v>
      </c>
      <c r="L57" s="709" t="s">
        <v>39</v>
      </c>
      <c r="M57" s="830" t="s">
        <v>46</v>
      </c>
      <c r="N57" s="829" t="s">
        <v>39</v>
      </c>
      <c r="O57" s="708" t="s">
        <v>46</v>
      </c>
      <c r="P57" s="709" t="s">
        <v>39</v>
      </c>
      <c r="Q57" s="830" t="s">
        <v>46</v>
      </c>
      <c r="R57" s="829" t="s">
        <v>39</v>
      </c>
      <c r="S57" s="708" t="s">
        <v>46</v>
      </c>
      <c r="T57" s="709" t="s">
        <v>39</v>
      </c>
      <c r="U57" s="710" t="s">
        <v>46</v>
      </c>
      <c r="V57" s="195"/>
      <c r="W57" s="832" t="s">
        <v>39</v>
      </c>
      <c r="X57" s="804" t="s">
        <v>46</v>
      </c>
    </row>
    <row r="58" spans="1:24" s="1" customFormat="1" ht="18" customHeight="1" x14ac:dyDescent="0.2">
      <c r="A58" s="848" t="s">
        <v>265</v>
      </c>
      <c r="B58" s="280"/>
      <c r="C58" s="792"/>
      <c r="D58" s="459"/>
      <c r="E58" s="793"/>
      <c r="F58" s="280"/>
      <c r="G58" s="793"/>
      <c r="H58" s="280"/>
      <c r="I58" s="793"/>
      <c r="J58" s="280"/>
      <c r="K58" s="793"/>
      <c r="L58" s="280"/>
      <c r="M58" s="793"/>
      <c r="N58" s="280"/>
      <c r="O58" s="793"/>
      <c r="P58" s="280"/>
      <c r="Q58" s="793"/>
      <c r="R58" s="280"/>
      <c r="S58" s="793"/>
      <c r="T58" s="280"/>
      <c r="U58" s="794"/>
      <c r="V58" s="195"/>
      <c r="W58" s="1026"/>
      <c r="X58" s="199"/>
    </row>
    <row r="59" spans="1:24" s="1" customFormat="1" ht="15" customHeight="1" x14ac:dyDescent="0.2">
      <c r="A59" s="706" t="s">
        <v>47</v>
      </c>
      <c r="B59" s="156">
        <f>19+1+2</f>
        <v>22</v>
      </c>
      <c r="C59" s="191">
        <f t="shared" ref="C59:C66" si="10">B59/C$56</f>
        <v>0.6470588235294118</v>
      </c>
      <c r="D59" s="156">
        <f>25+1</f>
        <v>26</v>
      </c>
      <c r="E59" s="192">
        <f t="shared" ref="E59:E66" si="11">D59/E$56</f>
        <v>0.74285714285714288</v>
      </c>
      <c r="F59" s="160">
        <v>29</v>
      </c>
      <c r="G59" s="192">
        <f t="shared" ref="G59:G66" si="12">F59/G$56</f>
        <v>0.80555555555555558</v>
      </c>
      <c r="H59" s="160">
        <v>29</v>
      </c>
      <c r="I59" s="192">
        <f t="shared" ref="I59:I66" si="13">H59/I$56</f>
        <v>0.76315789473684215</v>
      </c>
      <c r="J59" s="160">
        <f>25+3</f>
        <v>28</v>
      </c>
      <c r="K59" s="192">
        <f t="shared" ref="K59:K66" si="14">J59/K$56</f>
        <v>0.73684210526315785</v>
      </c>
      <c r="L59" s="160">
        <v>30</v>
      </c>
      <c r="M59" s="192">
        <f t="shared" ref="M59:M64" si="15">L59/M$56</f>
        <v>0.73170731707317072</v>
      </c>
      <c r="N59" s="160">
        <f>6+24</f>
        <v>30</v>
      </c>
      <c r="O59" s="192">
        <f t="shared" ref="O59:Q64" si="16">N59/O$56</f>
        <v>0.75</v>
      </c>
      <c r="P59" s="160">
        <v>31</v>
      </c>
      <c r="Q59" s="192">
        <f t="shared" si="16"/>
        <v>0.65957446808510634</v>
      </c>
      <c r="R59" s="160">
        <v>31</v>
      </c>
      <c r="S59" s="192">
        <f t="shared" ref="S59:S64" si="17">R59/S$56</f>
        <v>0.65957446808510634</v>
      </c>
      <c r="T59" s="202"/>
      <c r="U59" s="203" t="e">
        <f t="shared" ref="U59:U64" si="18">T59/U$56</f>
        <v>#DIV/0!</v>
      </c>
      <c r="V59" s="204"/>
      <c r="W59" s="205">
        <f>AVERAGE(N59,L59,R59,T59,P59)</f>
        <v>30.5</v>
      </c>
      <c r="X59" s="206" t="e">
        <f>AVERAGE(O59,M59,S59,U59,Q59)</f>
        <v>#DIV/0!</v>
      </c>
    </row>
    <row r="60" spans="1:24" s="1" customFormat="1" ht="15" customHeight="1" x14ac:dyDescent="0.2">
      <c r="A60" s="207" t="s">
        <v>48</v>
      </c>
      <c r="B60" s="160">
        <v>0</v>
      </c>
      <c r="C60" s="191">
        <f t="shared" si="10"/>
        <v>0</v>
      </c>
      <c r="D60" s="156">
        <v>0</v>
      </c>
      <c r="E60" s="192">
        <f t="shared" si="11"/>
        <v>0</v>
      </c>
      <c r="F60" s="160">
        <v>0</v>
      </c>
      <c r="G60" s="192">
        <f t="shared" si="12"/>
        <v>0</v>
      </c>
      <c r="H60" s="160">
        <v>0</v>
      </c>
      <c r="I60" s="192">
        <f t="shared" si="13"/>
        <v>0</v>
      </c>
      <c r="J60" s="160">
        <f>0</f>
        <v>0</v>
      </c>
      <c r="K60" s="192">
        <f t="shared" si="14"/>
        <v>0</v>
      </c>
      <c r="L60" s="160"/>
      <c r="M60" s="192">
        <f t="shared" si="15"/>
        <v>0</v>
      </c>
      <c r="N60" s="160">
        <v>0</v>
      </c>
      <c r="O60" s="192">
        <f t="shared" si="16"/>
        <v>0</v>
      </c>
      <c r="P60" s="160">
        <v>0</v>
      </c>
      <c r="Q60" s="192">
        <f t="shared" si="16"/>
        <v>0</v>
      </c>
      <c r="R60" s="160">
        <v>0</v>
      </c>
      <c r="S60" s="192">
        <f t="shared" si="17"/>
        <v>0</v>
      </c>
      <c r="T60" s="202"/>
      <c r="U60" s="203" t="e">
        <f t="shared" si="18"/>
        <v>#DIV/0!</v>
      </c>
      <c r="V60" s="204"/>
      <c r="W60" s="205">
        <f t="shared" ref="W60:X78" si="19">AVERAGE(N60,L60,R60,T60,P60)</f>
        <v>0</v>
      </c>
      <c r="X60" s="206" t="e">
        <f t="shared" si="19"/>
        <v>#DIV/0!</v>
      </c>
    </row>
    <row r="61" spans="1:24" s="1" customFormat="1" ht="15" customHeight="1" x14ac:dyDescent="0.2">
      <c r="A61" s="207" t="s">
        <v>49</v>
      </c>
      <c r="B61" s="160">
        <v>3</v>
      </c>
      <c r="C61" s="191">
        <f t="shared" si="10"/>
        <v>8.8235294117647065E-2</v>
      </c>
      <c r="D61" s="156">
        <v>4</v>
      </c>
      <c r="E61" s="192">
        <f t="shared" si="11"/>
        <v>0.11428571428571428</v>
      </c>
      <c r="F61" s="160">
        <v>4</v>
      </c>
      <c r="G61" s="192">
        <f t="shared" si="12"/>
        <v>0.1111111111111111</v>
      </c>
      <c r="H61" s="160">
        <v>4</v>
      </c>
      <c r="I61" s="192">
        <f t="shared" si="13"/>
        <v>0.10526315789473684</v>
      </c>
      <c r="J61" s="160">
        <f>5</f>
        <v>5</v>
      </c>
      <c r="K61" s="192">
        <f t="shared" si="14"/>
        <v>0.13157894736842105</v>
      </c>
      <c r="L61" s="160">
        <v>5</v>
      </c>
      <c r="M61" s="192">
        <f t="shared" si="15"/>
        <v>0.12195121951219512</v>
      </c>
      <c r="N61" s="160">
        <v>3</v>
      </c>
      <c r="O61" s="192">
        <f t="shared" si="16"/>
        <v>7.4999999999999997E-2</v>
      </c>
      <c r="P61" s="160">
        <v>3</v>
      </c>
      <c r="Q61" s="192">
        <f t="shared" si="16"/>
        <v>6.3829787234042548E-2</v>
      </c>
      <c r="R61" s="160">
        <v>3</v>
      </c>
      <c r="S61" s="192">
        <f t="shared" si="17"/>
        <v>6.3829787234042548E-2</v>
      </c>
      <c r="T61" s="202"/>
      <c r="U61" s="203" t="e">
        <f t="shared" si="18"/>
        <v>#DIV/0!</v>
      </c>
      <c r="V61" s="204"/>
      <c r="W61" s="205">
        <f t="shared" si="19"/>
        <v>3.5</v>
      </c>
      <c r="X61" s="206" t="e">
        <f t="shared" si="19"/>
        <v>#DIV/0!</v>
      </c>
    </row>
    <row r="62" spans="1:24" s="1" customFormat="1" ht="15" customHeight="1" x14ac:dyDescent="0.2">
      <c r="A62" s="207" t="s">
        <v>50</v>
      </c>
      <c r="B62" s="160">
        <v>0</v>
      </c>
      <c r="C62" s="191">
        <f t="shared" si="10"/>
        <v>0</v>
      </c>
      <c r="D62" s="156">
        <v>0</v>
      </c>
      <c r="E62" s="192">
        <f t="shared" si="11"/>
        <v>0</v>
      </c>
      <c r="F62" s="160">
        <v>0</v>
      </c>
      <c r="G62" s="192">
        <f t="shared" si="12"/>
        <v>0</v>
      </c>
      <c r="H62" s="160">
        <v>0</v>
      </c>
      <c r="I62" s="192">
        <f t="shared" si="13"/>
        <v>0</v>
      </c>
      <c r="J62" s="160">
        <f>0</f>
        <v>0</v>
      </c>
      <c r="K62" s="192">
        <f t="shared" si="14"/>
        <v>0</v>
      </c>
      <c r="L62" s="160"/>
      <c r="M62" s="192">
        <f t="shared" si="15"/>
        <v>0</v>
      </c>
      <c r="N62" s="160">
        <v>0</v>
      </c>
      <c r="O62" s="192">
        <f t="shared" si="16"/>
        <v>0</v>
      </c>
      <c r="P62" s="160">
        <v>0</v>
      </c>
      <c r="Q62" s="192">
        <f t="shared" si="16"/>
        <v>0</v>
      </c>
      <c r="R62" s="160">
        <v>0</v>
      </c>
      <c r="S62" s="192">
        <f t="shared" si="17"/>
        <v>0</v>
      </c>
      <c r="T62" s="202"/>
      <c r="U62" s="203" t="e">
        <f t="shared" si="18"/>
        <v>#DIV/0!</v>
      </c>
      <c r="V62" s="204"/>
      <c r="W62" s="205">
        <f t="shared" si="19"/>
        <v>0</v>
      </c>
      <c r="X62" s="206" t="e">
        <f t="shared" si="19"/>
        <v>#DIV/0!</v>
      </c>
    </row>
    <row r="63" spans="1:24" s="1" customFormat="1" ht="15" customHeight="1" x14ac:dyDescent="0.2">
      <c r="A63" s="207" t="s">
        <v>51</v>
      </c>
      <c r="B63" s="160">
        <v>3</v>
      </c>
      <c r="C63" s="191">
        <f t="shared" si="10"/>
        <v>8.8235294117647065E-2</v>
      </c>
      <c r="D63" s="156">
        <v>1</v>
      </c>
      <c r="E63" s="192">
        <f t="shared" si="11"/>
        <v>2.8571428571428571E-2</v>
      </c>
      <c r="F63" s="160">
        <v>1</v>
      </c>
      <c r="G63" s="192">
        <f t="shared" si="12"/>
        <v>2.7777777777777776E-2</v>
      </c>
      <c r="H63" s="160">
        <v>3</v>
      </c>
      <c r="I63" s="192">
        <f t="shared" si="13"/>
        <v>7.8947368421052627E-2</v>
      </c>
      <c r="J63" s="160">
        <f>1</f>
        <v>1</v>
      </c>
      <c r="K63" s="192">
        <f t="shared" si="14"/>
        <v>2.6315789473684209E-2</v>
      </c>
      <c r="L63" s="160">
        <v>2</v>
      </c>
      <c r="M63" s="192">
        <f t="shared" si="15"/>
        <v>4.878048780487805E-2</v>
      </c>
      <c r="N63" s="160">
        <v>1</v>
      </c>
      <c r="O63" s="192">
        <f t="shared" si="16"/>
        <v>2.5000000000000001E-2</v>
      </c>
      <c r="P63" s="160">
        <v>2</v>
      </c>
      <c r="Q63" s="192">
        <f t="shared" si="16"/>
        <v>4.2553191489361701E-2</v>
      </c>
      <c r="R63" s="160">
        <v>1</v>
      </c>
      <c r="S63" s="192">
        <f t="shared" si="17"/>
        <v>2.1276595744680851E-2</v>
      </c>
      <c r="T63" s="202"/>
      <c r="U63" s="203" t="e">
        <f t="shared" si="18"/>
        <v>#DIV/0!</v>
      </c>
      <c r="V63" s="204"/>
      <c r="W63" s="205">
        <f t="shared" si="19"/>
        <v>1.5</v>
      </c>
      <c r="X63" s="206" t="e">
        <f t="shared" si="19"/>
        <v>#DIV/0!</v>
      </c>
    </row>
    <row r="64" spans="1:24" s="1" customFormat="1" ht="15" customHeight="1" x14ac:dyDescent="0.2">
      <c r="A64" s="207" t="s">
        <v>52</v>
      </c>
      <c r="B64" s="160">
        <v>5</v>
      </c>
      <c r="C64" s="191">
        <f t="shared" si="10"/>
        <v>0.14705882352941177</v>
      </c>
      <c r="D64" s="156">
        <v>4</v>
      </c>
      <c r="E64" s="192">
        <f t="shared" si="11"/>
        <v>0.11428571428571428</v>
      </c>
      <c r="F64" s="160">
        <v>2</v>
      </c>
      <c r="G64" s="192">
        <f t="shared" si="12"/>
        <v>5.5555555555555552E-2</v>
      </c>
      <c r="H64" s="160">
        <v>2</v>
      </c>
      <c r="I64" s="192">
        <f t="shared" si="13"/>
        <v>5.2631578947368418E-2</v>
      </c>
      <c r="J64" s="160">
        <f>4</f>
        <v>4</v>
      </c>
      <c r="K64" s="192">
        <f t="shared" si="14"/>
        <v>0.10526315789473684</v>
      </c>
      <c r="L64" s="160">
        <v>4</v>
      </c>
      <c r="M64" s="192">
        <f t="shared" si="15"/>
        <v>9.7560975609756101E-2</v>
      </c>
      <c r="N64" s="160">
        <v>5</v>
      </c>
      <c r="O64" s="192">
        <f t="shared" si="16"/>
        <v>0.125</v>
      </c>
      <c r="P64" s="160">
        <v>8</v>
      </c>
      <c r="Q64" s="192">
        <f t="shared" si="16"/>
        <v>0.1702127659574468</v>
      </c>
      <c r="R64" s="160">
        <v>9</v>
      </c>
      <c r="S64" s="192">
        <f t="shared" si="17"/>
        <v>0.19148936170212766</v>
      </c>
      <c r="T64" s="202"/>
      <c r="U64" s="203" t="e">
        <f t="shared" si="18"/>
        <v>#DIV/0!</v>
      </c>
      <c r="V64" s="204"/>
      <c r="W64" s="205">
        <f t="shared" si="19"/>
        <v>6.5</v>
      </c>
      <c r="X64" s="206" t="e">
        <f t="shared" si="19"/>
        <v>#DIV/0!</v>
      </c>
    </row>
    <row r="65" spans="1:24" s="1" customFormat="1" ht="15" customHeight="1" x14ac:dyDescent="0.2">
      <c r="A65" s="207" t="s">
        <v>53</v>
      </c>
      <c r="B65" s="399"/>
      <c r="C65" s="191">
        <f t="shared" si="10"/>
        <v>0</v>
      </c>
      <c r="D65" s="1223"/>
      <c r="E65" s="1224"/>
      <c r="F65" s="1225"/>
      <c r="G65" s="1224"/>
      <c r="H65" s="162">
        <v>0</v>
      </c>
      <c r="I65" s="192">
        <f t="shared" si="13"/>
        <v>0</v>
      </c>
      <c r="J65" s="162">
        <f>0</f>
        <v>0</v>
      </c>
      <c r="K65" s="192">
        <f t="shared" si="14"/>
        <v>0</v>
      </c>
      <c r="L65" s="162"/>
      <c r="M65" s="192">
        <f>L65/M$56</f>
        <v>0</v>
      </c>
      <c r="N65" s="162">
        <v>0</v>
      </c>
      <c r="O65" s="192">
        <f>N65/O$56</f>
        <v>0</v>
      </c>
      <c r="P65" s="162">
        <v>0</v>
      </c>
      <c r="Q65" s="192">
        <f>P65/Q$56</f>
        <v>0</v>
      </c>
      <c r="R65" s="162">
        <v>0</v>
      </c>
      <c r="S65" s="192">
        <f>R65/S$56</f>
        <v>0</v>
      </c>
      <c r="T65" s="202"/>
      <c r="U65" s="203" t="e">
        <f>T65/U$56</f>
        <v>#DIV/0!</v>
      </c>
      <c r="V65" s="204"/>
      <c r="W65" s="205">
        <f t="shared" si="19"/>
        <v>0</v>
      </c>
      <c r="X65" s="206" t="e">
        <f t="shared" si="19"/>
        <v>#DIV/0!</v>
      </c>
    </row>
    <row r="66" spans="1:24" s="1" customFormat="1" ht="15" customHeight="1" thickBot="1" x14ac:dyDescent="0.25">
      <c r="A66" s="696" t="s">
        <v>54</v>
      </c>
      <c r="B66" s="697">
        <v>0</v>
      </c>
      <c r="C66" s="698">
        <f t="shared" si="10"/>
        <v>0</v>
      </c>
      <c r="D66" s="699">
        <v>0</v>
      </c>
      <c r="E66" s="700">
        <f t="shared" si="11"/>
        <v>0</v>
      </c>
      <c r="F66" s="697"/>
      <c r="G66" s="700">
        <f t="shared" si="12"/>
        <v>0</v>
      </c>
      <c r="H66" s="697">
        <v>0</v>
      </c>
      <c r="I66" s="700">
        <f t="shared" si="13"/>
        <v>0</v>
      </c>
      <c r="J66" s="697">
        <f>0</f>
        <v>0</v>
      </c>
      <c r="K66" s="700">
        <f t="shared" si="14"/>
        <v>0</v>
      </c>
      <c r="L66" s="697"/>
      <c r="M66" s="700">
        <f>L66/M$56</f>
        <v>0</v>
      </c>
      <c r="N66" s="697">
        <v>1</v>
      </c>
      <c r="O66" s="700">
        <f>N66/O$56</f>
        <v>2.5000000000000001E-2</v>
      </c>
      <c r="P66" s="697">
        <v>3</v>
      </c>
      <c r="Q66" s="700">
        <f>P66/Q$56</f>
        <v>6.3829787234042548E-2</v>
      </c>
      <c r="R66" s="697">
        <v>3</v>
      </c>
      <c r="S66" s="700">
        <f>R66/S$56</f>
        <v>6.3829787234042548E-2</v>
      </c>
      <c r="T66" s="701"/>
      <c r="U66" s="702" t="e">
        <f>T66/U$56</f>
        <v>#DIV/0!</v>
      </c>
      <c r="V66" s="204"/>
      <c r="W66" s="727">
        <f t="shared" si="19"/>
        <v>2.3333333333333335</v>
      </c>
      <c r="X66" s="728" t="e">
        <f t="shared" si="19"/>
        <v>#DIV/0!</v>
      </c>
    </row>
    <row r="67" spans="1:24" s="1" customFormat="1" ht="18" customHeight="1" x14ac:dyDescent="0.2">
      <c r="A67" s="680" t="s">
        <v>55</v>
      </c>
      <c r="B67" s="684"/>
      <c r="C67" s="685"/>
      <c r="D67" s="686"/>
      <c r="E67" s="687"/>
      <c r="F67" s="684"/>
      <c r="G67" s="687"/>
      <c r="H67" s="684"/>
      <c r="I67" s="687"/>
      <c r="J67" s="684"/>
      <c r="K67" s="687"/>
      <c r="L67" s="684"/>
      <c r="M67" s="687"/>
      <c r="N67" s="684"/>
      <c r="O67" s="687"/>
      <c r="P67" s="684"/>
      <c r="Q67" s="687"/>
      <c r="R67" s="684"/>
      <c r="S67" s="687"/>
      <c r="T67" s="688"/>
      <c r="U67" s="689"/>
      <c r="V67" s="204"/>
      <c r="W67" s="736"/>
      <c r="X67" s="737"/>
    </row>
    <row r="68" spans="1:24" s="1" customFormat="1" ht="15" customHeight="1" x14ac:dyDescent="0.2">
      <c r="A68" s="200" t="s">
        <v>56</v>
      </c>
      <c r="B68" s="48">
        <v>28</v>
      </c>
      <c r="C68" s="191">
        <f>B68/C$56</f>
        <v>0.82352941176470584</v>
      </c>
      <c r="D68" s="132">
        <f>29+1</f>
        <v>30</v>
      </c>
      <c r="E68" s="192">
        <f>D68/E$56</f>
        <v>0.8571428571428571</v>
      </c>
      <c r="F68" s="48">
        <v>30</v>
      </c>
      <c r="G68" s="192">
        <f>F68/G$56</f>
        <v>0.83333333333333337</v>
      </c>
      <c r="H68" s="48">
        <v>32</v>
      </c>
      <c r="I68" s="192">
        <f>H68/I$56</f>
        <v>0.84210526315789469</v>
      </c>
      <c r="J68" s="48">
        <f>3+31</f>
        <v>34</v>
      </c>
      <c r="K68" s="192">
        <f>J68/K$56</f>
        <v>0.89473684210526316</v>
      </c>
      <c r="L68" s="48">
        <v>37</v>
      </c>
      <c r="M68" s="192">
        <f>L68/M$56</f>
        <v>0.90243902439024393</v>
      </c>
      <c r="N68" s="48">
        <f>6+28</f>
        <v>34</v>
      </c>
      <c r="O68" s="192">
        <f>N68/O$56</f>
        <v>0.85</v>
      </c>
      <c r="P68" s="48">
        <v>38</v>
      </c>
      <c r="Q68" s="192">
        <f>P68/Q$56</f>
        <v>0.80851063829787229</v>
      </c>
      <c r="R68" s="48">
        <v>39</v>
      </c>
      <c r="S68" s="192">
        <f>R68/S$56</f>
        <v>0.82978723404255317</v>
      </c>
      <c r="T68" s="209"/>
      <c r="U68" s="203" t="e">
        <f>T68/U$56</f>
        <v>#DIV/0!</v>
      </c>
      <c r="V68" s="204"/>
      <c r="W68" s="205">
        <f t="shared" si="19"/>
        <v>37</v>
      </c>
      <c r="X68" s="206" t="e">
        <f t="shared" si="19"/>
        <v>#DIV/0!</v>
      </c>
    </row>
    <row r="69" spans="1:24" s="1" customFormat="1" ht="15" customHeight="1" thickBot="1" x14ac:dyDescent="0.25">
      <c r="A69" s="696" t="s">
        <v>57</v>
      </c>
      <c r="B69" s="703">
        <v>6</v>
      </c>
      <c r="C69" s="698">
        <f>B69/C$56</f>
        <v>0.17647058823529413</v>
      </c>
      <c r="D69" s="704">
        <v>5</v>
      </c>
      <c r="E69" s="700">
        <f>D69/E$56</f>
        <v>0.14285714285714285</v>
      </c>
      <c r="F69" s="703">
        <v>6</v>
      </c>
      <c r="G69" s="700">
        <f>F69/G$56</f>
        <v>0.16666666666666666</v>
      </c>
      <c r="H69" s="703">
        <v>6</v>
      </c>
      <c r="I69" s="700">
        <f>H69/I$56</f>
        <v>0.15789473684210525</v>
      </c>
      <c r="J69" s="703">
        <f>4</f>
        <v>4</v>
      </c>
      <c r="K69" s="700">
        <f>J69/K$56</f>
        <v>0.10526315789473684</v>
      </c>
      <c r="L69" s="703">
        <v>4</v>
      </c>
      <c r="M69" s="700">
        <f>L69/M$56</f>
        <v>9.7560975609756101E-2</v>
      </c>
      <c r="N69" s="703">
        <v>6</v>
      </c>
      <c r="O69" s="700">
        <f>N69/O$56</f>
        <v>0.15</v>
      </c>
      <c r="P69" s="703">
        <v>9</v>
      </c>
      <c r="Q69" s="700">
        <f>P69/Q$56</f>
        <v>0.19148936170212766</v>
      </c>
      <c r="R69" s="703">
        <v>8</v>
      </c>
      <c r="S69" s="700">
        <f>R69/S$56</f>
        <v>0.1702127659574468</v>
      </c>
      <c r="T69" s="705"/>
      <c r="U69" s="702" t="e">
        <f>T69/U$56</f>
        <v>#DIV/0!</v>
      </c>
      <c r="V69" s="204"/>
      <c r="W69" s="727">
        <f t="shared" si="19"/>
        <v>6.75</v>
      </c>
      <c r="X69" s="728" t="e">
        <f t="shared" si="19"/>
        <v>#DIV/0!</v>
      </c>
    </row>
    <row r="70" spans="1:24" s="1" customFormat="1" ht="18" customHeight="1" x14ac:dyDescent="0.2">
      <c r="A70" s="680" t="s">
        <v>58</v>
      </c>
      <c r="B70" s="690"/>
      <c r="C70" s="691"/>
      <c r="D70" s="692"/>
      <c r="E70" s="693"/>
      <c r="F70" s="690"/>
      <c r="G70" s="693"/>
      <c r="H70" s="690"/>
      <c r="I70" s="693"/>
      <c r="J70" s="690"/>
      <c r="K70" s="693"/>
      <c r="L70" s="690"/>
      <c r="M70" s="693"/>
      <c r="N70" s="690"/>
      <c r="O70" s="693"/>
      <c r="P70" s="690"/>
      <c r="Q70" s="693"/>
      <c r="R70" s="690"/>
      <c r="S70" s="693"/>
      <c r="T70" s="694"/>
      <c r="U70" s="695"/>
      <c r="V70" s="204"/>
      <c r="W70" s="736"/>
      <c r="X70" s="737"/>
    </row>
    <row r="71" spans="1:24" s="1" customFormat="1" ht="15" customHeight="1" x14ac:dyDescent="0.2">
      <c r="A71" s="200" t="s">
        <v>59</v>
      </c>
      <c r="B71" s="134">
        <v>20</v>
      </c>
      <c r="C71" s="191">
        <f>B71/C$56</f>
        <v>0.58823529411764708</v>
      </c>
      <c r="D71" s="133">
        <v>19</v>
      </c>
      <c r="E71" s="192">
        <f>D71/E$56</f>
        <v>0.54285714285714282</v>
      </c>
      <c r="F71" s="134">
        <v>18</v>
      </c>
      <c r="G71" s="192">
        <f>F71/G$56</f>
        <v>0.5</v>
      </c>
      <c r="H71" s="134">
        <v>20</v>
      </c>
      <c r="I71" s="192">
        <f>H71/I$56</f>
        <v>0.52631578947368418</v>
      </c>
      <c r="J71" s="134">
        <f>2+17</f>
        <v>19</v>
      </c>
      <c r="K71" s="192">
        <f>J71/K$56</f>
        <v>0.5</v>
      </c>
      <c r="L71" s="134">
        <v>25</v>
      </c>
      <c r="M71" s="192">
        <f>L71/M$56</f>
        <v>0.6097560975609756</v>
      </c>
      <c r="N71" s="134">
        <f>4+19</f>
        <v>23</v>
      </c>
      <c r="O71" s="192">
        <f>N71/O$56</f>
        <v>0.57499999999999996</v>
      </c>
      <c r="P71" s="134">
        <v>25</v>
      </c>
      <c r="Q71" s="192">
        <f>P71/Q$56</f>
        <v>0.53191489361702127</v>
      </c>
      <c r="R71" s="134">
        <v>26</v>
      </c>
      <c r="S71" s="192">
        <f>R71/S$56</f>
        <v>0.55319148936170215</v>
      </c>
      <c r="T71" s="211"/>
      <c r="U71" s="203" t="e">
        <f>T71/U$56</f>
        <v>#DIV/0!</v>
      </c>
      <c r="V71" s="204"/>
      <c r="W71" s="205">
        <f t="shared" si="19"/>
        <v>24.75</v>
      </c>
      <c r="X71" s="206" t="e">
        <f t="shared" si="19"/>
        <v>#DIV/0!</v>
      </c>
    </row>
    <row r="72" spans="1:24" s="1" customFormat="1" ht="15" customHeight="1" x14ac:dyDescent="0.2">
      <c r="A72" s="200" t="s">
        <v>60</v>
      </c>
      <c r="B72" s="134">
        <v>6</v>
      </c>
      <c r="C72" s="191">
        <f>B72/C$56</f>
        <v>0.17647058823529413</v>
      </c>
      <c r="D72" s="133">
        <v>10</v>
      </c>
      <c r="E72" s="192">
        <f>D72/E$56</f>
        <v>0.2857142857142857</v>
      </c>
      <c r="F72" s="134">
        <v>12</v>
      </c>
      <c r="G72" s="192">
        <f>F72/G$56</f>
        <v>0.33333333333333331</v>
      </c>
      <c r="H72" s="134">
        <v>11</v>
      </c>
      <c r="I72" s="192">
        <f>H72/I$56</f>
        <v>0.28947368421052633</v>
      </c>
      <c r="J72" s="134">
        <f>0+13</f>
        <v>13</v>
      </c>
      <c r="K72" s="192">
        <f>J72/K$56</f>
        <v>0.34210526315789475</v>
      </c>
      <c r="L72" s="134">
        <v>9</v>
      </c>
      <c r="M72" s="192">
        <f>L72/M$56</f>
        <v>0.21951219512195122</v>
      </c>
      <c r="N72" s="134">
        <v>9</v>
      </c>
      <c r="O72" s="192">
        <f>N72/O$56</f>
        <v>0.22500000000000001</v>
      </c>
      <c r="P72" s="134">
        <v>8</v>
      </c>
      <c r="Q72" s="192">
        <f>P72/Q$56</f>
        <v>0.1702127659574468</v>
      </c>
      <c r="R72" s="134">
        <v>10</v>
      </c>
      <c r="S72" s="192">
        <f>R72/S$56</f>
        <v>0.21276595744680851</v>
      </c>
      <c r="T72" s="211"/>
      <c r="U72" s="203" t="e">
        <f>T72/U$56</f>
        <v>#DIV/0!</v>
      </c>
      <c r="V72" s="204"/>
      <c r="W72" s="205">
        <f t="shared" si="19"/>
        <v>9</v>
      </c>
      <c r="X72" s="206" t="e">
        <f t="shared" si="19"/>
        <v>#DIV/0!</v>
      </c>
    </row>
    <row r="73" spans="1:24" s="1" customFormat="1" ht="15" customHeight="1" thickBot="1" x14ac:dyDescent="0.25">
      <c r="A73" s="696" t="s">
        <v>61</v>
      </c>
      <c r="B73" s="703">
        <v>8</v>
      </c>
      <c r="C73" s="698">
        <f>B73/C$56</f>
        <v>0.23529411764705882</v>
      </c>
      <c r="D73" s="704">
        <f>5+1</f>
        <v>6</v>
      </c>
      <c r="E73" s="700">
        <f>D73/E$56</f>
        <v>0.17142857142857143</v>
      </c>
      <c r="F73" s="703">
        <v>6</v>
      </c>
      <c r="G73" s="700">
        <f>F73/G$56</f>
        <v>0.16666666666666666</v>
      </c>
      <c r="H73" s="703">
        <v>7</v>
      </c>
      <c r="I73" s="700">
        <f>H73/I$56</f>
        <v>0.18421052631578946</v>
      </c>
      <c r="J73" s="703">
        <f>1+5</f>
        <v>6</v>
      </c>
      <c r="K73" s="700">
        <f>J73/K$56</f>
        <v>0.15789473684210525</v>
      </c>
      <c r="L73" s="703">
        <v>7</v>
      </c>
      <c r="M73" s="700">
        <f>L73/M$56</f>
        <v>0.17073170731707318</v>
      </c>
      <c r="N73" s="703">
        <f>2+6</f>
        <v>8</v>
      </c>
      <c r="O73" s="700">
        <f>N73/O$56</f>
        <v>0.2</v>
      </c>
      <c r="P73" s="703">
        <v>14</v>
      </c>
      <c r="Q73" s="700">
        <f>P73/Q$56</f>
        <v>0.2978723404255319</v>
      </c>
      <c r="R73" s="703">
        <v>11</v>
      </c>
      <c r="S73" s="700">
        <f>R73/S$56</f>
        <v>0.23404255319148937</v>
      </c>
      <c r="T73" s="705"/>
      <c r="U73" s="702" t="e">
        <f>T73/U$56</f>
        <v>#DIV/0!</v>
      </c>
      <c r="V73" s="204"/>
      <c r="W73" s="727">
        <f t="shared" si="19"/>
        <v>10</v>
      </c>
      <c r="X73" s="728" t="e">
        <f t="shared" si="19"/>
        <v>#DIV/0!</v>
      </c>
    </row>
    <row r="74" spans="1:24" s="1" customFormat="1" ht="18" customHeight="1" x14ac:dyDescent="0.2">
      <c r="A74" s="680" t="s">
        <v>62</v>
      </c>
      <c r="B74" s="690"/>
      <c r="C74" s="691"/>
      <c r="D74" s="692"/>
      <c r="E74" s="693"/>
      <c r="F74" s="690"/>
      <c r="G74" s="693"/>
      <c r="H74" s="690"/>
      <c r="I74" s="693"/>
      <c r="J74" s="690"/>
      <c r="K74" s="693"/>
      <c r="L74" s="690"/>
      <c r="M74" s="693"/>
      <c r="N74" s="690"/>
      <c r="O74" s="693"/>
      <c r="P74" s="690"/>
      <c r="Q74" s="693"/>
      <c r="R74" s="690"/>
      <c r="S74" s="693"/>
      <c r="T74" s="694"/>
      <c r="U74" s="695"/>
      <c r="V74" s="204"/>
      <c r="W74" s="736"/>
      <c r="X74" s="737"/>
    </row>
    <row r="75" spans="1:24" s="1" customFormat="1" ht="15" customHeight="1" x14ac:dyDescent="0.2">
      <c r="A75" s="200" t="s">
        <v>63</v>
      </c>
      <c r="B75" s="134">
        <v>33</v>
      </c>
      <c r="C75" s="191">
        <f>B75/C$56</f>
        <v>0.97058823529411764</v>
      </c>
      <c r="D75" s="133">
        <v>34</v>
      </c>
      <c r="E75" s="192">
        <f>D75/E$56</f>
        <v>0.97142857142857142</v>
      </c>
      <c r="F75" s="134">
        <v>35</v>
      </c>
      <c r="G75" s="192">
        <f>F75/G$56</f>
        <v>0.97222222222222221</v>
      </c>
      <c r="H75" s="134">
        <v>37</v>
      </c>
      <c r="I75" s="192">
        <f>H75/I$56</f>
        <v>0.97368421052631582</v>
      </c>
      <c r="J75" s="134">
        <f>2+35</f>
        <v>37</v>
      </c>
      <c r="K75" s="192">
        <f>J75/K$56</f>
        <v>0.97368421052631582</v>
      </c>
      <c r="L75" s="134">
        <v>40</v>
      </c>
      <c r="M75" s="192">
        <f>L75/M$56</f>
        <v>0.97560975609756095</v>
      </c>
      <c r="N75" s="134">
        <f>5+34</f>
        <v>39</v>
      </c>
      <c r="O75" s="192">
        <f>N75/O$56</f>
        <v>0.97499999999999998</v>
      </c>
      <c r="P75" s="134">
        <v>45</v>
      </c>
      <c r="Q75" s="192">
        <f>P75/Q$56</f>
        <v>0.95744680851063835</v>
      </c>
      <c r="R75" s="134">
        <v>45</v>
      </c>
      <c r="S75" s="192">
        <f>R75/S$56</f>
        <v>0.95744680851063835</v>
      </c>
      <c r="T75" s="211"/>
      <c r="U75" s="203" t="e">
        <f>T75/U$56</f>
        <v>#DIV/0!</v>
      </c>
      <c r="V75" s="204"/>
      <c r="W75" s="205">
        <f t="shared" si="19"/>
        <v>42.25</v>
      </c>
      <c r="X75" s="206" t="e">
        <f t="shared" si="19"/>
        <v>#DIV/0!</v>
      </c>
    </row>
    <row r="76" spans="1:24" s="1" customFormat="1" ht="15" customHeight="1" x14ac:dyDescent="0.2">
      <c r="A76" s="200" t="s">
        <v>64</v>
      </c>
      <c r="B76" s="134">
        <v>1</v>
      </c>
      <c r="C76" s="191">
        <f>B76/C$56</f>
        <v>2.9411764705882353E-2</v>
      </c>
      <c r="D76" s="133">
        <v>1</v>
      </c>
      <c r="E76" s="192">
        <f>D76/E$56</f>
        <v>2.8571428571428571E-2</v>
      </c>
      <c r="F76" s="134">
        <v>1</v>
      </c>
      <c r="G76" s="192">
        <f>F76/G$56</f>
        <v>2.7777777777777776E-2</v>
      </c>
      <c r="H76" s="134">
        <v>1</v>
      </c>
      <c r="I76" s="192">
        <f>H76/I$56</f>
        <v>2.6315789473684209E-2</v>
      </c>
      <c r="J76" s="134">
        <f>1</f>
        <v>1</v>
      </c>
      <c r="K76" s="192">
        <f>J76/K$56</f>
        <v>2.6315789473684209E-2</v>
      </c>
      <c r="L76" s="134">
        <v>1</v>
      </c>
      <c r="M76" s="192">
        <f>L76/M$56</f>
        <v>2.4390243902439025E-2</v>
      </c>
      <c r="N76" s="134">
        <v>1</v>
      </c>
      <c r="O76" s="192">
        <f>N76/O$56</f>
        <v>2.5000000000000001E-2</v>
      </c>
      <c r="P76" s="134">
        <v>2</v>
      </c>
      <c r="Q76" s="192">
        <f>P76/Q$56</f>
        <v>4.2553191489361701E-2</v>
      </c>
      <c r="R76" s="134">
        <v>2</v>
      </c>
      <c r="S76" s="192">
        <f>R76/S$56</f>
        <v>4.2553191489361701E-2</v>
      </c>
      <c r="T76" s="211"/>
      <c r="U76" s="203" t="e">
        <f>T76/U$56</f>
        <v>#DIV/0!</v>
      </c>
      <c r="V76" s="204"/>
      <c r="W76" s="205">
        <f t="shared" si="19"/>
        <v>1.5</v>
      </c>
      <c r="X76" s="206" t="e">
        <f t="shared" si="19"/>
        <v>#DIV/0!</v>
      </c>
    </row>
    <row r="77" spans="1:24" s="1" customFormat="1" ht="15" customHeight="1" x14ac:dyDescent="0.2">
      <c r="A77" s="200" t="s">
        <v>65</v>
      </c>
      <c r="B77" s="134">
        <v>0</v>
      </c>
      <c r="C77" s="191">
        <f>B77/C$56</f>
        <v>0</v>
      </c>
      <c r="D77" s="133">
        <v>0</v>
      </c>
      <c r="E77" s="192">
        <f>D77/E$56</f>
        <v>0</v>
      </c>
      <c r="F77" s="134">
        <v>0</v>
      </c>
      <c r="G77" s="192">
        <f>F77/G$56</f>
        <v>0</v>
      </c>
      <c r="H77" s="134">
        <v>0</v>
      </c>
      <c r="I77" s="192">
        <f>H77/I$56</f>
        <v>0</v>
      </c>
      <c r="J77" s="134">
        <v>0</v>
      </c>
      <c r="K77" s="192">
        <f>J77/K$56</f>
        <v>0</v>
      </c>
      <c r="L77" s="134">
        <v>0</v>
      </c>
      <c r="M77" s="192">
        <f>L77/M$56</f>
        <v>0</v>
      </c>
      <c r="N77" s="134">
        <v>0</v>
      </c>
      <c r="O77" s="192">
        <f>N77/O$56</f>
        <v>0</v>
      </c>
      <c r="P77" s="134">
        <v>0</v>
      </c>
      <c r="Q77" s="192">
        <f>P77/Q$56</f>
        <v>0</v>
      </c>
      <c r="R77" s="134">
        <v>0</v>
      </c>
      <c r="S77" s="192">
        <f>R77/S$56</f>
        <v>0</v>
      </c>
      <c r="T77" s="211"/>
      <c r="U77" s="203" t="e">
        <f>T77/U$56</f>
        <v>#DIV/0!</v>
      </c>
      <c r="V77" s="195"/>
      <c r="W77" s="205">
        <f t="shared" si="19"/>
        <v>0</v>
      </c>
      <c r="X77" s="206" t="e">
        <f t="shared" si="19"/>
        <v>#DIV/0!</v>
      </c>
    </row>
    <row r="78" spans="1:24" s="1" customFormat="1" ht="15" customHeight="1" thickBot="1" x14ac:dyDescent="0.25">
      <c r="A78" s="212" t="s">
        <v>66</v>
      </c>
      <c r="B78" s="163">
        <v>0</v>
      </c>
      <c r="C78" s="214">
        <f>B78/C$56</f>
        <v>0</v>
      </c>
      <c r="D78" s="159">
        <v>0</v>
      </c>
      <c r="E78" s="215">
        <f>D78/E$56</f>
        <v>0</v>
      </c>
      <c r="F78" s="163">
        <v>0</v>
      </c>
      <c r="G78" s="215">
        <f>F78/G$56</f>
        <v>0</v>
      </c>
      <c r="H78" s="163">
        <v>0</v>
      </c>
      <c r="I78" s="215">
        <f>H78/I$56</f>
        <v>0</v>
      </c>
      <c r="J78" s="163">
        <v>0</v>
      </c>
      <c r="K78" s="215">
        <f>J78/K$56</f>
        <v>0</v>
      </c>
      <c r="L78" s="163">
        <v>0</v>
      </c>
      <c r="M78" s="215">
        <f>L78/M$56</f>
        <v>0</v>
      </c>
      <c r="N78" s="163">
        <v>0</v>
      </c>
      <c r="O78" s="215">
        <f>N78/O$56</f>
        <v>0</v>
      </c>
      <c r="P78" s="163">
        <v>0</v>
      </c>
      <c r="Q78" s="215">
        <f>P78/Q$56</f>
        <v>0</v>
      </c>
      <c r="R78" s="163">
        <v>0</v>
      </c>
      <c r="S78" s="215">
        <f>R78/S$56</f>
        <v>0</v>
      </c>
      <c r="T78" s="217"/>
      <c r="U78" s="218" t="e">
        <f>T78/U$56</f>
        <v>#DIV/0!</v>
      </c>
      <c r="V78" s="195"/>
      <c r="W78" s="219">
        <f t="shared" si="19"/>
        <v>0</v>
      </c>
      <c r="X78" s="220" t="e">
        <f t="shared" si="19"/>
        <v>#DIV/0!</v>
      </c>
    </row>
    <row r="79" spans="1:24" ht="13.5" thickTop="1" x14ac:dyDescent="0.2">
      <c r="A79" s="743" t="s">
        <v>248</v>
      </c>
    </row>
    <row r="80" spans="1:24" x14ac:dyDescent="0.2">
      <c r="A80" s="1"/>
      <c r="H80" s="65" t="s">
        <v>19</v>
      </c>
      <c r="J80" s="65" t="s">
        <v>19</v>
      </c>
      <c r="L80" s="65" t="s">
        <v>19</v>
      </c>
      <c r="N80" s="65" t="s">
        <v>19</v>
      </c>
      <c r="P80" s="65" t="s">
        <v>19</v>
      </c>
      <c r="R80" s="65" t="s">
        <v>19</v>
      </c>
      <c r="T80" s="65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x14ac:dyDescent="0.2">
      <c r="A84" s="1"/>
    </row>
    <row r="85" spans="1:1" x14ac:dyDescent="0.2">
      <c r="A85" s="1"/>
    </row>
    <row r="86" spans="1:1" x14ac:dyDescent="0.2">
      <c r="A86" s="1"/>
    </row>
    <row r="87" spans="1:1" x14ac:dyDescent="0.2">
      <c r="A87" s="1"/>
    </row>
    <row r="88" spans="1:1" x14ac:dyDescent="0.2">
      <c r="A88" s="1"/>
    </row>
    <row r="89" spans="1:1" x14ac:dyDescent="0.2">
      <c r="A89" s="1"/>
    </row>
    <row r="90" spans="1:1" x14ac:dyDescent="0.2">
      <c r="A90" s="1"/>
    </row>
    <row r="91" spans="1:1" x14ac:dyDescent="0.2">
      <c r="A91" s="1"/>
    </row>
    <row r="92" spans="1:1" x14ac:dyDescent="0.2">
      <c r="A92" s="1"/>
    </row>
    <row r="93" spans="1:1" x14ac:dyDescent="0.2">
      <c r="A93" s="1"/>
    </row>
    <row r="94" spans="1:1" x14ac:dyDescent="0.2">
      <c r="A94" s="1"/>
    </row>
    <row r="95" spans="1:1" x14ac:dyDescent="0.2">
      <c r="A95" s="1"/>
    </row>
    <row r="96" spans="1:1" x14ac:dyDescent="0.2">
      <c r="A96" s="1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x14ac:dyDescent="0.2">
      <c r="A100" s="1"/>
    </row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x14ac:dyDescent="0.2">
      <c r="A107" s="1"/>
    </row>
    <row r="108" spans="1:1" x14ac:dyDescent="0.2">
      <c r="A108" s="1"/>
    </row>
    <row r="109" spans="1:1" x14ac:dyDescent="0.2">
      <c r="A109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x14ac:dyDescent="0.2">
      <c r="A120" s="1"/>
    </row>
    <row r="121" spans="1:1" x14ac:dyDescent="0.2">
      <c r="A121" s="1"/>
    </row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x14ac:dyDescent="0.2">
      <c r="A128" s="1"/>
    </row>
    <row r="129" spans="1:1" x14ac:dyDescent="0.2">
      <c r="A129" s="1"/>
    </row>
    <row r="130" spans="1:1" x14ac:dyDescent="0.2">
      <c r="A130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x14ac:dyDescent="0.2">
      <c r="A152" s="1"/>
    </row>
    <row r="153" spans="1:1" x14ac:dyDescent="0.2">
      <c r="A153" s="1"/>
    </row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  <row r="177" spans="1:1" x14ac:dyDescent="0.2">
      <c r="A177" s="1"/>
    </row>
    <row r="178" spans="1:1" x14ac:dyDescent="0.2">
      <c r="A178" s="1"/>
    </row>
    <row r="179" spans="1:1" x14ac:dyDescent="0.2">
      <c r="A179" s="1"/>
    </row>
    <row r="180" spans="1:1" x14ac:dyDescent="0.2">
      <c r="A180" s="1"/>
    </row>
    <row r="181" spans="1:1" x14ac:dyDescent="0.2">
      <c r="A181" s="1"/>
    </row>
    <row r="182" spans="1:1" x14ac:dyDescent="0.2">
      <c r="A182" s="1"/>
    </row>
    <row r="183" spans="1:1" x14ac:dyDescent="0.2">
      <c r="A183" s="1"/>
    </row>
    <row r="184" spans="1:1" x14ac:dyDescent="0.2">
      <c r="A184" s="1"/>
    </row>
    <row r="185" spans="1:1" x14ac:dyDescent="0.2">
      <c r="A185" s="1"/>
    </row>
    <row r="186" spans="1:1" x14ac:dyDescent="0.2">
      <c r="A186" s="1"/>
    </row>
    <row r="187" spans="1:1" x14ac:dyDescent="0.2">
      <c r="A187" s="1"/>
    </row>
    <row r="188" spans="1:1" x14ac:dyDescent="0.2">
      <c r="A188" s="1"/>
    </row>
    <row r="189" spans="1:1" x14ac:dyDescent="0.2">
      <c r="A189" s="1"/>
    </row>
    <row r="190" spans="1:1" x14ac:dyDescent="0.2">
      <c r="A190" s="1"/>
    </row>
    <row r="191" spans="1:1" x14ac:dyDescent="0.2">
      <c r="A191" s="1"/>
    </row>
    <row r="192" spans="1:1" x14ac:dyDescent="0.2">
      <c r="A192" s="1"/>
    </row>
    <row r="193" spans="1:1" x14ac:dyDescent="0.2">
      <c r="A193" s="1"/>
    </row>
    <row r="194" spans="1:1" x14ac:dyDescent="0.2">
      <c r="A194" s="1"/>
    </row>
    <row r="195" spans="1:1" x14ac:dyDescent="0.2">
      <c r="A195" s="1"/>
    </row>
    <row r="196" spans="1:1" x14ac:dyDescent="0.2">
      <c r="A196" s="1"/>
    </row>
    <row r="197" spans="1:1" x14ac:dyDescent="0.2">
      <c r="A197" s="1"/>
    </row>
    <row r="198" spans="1:1" x14ac:dyDescent="0.2">
      <c r="A198" s="1"/>
    </row>
    <row r="199" spans="1:1" x14ac:dyDescent="0.2">
      <c r="A199" s="1"/>
    </row>
    <row r="200" spans="1:1" x14ac:dyDescent="0.2">
      <c r="A200" s="1"/>
    </row>
    <row r="201" spans="1:1" x14ac:dyDescent="0.2">
      <c r="A201" s="1"/>
    </row>
    <row r="202" spans="1:1" x14ac:dyDescent="0.2">
      <c r="A202" s="1"/>
    </row>
    <row r="203" spans="1:1" x14ac:dyDescent="0.2">
      <c r="A203" s="1"/>
    </row>
    <row r="204" spans="1:1" x14ac:dyDescent="0.2">
      <c r="A204" s="1"/>
    </row>
    <row r="205" spans="1:1" x14ac:dyDescent="0.2">
      <c r="A205" s="1"/>
    </row>
    <row r="206" spans="1:1" x14ac:dyDescent="0.2">
      <c r="A206" s="1"/>
    </row>
    <row r="207" spans="1:1" x14ac:dyDescent="0.2">
      <c r="A207" s="1"/>
    </row>
    <row r="208" spans="1:1" x14ac:dyDescent="0.2">
      <c r="A208" s="1"/>
    </row>
    <row r="209" spans="1:1" x14ac:dyDescent="0.2">
      <c r="A209" s="1"/>
    </row>
    <row r="210" spans="1:1" x14ac:dyDescent="0.2">
      <c r="A210" s="1"/>
    </row>
    <row r="211" spans="1:1" x14ac:dyDescent="0.2">
      <c r="A211" s="1"/>
    </row>
    <row r="212" spans="1:1" x14ac:dyDescent="0.2">
      <c r="A212" s="1"/>
    </row>
    <row r="213" spans="1:1" x14ac:dyDescent="0.2">
      <c r="A213" s="1"/>
    </row>
    <row r="214" spans="1:1" x14ac:dyDescent="0.2">
      <c r="A214" s="1"/>
    </row>
    <row r="215" spans="1:1" x14ac:dyDescent="0.2">
      <c r="A215" s="1"/>
    </row>
    <row r="216" spans="1:1" x14ac:dyDescent="0.2">
      <c r="A216" s="1"/>
    </row>
    <row r="217" spans="1:1" x14ac:dyDescent="0.2">
      <c r="A217" s="1"/>
    </row>
    <row r="218" spans="1:1" x14ac:dyDescent="0.2">
      <c r="A218" s="1"/>
    </row>
    <row r="219" spans="1:1" x14ac:dyDescent="0.2">
      <c r="A219" s="1"/>
    </row>
    <row r="220" spans="1:1" x14ac:dyDescent="0.2">
      <c r="A220" s="1"/>
    </row>
    <row r="221" spans="1:1" x14ac:dyDescent="0.2">
      <c r="A221" s="1"/>
    </row>
    <row r="222" spans="1:1" x14ac:dyDescent="0.2">
      <c r="A222" s="1"/>
    </row>
    <row r="223" spans="1:1" x14ac:dyDescent="0.2">
      <c r="A223" s="1"/>
    </row>
    <row r="224" spans="1:1" x14ac:dyDescent="0.2">
      <c r="A224" s="1"/>
    </row>
    <row r="225" spans="1:1" x14ac:dyDescent="0.2">
      <c r="A225" s="1"/>
    </row>
    <row r="226" spans="1:1" x14ac:dyDescent="0.2">
      <c r="A226" s="1"/>
    </row>
    <row r="227" spans="1:1" x14ac:dyDescent="0.2">
      <c r="A227" s="1"/>
    </row>
    <row r="228" spans="1:1" x14ac:dyDescent="0.2">
      <c r="A228" s="1"/>
    </row>
    <row r="229" spans="1:1" x14ac:dyDescent="0.2">
      <c r="A229" s="1"/>
    </row>
    <row r="230" spans="1:1" x14ac:dyDescent="0.2">
      <c r="A230" s="1"/>
    </row>
    <row r="231" spans="1:1" x14ac:dyDescent="0.2">
      <c r="A231" s="1"/>
    </row>
    <row r="232" spans="1:1" x14ac:dyDescent="0.2">
      <c r="A232" s="1"/>
    </row>
    <row r="233" spans="1:1" x14ac:dyDescent="0.2">
      <c r="A233" s="1"/>
    </row>
    <row r="234" spans="1:1" x14ac:dyDescent="0.2">
      <c r="A234" s="1"/>
    </row>
    <row r="235" spans="1:1" x14ac:dyDescent="0.2">
      <c r="A235" s="1"/>
    </row>
    <row r="236" spans="1:1" x14ac:dyDescent="0.2">
      <c r="A236" s="1"/>
    </row>
    <row r="237" spans="1:1" x14ac:dyDescent="0.2">
      <c r="A237" s="1"/>
    </row>
    <row r="238" spans="1:1" x14ac:dyDescent="0.2">
      <c r="A238" s="1"/>
    </row>
    <row r="239" spans="1:1" x14ac:dyDescent="0.2">
      <c r="A239" s="1"/>
    </row>
    <row r="240" spans="1:1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6" spans="1:1" x14ac:dyDescent="0.2">
      <c r="A296" s="1"/>
    </row>
    <row r="297" spans="1:1" x14ac:dyDescent="0.2">
      <c r="A297" s="1"/>
    </row>
    <row r="298" spans="1:1" x14ac:dyDescent="0.2">
      <c r="A298" s="1"/>
    </row>
    <row r="299" spans="1:1" x14ac:dyDescent="0.2">
      <c r="A299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  <row r="303" spans="1:1" x14ac:dyDescent="0.2">
      <c r="A303" s="1"/>
    </row>
    <row r="304" spans="1:1" x14ac:dyDescent="0.2">
      <c r="A304" s="1"/>
    </row>
    <row r="305" spans="1:1" x14ac:dyDescent="0.2">
      <c r="A305" s="1"/>
    </row>
    <row r="306" spans="1:1" x14ac:dyDescent="0.2">
      <c r="A306" s="1"/>
    </row>
    <row r="307" spans="1:1" x14ac:dyDescent="0.2">
      <c r="A307" s="1"/>
    </row>
    <row r="308" spans="1:1" x14ac:dyDescent="0.2">
      <c r="A308" s="1"/>
    </row>
    <row r="309" spans="1:1" x14ac:dyDescent="0.2">
      <c r="A309" s="1"/>
    </row>
    <row r="310" spans="1:1" x14ac:dyDescent="0.2">
      <c r="A310" s="1"/>
    </row>
    <row r="311" spans="1:1" x14ac:dyDescent="0.2">
      <c r="A311" s="1"/>
    </row>
    <row r="312" spans="1:1" x14ac:dyDescent="0.2">
      <c r="A312" s="1"/>
    </row>
    <row r="313" spans="1:1" x14ac:dyDescent="0.2">
      <c r="A313" s="1"/>
    </row>
    <row r="314" spans="1:1" x14ac:dyDescent="0.2">
      <c r="A314" s="1"/>
    </row>
    <row r="315" spans="1:1" x14ac:dyDescent="0.2">
      <c r="A315" s="1"/>
    </row>
    <row r="316" spans="1:1" x14ac:dyDescent="0.2">
      <c r="A316" s="1"/>
    </row>
    <row r="317" spans="1:1" x14ac:dyDescent="0.2">
      <c r="A317" s="1"/>
    </row>
    <row r="318" spans="1:1" x14ac:dyDescent="0.2">
      <c r="A318" s="1"/>
    </row>
    <row r="319" spans="1:1" x14ac:dyDescent="0.2">
      <c r="A319" s="1"/>
    </row>
    <row r="320" spans="1:1" x14ac:dyDescent="0.2">
      <c r="A320" s="1"/>
    </row>
    <row r="321" spans="1:1" x14ac:dyDescent="0.2">
      <c r="A321" s="1"/>
    </row>
    <row r="322" spans="1:1" x14ac:dyDescent="0.2">
      <c r="A322" s="1"/>
    </row>
    <row r="323" spans="1:1" x14ac:dyDescent="0.2">
      <c r="A323" s="1"/>
    </row>
    <row r="324" spans="1:1" x14ac:dyDescent="0.2">
      <c r="A324" s="1"/>
    </row>
    <row r="325" spans="1:1" x14ac:dyDescent="0.2">
      <c r="A325" s="1"/>
    </row>
    <row r="326" spans="1:1" x14ac:dyDescent="0.2">
      <c r="A326" s="1"/>
    </row>
    <row r="327" spans="1:1" x14ac:dyDescent="0.2">
      <c r="A327" s="1"/>
    </row>
    <row r="328" spans="1:1" x14ac:dyDescent="0.2">
      <c r="A328" s="1"/>
    </row>
    <row r="329" spans="1:1" x14ac:dyDescent="0.2">
      <c r="A329" s="1"/>
    </row>
    <row r="330" spans="1:1" x14ac:dyDescent="0.2">
      <c r="A330" s="1"/>
    </row>
    <row r="331" spans="1:1" x14ac:dyDescent="0.2">
      <c r="A331" s="1"/>
    </row>
    <row r="332" spans="1:1" x14ac:dyDescent="0.2">
      <c r="A332" s="1"/>
    </row>
    <row r="333" spans="1:1" x14ac:dyDescent="0.2">
      <c r="A333" s="1"/>
    </row>
    <row r="334" spans="1:1" x14ac:dyDescent="0.2">
      <c r="A334" s="1"/>
    </row>
    <row r="335" spans="1:1" x14ac:dyDescent="0.2">
      <c r="A335" s="1"/>
    </row>
    <row r="336" spans="1:1" x14ac:dyDescent="0.2">
      <c r="A336" s="1"/>
    </row>
    <row r="337" spans="1:1" x14ac:dyDescent="0.2">
      <c r="A337" s="1"/>
    </row>
    <row r="338" spans="1:1" x14ac:dyDescent="0.2">
      <c r="A338" s="1"/>
    </row>
    <row r="339" spans="1:1" x14ac:dyDescent="0.2">
      <c r="A339" s="1"/>
    </row>
    <row r="340" spans="1:1" x14ac:dyDescent="0.2">
      <c r="A340" s="1"/>
    </row>
    <row r="341" spans="1:1" x14ac:dyDescent="0.2">
      <c r="A341" s="1"/>
    </row>
    <row r="342" spans="1:1" x14ac:dyDescent="0.2">
      <c r="A342" s="1"/>
    </row>
    <row r="343" spans="1:1" x14ac:dyDescent="0.2">
      <c r="A343" s="1"/>
    </row>
    <row r="344" spans="1:1" x14ac:dyDescent="0.2">
      <c r="A344" s="1"/>
    </row>
    <row r="345" spans="1:1" x14ac:dyDescent="0.2">
      <c r="A345" s="1"/>
    </row>
    <row r="346" spans="1:1" x14ac:dyDescent="0.2">
      <c r="A346" s="1"/>
    </row>
    <row r="347" spans="1:1" x14ac:dyDescent="0.2">
      <c r="A347" s="1"/>
    </row>
    <row r="348" spans="1:1" x14ac:dyDescent="0.2">
      <c r="A348" s="1"/>
    </row>
    <row r="349" spans="1:1" x14ac:dyDescent="0.2">
      <c r="A349" s="1"/>
    </row>
    <row r="350" spans="1:1" x14ac:dyDescent="0.2">
      <c r="A350" s="1"/>
    </row>
    <row r="351" spans="1:1" x14ac:dyDescent="0.2">
      <c r="A351" s="1"/>
    </row>
    <row r="352" spans="1:1" x14ac:dyDescent="0.2">
      <c r="A352" s="1"/>
    </row>
    <row r="353" spans="1:1" x14ac:dyDescent="0.2">
      <c r="A353" s="1"/>
    </row>
    <row r="354" spans="1:1" x14ac:dyDescent="0.2">
      <c r="A354" s="1"/>
    </row>
    <row r="355" spans="1:1" x14ac:dyDescent="0.2">
      <c r="A355" s="1"/>
    </row>
    <row r="356" spans="1:1" x14ac:dyDescent="0.2">
      <c r="A356" s="1"/>
    </row>
    <row r="357" spans="1:1" x14ac:dyDescent="0.2">
      <c r="A357" s="1"/>
    </row>
    <row r="358" spans="1:1" x14ac:dyDescent="0.2">
      <c r="A358" s="1"/>
    </row>
    <row r="359" spans="1:1" x14ac:dyDescent="0.2">
      <c r="A359" s="1"/>
    </row>
    <row r="360" spans="1:1" x14ac:dyDescent="0.2">
      <c r="A360" s="1"/>
    </row>
    <row r="361" spans="1:1" x14ac:dyDescent="0.2">
      <c r="A361" s="1"/>
    </row>
    <row r="362" spans="1:1" x14ac:dyDescent="0.2">
      <c r="A362" s="1"/>
    </row>
    <row r="363" spans="1:1" x14ac:dyDescent="0.2">
      <c r="A363" s="1"/>
    </row>
    <row r="364" spans="1:1" x14ac:dyDescent="0.2">
      <c r="A364" s="1"/>
    </row>
    <row r="365" spans="1:1" x14ac:dyDescent="0.2">
      <c r="A365" s="1"/>
    </row>
    <row r="366" spans="1:1" x14ac:dyDescent="0.2">
      <c r="A366" s="1"/>
    </row>
    <row r="367" spans="1:1" x14ac:dyDescent="0.2">
      <c r="A367" s="1"/>
    </row>
    <row r="368" spans="1:1" x14ac:dyDescent="0.2">
      <c r="A368" s="1"/>
    </row>
    <row r="369" spans="1:1" x14ac:dyDescent="0.2">
      <c r="A369" s="1"/>
    </row>
    <row r="370" spans="1:1" x14ac:dyDescent="0.2">
      <c r="A370" s="1"/>
    </row>
    <row r="371" spans="1:1" x14ac:dyDescent="0.2">
      <c r="A371" s="1"/>
    </row>
    <row r="372" spans="1:1" x14ac:dyDescent="0.2">
      <c r="A372" s="1"/>
    </row>
    <row r="373" spans="1:1" x14ac:dyDescent="0.2">
      <c r="A373" s="1"/>
    </row>
    <row r="374" spans="1:1" x14ac:dyDescent="0.2">
      <c r="A374" s="1"/>
    </row>
    <row r="375" spans="1:1" x14ac:dyDescent="0.2">
      <c r="A375" s="1"/>
    </row>
    <row r="376" spans="1:1" x14ac:dyDescent="0.2">
      <c r="A376" s="1"/>
    </row>
    <row r="377" spans="1:1" x14ac:dyDescent="0.2">
      <c r="A377" s="1"/>
    </row>
    <row r="378" spans="1:1" x14ac:dyDescent="0.2">
      <c r="A378" s="1"/>
    </row>
    <row r="379" spans="1:1" x14ac:dyDescent="0.2">
      <c r="A379" s="1"/>
    </row>
    <row r="380" spans="1:1" x14ac:dyDescent="0.2">
      <c r="A380" s="1"/>
    </row>
    <row r="381" spans="1:1" x14ac:dyDescent="0.2">
      <c r="A381" s="1"/>
    </row>
    <row r="382" spans="1:1" x14ac:dyDescent="0.2">
      <c r="A382" s="1"/>
    </row>
    <row r="383" spans="1:1" x14ac:dyDescent="0.2">
      <c r="A383" s="1"/>
    </row>
    <row r="384" spans="1:1" x14ac:dyDescent="0.2">
      <c r="A384" s="1"/>
    </row>
    <row r="385" spans="1:1" x14ac:dyDescent="0.2">
      <c r="A385" s="1"/>
    </row>
    <row r="386" spans="1:1" x14ac:dyDescent="0.2">
      <c r="A386" s="1"/>
    </row>
    <row r="387" spans="1:1" x14ac:dyDescent="0.2">
      <c r="A387" s="1"/>
    </row>
    <row r="388" spans="1:1" x14ac:dyDescent="0.2">
      <c r="A388" s="1"/>
    </row>
    <row r="389" spans="1:1" x14ac:dyDescent="0.2">
      <c r="A389" s="1"/>
    </row>
    <row r="390" spans="1:1" x14ac:dyDescent="0.2">
      <c r="A390" s="1"/>
    </row>
    <row r="391" spans="1:1" x14ac:dyDescent="0.2">
      <c r="A391" s="1"/>
    </row>
    <row r="392" spans="1:1" x14ac:dyDescent="0.2">
      <c r="A392" s="1"/>
    </row>
    <row r="393" spans="1:1" x14ac:dyDescent="0.2">
      <c r="A393" s="1"/>
    </row>
    <row r="394" spans="1:1" x14ac:dyDescent="0.2">
      <c r="A394" s="1"/>
    </row>
    <row r="395" spans="1:1" x14ac:dyDescent="0.2">
      <c r="A395" s="1"/>
    </row>
    <row r="396" spans="1:1" x14ac:dyDescent="0.2">
      <c r="A396" s="1"/>
    </row>
    <row r="397" spans="1:1" x14ac:dyDescent="0.2">
      <c r="A397" s="1"/>
    </row>
    <row r="398" spans="1:1" x14ac:dyDescent="0.2">
      <c r="A398" s="1"/>
    </row>
    <row r="399" spans="1:1" x14ac:dyDescent="0.2">
      <c r="A399" s="1"/>
    </row>
    <row r="400" spans="1:1" x14ac:dyDescent="0.2">
      <c r="A400" s="1"/>
    </row>
    <row r="401" spans="1:1" x14ac:dyDescent="0.2">
      <c r="A401" s="1"/>
    </row>
    <row r="402" spans="1:1" x14ac:dyDescent="0.2">
      <c r="A402" s="1"/>
    </row>
    <row r="403" spans="1:1" x14ac:dyDescent="0.2">
      <c r="A403" s="1"/>
    </row>
    <row r="404" spans="1:1" x14ac:dyDescent="0.2">
      <c r="A404" s="1"/>
    </row>
    <row r="405" spans="1:1" x14ac:dyDescent="0.2">
      <c r="A405" s="1"/>
    </row>
    <row r="406" spans="1:1" x14ac:dyDescent="0.2">
      <c r="A406" s="1"/>
    </row>
    <row r="407" spans="1:1" x14ac:dyDescent="0.2">
      <c r="A407" s="1"/>
    </row>
    <row r="408" spans="1:1" x14ac:dyDescent="0.2">
      <c r="A408" s="1"/>
    </row>
    <row r="409" spans="1:1" x14ac:dyDescent="0.2">
      <c r="A409" s="1"/>
    </row>
    <row r="410" spans="1:1" x14ac:dyDescent="0.2">
      <c r="A410" s="1"/>
    </row>
    <row r="411" spans="1:1" x14ac:dyDescent="0.2">
      <c r="A411" s="1"/>
    </row>
    <row r="412" spans="1:1" x14ac:dyDescent="0.2">
      <c r="A412" s="1"/>
    </row>
    <row r="413" spans="1:1" x14ac:dyDescent="0.2">
      <c r="A413" s="1"/>
    </row>
    <row r="414" spans="1:1" x14ac:dyDescent="0.2">
      <c r="A414" s="1"/>
    </row>
    <row r="415" spans="1:1" x14ac:dyDescent="0.2">
      <c r="A415" s="1"/>
    </row>
    <row r="416" spans="1:1" x14ac:dyDescent="0.2">
      <c r="A416" s="1"/>
    </row>
    <row r="417" spans="1:1" x14ac:dyDescent="0.2">
      <c r="A417" s="1"/>
    </row>
    <row r="418" spans="1:1" x14ac:dyDescent="0.2">
      <c r="A418" s="1"/>
    </row>
    <row r="419" spans="1:1" x14ac:dyDescent="0.2">
      <c r="A419" s="1"/>
    </row>
    <row r="420" spans="1:1" x14ac:dyDescent="0.2">
      <c r="A420" s="1"/>
    </row>
    <row r="421" spans="1:1" x14ac:dyDescent="0.2">
      <c r="A421" s="1"/>
    </row>
    <row r="422" spans="1:1" x14ac:dyDescent="0.2">
      <c r="A422" s="1"/>
    </row>
    <row r="423" spans="1:1" x14ac:dyDescent="0.2">
      <c r="A423" s="1"/>
    </row>
    <row r="424" spans="1:1" x14ac:dyDescent="0.2">
      <c r="A424" s="1"/>
    </row>
    <row r="425" spans="1:1" x14ac:dyDescent="0.2">
      <c r="A425" s="1"/>
    </row>
  </sheetData>
  <mergeCells count="77">
    <mergeCell ref="L20:M20"/>
    <mergeCell ref="N20:O20"/>
    <mergeCell ref="L9:M9"/>
    <mergeCell ref="N9:O9"/>
    <mergeCell ref="P9:Q9"/>
    <mergeCell ref="B20:C20"/>
    <mergeCell ref="D20:E20"/>
    <mergeCell ref="F20:G20"/>
    <mergeCell ref="H20:I20"/>
    <mergeCell ref="J20:K20"/>
    <mergeCell ref="P25:Q25"/>
    <mergeCell ref="R25:S25"/>
    <mergeCell ref="W25:X25"/>
    <mergeCell ref="R20:S20"/>
    <mergeCell ref="W20:X20"/>
    <mergeCell ref="P20:Q20"/>
    <mergeCell ref="T20:U20"/>
    <mergeCell ref="T25:U25"/>
    <mergeCell ref="B27:C27"/>
    <mergeCell ref="D27:E27"/>
    <mergeCell ref="J25:K25"/>
    <mergeCell ref="L25:M25"/>
    <mergeCell ref="N25:O25"/>
    <mergeCell ref="B25:C25"/>
    <mergeCell ref="D25:E25"/>
    <mergeCell ref="F25:G25"/>
    <mergeCell ref="H25:I25"/>
    <mergeCell ref="F27:G27"/>
    <mergeCell ref="H27:I27"/>
    <mergeCell ref="J27:K27"/>
    <mergeCell ref="L27:M27"/>
    <mergeCell ref="N27:O27"/>
    <mergeCell ref="P34:Q34"/>
    <mergeCell ref="R34:S34"/>
    <mergeCell ref="W34:X34"/>
    <mergeCell ref="R27:S27"/>
    <mergeCell ref="W27:X27"/>
    <mergeCell ref="P27:Q27"/>
    <mergeCell ref="T27:U27"/>
    <mergeCell ref="T34:U34"/>
    <mergeCell ref="J34:K34"/>
    <mergeCell ref="L34:M34"/>
    <mergeCell ref="N34:O34"/>
    <mergeCell ref="B34:C34"/>
    <mergeCell ref="D34:E34"/>
    <mergeCell ref="F34:G34"/>
    <mergeCell ref="H34:I34"/>
    <mergeCell ref="R37:S37"/>
    <mergeCell ref="W37:X37"/>
    <mergeCell ref="P37:Q37"/>
    <mergeCell ref="B37:C37"/>
    <mergeCell ref="D37:E37"/>
    <mergeCell ref="F37:G37"/>
    <mergeCell ref="H37:I37"/>
    <mergeCell ref="J37:K37"/>
    <mergeCell ref="L37:M37"/>
    <mergeCell ref="N37:O37"/>
    <mergeCell ref="T37:U37"/>
    <mergeCell ref="B44:C44"/>
    <mergeCell ref="D44:E44"/>
    <mergeCell ref="F44:G44"/>
    <mergeCell ref="H44:I44"/>
    <mergeCell ref="J44:K44"/>
    <mergeCell ref="L44:M44"/>
    <mergeCell ref="N44:O44"/>
    <mergeCell ref="P44:Q44"/>
    <mergeCell ref="R44:S44"/>
    <mergeCell ref="W44:X44"/>
    <mergeCell ref="T44:U44"/>
    <mergeCell ref="W9:X9"/>
    <mergeCell ref="B9:C9"/>
    <mergeCell ref="D9:E9"/>
    <mergeCell ref="F9:G9"/>
    <mergeCell ref="H9:I9"/>
    <mergeCell ref="J9:K9"/>
    <mergeCell ref="R9:S9"/>
    <mergeCell ref="T9:U9"/>
  </mergeCells>
  <pageMargins left="0.5" right="0.5" top="0.5" bottom="0.5" header="0.25" footer="0.25"/>
  <pageSetup scale="70" orientation="landscape" r:id="rId1"/>
  <headerFooter alignWithMargins="0">
    <oddFooter>&amp;L&amp;9Prepared by Planning and Analysis&amp;C&amp;9&amp;P of &amp;N&amp;R&amp;9Updated &amp;D</oddFooter>
  </headerFooter>
  <rowBreaks count="1" manualBreakCount="1">
    <brk id="42" max="16383" man="1"/>
  </rowBreaks>
  <colBreaks count="1" manualBreakCount="1">
    <brk id="21" max="1048575" man="1"/>
  </colBreaks>
  <ignoredErrors>
    <ignoredError sqref="A59:N80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A430"/>
  <sheetViews>
    <sheetView view="pageBreakPreview" zoomScaleNormal="85" zoomScaleSheetLayoutView="100" workbookViewId="0">
      <pane xSplit="1" ySplit="1" topLeftCell="T2" activePane="bottomRight" state="frozen"/>
      <selection activeCell="T36" sqref="T36:U36"/>
      <selection pane="topRight" activeCell="T36" sqref="T36:U36"/>
      <selection pane="bottomLeft" activeCell="T36" sqref="T36:U36"/>
      <selection pane="bottomRight" activeCell="T36" sqref="T36:U36"/>
    </sheetView>
  </sheetViews>
  <sheetFormatPr defaultColWidth="10.28515625" defaultRowHeight="12.75" x14ac:dyDescent="0.2"/>
  <cols>
    <col min="1" max="1" width="33.5703125" customWidth="1"/>
    <col min="2" max="2" width="6.7109375" hidden="1" customWidth="1"/>
    <col min="3" max="3" width="10.7109375" hidden="1" customWidth="1"/>
    <col min="4" max="4" width="6.7109375" hidden="1" customWidth="1"/>
    <col min="5" max="5" width="10.7109375" hidden="1" customWidth="1"/>
    <col min="6" max="6" width="6.7109375" customWidth="1"/>
    <col min="7" max="7" width="10.7109375" customWidth="1"/>
    <col min="8" max="8" width="6.7109375" customWidth="1"/>
    <col min="9" max="9" width="10.7109375" customWidth="1"/>
    <col min="10" max="10" width="6.7109375" customWidth="1"/>
    <col min="11" max="11" width="10.7109375" customWidth="1"/>
    <col min="12" max="12" width="6.7109375" customWidth="1"/>
    <col min="13" max="13" width="10.7109375" customWidth="1"/>
    <col min="14" max="14" width="6.7109375" customWidth="1"/>
    <col min="15" max="15" width="10.7109375" customWidth="1"/>
    <col min="16" max="16" width="6.7109375" customWidth="1"/>
    <col min="17" max="17" width="10.7109375" customWidth="1"/>
    <col min="18" max="18" width="6.7109375" customWidth="1"/>
    <col min="19" max="19" width="10.7109375" customWidth="1"/>
    <col min="20" max="20" width="6.7109375" customWidth="1"/>
    <col min="21" max="21" width="10.7109375" customWidth="1"/>
    <col min="22" max="22" width="3.28515625" customWidth="1"/>
    <col min="23" max="23" width="6.7109375" customWidth="1"/>
    <col min="24" max="24" width="10.7109375" customWidth="1"/>
    <col min="25" max="25" width="1.5703125" customWidth="1"/>
  </cols>
  <sheetData>
    <row r="1" spans="1:26" ht="15.75" x14ac:dyDescent="0.25">
      <c r="A1" s="667" t="s">
        <v>240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</row>
    <row r="2" spans="1:26" ht="15.75" x14ac:dyDescent="0.25">
      <c r="A2" s="667" t="s">
        <v>241</v>
      </c>
    </row>
    <row r="3" spans="1:26" ht="15.75" x14ac:dyDescent="0.25">
      <c r="A3" s="667"/>
    </row>
    <row r="4" spans="1:26" ht="15.75" x14ac:dyDescent="0.25">
      <c r="A4" s="668" t="s">
        <v>261</v>
      </c>
    </row>
    <row r="5" spans="1:26" ht="15.75" x14ac:dyDescent="0.25">
      <c r="A5" s="668"/>
      <c r="U5" s="65" t="s">
        <v>19</v>
      </c>
    </row>
    <row r="6" spans="1:26" x14ac:dyDescent="0.2">
      <c r="A6" s="3" t="s">
        <v>282</v>
      </c>
    </row>
    <row r="7" spans="1:26" x14ac:dyDescent="0.2">
      <c r="A7" s="720">
        <v>3670020180</v>
      </c>
    </row>
    <row r="8" spans="1:26" ht="13.5" thickBot="1" x14ac:dyDescent="0.25">
      <c r="A8" s="1"/>
    </row>
    <row r="9" spans="1:26" ht="15" customHeight="1" thickTop="1" x14ac:dyDescent="0.2">
      <c r="A9" s="4"/>
      <c r="B9" s="1401" t="s">
        <v>0</v>
      </c>
      <c r="C9" s="1398"/>
      <c r="D9" s="1401" t="s">
        <v>1</v>
      </c>
      <c r="E9" s="1398"/>
      <c r="F9" s="1401" t="s">
        <v>2</v>
      </c>
      <c r="G9" s="1398"/>
      <c r="H9" s="1401" t="s">
        <v>3</v>
      </c>
      <c r="I9" s="1398"/>
      <c r="J9" s="1401" t="s">
        <v>4</v>
      </c>
      <c r="K9" s="1398"/>
      <c r="L9" s="1401" t="s">
        <v>5</v>
      </c>
      <c r="M9" s="1398"/>
      <c r="N9" s="1401" t="s">
        <v>6</v>
      </c>
      <c r="O9" s="1398"/>
      <c r="P9" s="1401" t="s">
        <v>7</v>
      </c>
      <c r="Q9" s="1398"/>
      <c r="R9" s="1401" t="s">
        <v>8</v>
      </c>
      <c r="S9" s="1398"/>
      <c r="T9" s="1401" t="s">
        <v>301</v>
      </c>
      <c r="U9" s="1402"/>
      <c r="W9" s="1407" t="s">
        <v>9</v>
      </c>
      <c r="X9" s="1408"/>
    </row>
    <row r="10" spans="1:26" ht="15" customHeight="1" x14ac:dyDescent="0.2">
      <c r="A10" s="5"/>
      <c r="B10" s="68" t="s">
        <v>287</v>
      </c>
      <c r="C10" s="8" t="s">
        <v>10</v>
      </c>
      <c r="D10" s="68" t="s">
        <v>287</v>
      </c>
      <c r="E10" s="8" t="s">
        <v>10</v>
      </c>
      <c r="F10" s="68" t="s">
        <v>287</v>
      </c>
      <c r="G10" s="8" t="s">
        <v>10</v>
      </c>
      <c r="H10" s="68" t="s">
        <v>287</v>
      </c>
      <c r="I10" s="8" t="s">
        <v>10</v>
      </c>
      <c r="J10" s="68" t="s">
        <v>287</v>
      </c>
      <c r="K10" s="8" t="s">
        <v>10</v>
      </c>
      <c r="L10" s="68" t="s">
        <v>287</v>
      </c>
      <c r="M10" s="8" t="s">
        <v>10</v>
      </c>
      <c r="N10" s="68" t="s">
        <v>287</v>
      </c>
      <c r="O10" s="8" t="s">
        <v>10</v>
      </c>
      <c r="P10" s="68" t="s">
        <v>287</v>
      </c>
      <c r="Q10" s="8" t="s">
        <v>10</v>
      </c>
      <c r="R10" s="68" t="s">
        <v>287</v>
      </c>
      <c r="S10" s="8" t="s">
        <v>10</v>
      </c>
      <c r="T10" s="68" t="s">
        <v>287</v>
      </c>
      <c r="U10" s="97" t="s">
        <v>10</v>
      </c>
      <c r="W10" s="6" t="s">
        <v>287</v>
      </c>
      <c r="X10" s="7" t="s">
        <v>11</v>
      </c>
    </row>
    <row r="11" spans="1:26" ht="15" customHeight="1" thickBot="1" x14ac:dyDescent="0.25">
      <c r="A11" s="70" t="s">
        <v>77</v>
      </c>
      <c r="B11" s="69" t="s">
        <v>12</v>
      </c>
      <c r="C11" s="922" t="s">
        <v>13</v>
      </c>
      <c r="D11" s="69" t="s">
        <v>12</v>
      </c>
      <c r="E11" s="922" t="s">
        <v>13</v>
      </c>
      <c r="F11" s="69" t="s">
        <v>12</v>
      </c>
      <c r="G11" s="922" t="s">
        <v>13</v>
      </c>
      <c r="H11" s="69" t="s">
        <v>12</v>
      </c>
      <c r="I11" s="922" t="s">
        <v>13</v>
      </c>
      <c r="J11" s="69" t="s">
        <v>12</v>
      </c>
      <c r="K11" s="922" t="s">
        <v>13</v>
      </c>
      <c r="L11" s="69" t="s">
        <v>12</v>
      </c>
      <c r="M11" s="922" t="s">
        <v>13</v>
      </c>
      <c r="N11" s="69" t="s">
        <v>12</v>
      </c>
      <c r="O11" s="922" t="s">
        <v>13</v>
      </c>
      <c r="P11" s="69" t="s">
        <v>12</v>
      </c>
      <c r="Q11" s="922" t="s">
        <v>13</v>
      </c>
      <c r="R11" s="69" t="s">
        <v>12</v>
      </c>
      <c r="S11" s="922" t="s">
        <v>13</v>
      </c>
      <c r="T11" s="69" t="s">
        <v>12</v>
      </c>
      <c r="U11" s="10" t="s">
        <v>13</v>
      </c>
      <c r="W11" s="9" t="s">
        <v>12</v>
      </c>
      <c r="X11" s="10" t="s">
        <v>13</v>
      </c>
    </row>
    <row r="12" spans="1:26" ht="24" x14ac:dyDescent="0.2">
      <c r="A12" s="460" t="s">
        <v>120</v>
      </c>
      <c r="B12" s="258"/>
      <c r="C12" s="259"/>
      <c r="D12" s="11"/>
      <c r="E12" s="12"/>
      <c r="F12" s="13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5"/>
      <c r="V12" s="564"/>
      <c r="W12" s="779"/>
      <c r="X12" s="24"/>
    </row>
    <row r="13" spans="1:26" s="23" customFormat="1" ht="15" customHeight="1" x14ac:dyDescent="0.2">
      <c r="A13" s="18" t="s">
        <v>15</v>
      </c>
      <c r="B13" s="20">
        <v>37</v>
      </c>
      <c r="C13" s="262"/>
      <c r="D13" s="22">
        <v>34</v>
      </c>
      <c r="E13" s="264"/>
      <c r="F13" s="20">
        <v>28</v>
      </c>
      <c r="G13" s="264"/>
      <c r="H13" s="20">
        <v>19</v>
      </c>
      <c r="I13" s="264"/>
      <c r="J13" s="20">
        <v>27</v>
      </c>
      <c r="K13" s="264"/>
      <c r="L13" s="20">
        <v>29</v>
      </c>
      <c r="M13" s="264"/>
      <c r="N13" s="20">
        <v>39</v>
      </c>
      <c r="O13" s="264"/>
      <c r="P13" s="20">
        <v>26</v>
      </c>
      <c r="Q13" s="264"/>
      <c r="R13" s="20">
        <f>13+13</f>
        <v>26</v>
      </c>
      <c r="S13" s="264"/>
      <c r="T13" s="20">
        <v>29</v>
      </c>
      <c r="U13" s="266"/>
      <c r="W13" s="16">
        <f t="shared" ref="W13:W26" si="0">AVERAGE(N13,L13,R13,T13,P13)</f>
        <v>29.8</v>
      </c>
      <c r="X13" s="496"/>
    </row>
    <row r="14" spans="1:26" s="23" customFormat="1" ht="15" customHeight="1" thickBot="1" x14ac:dyDescent="0.25">
      <c r="A14" s="27" t="s">
        <v>16</v>
      </c>
      <c r="B14" s="29">
        <v>114</v>
      </c>
      <c r="C14" s="263"/>
      <c r="D14" s="86">
        <v>110</v>
      </c>
      <c r="E14" s="265"/>
      <c r="F14" s="29">
        <v>109</v>
      </c>
      <c r="G14" s="265"/>
      <c r="H14" s="29">
        <v>101</v>
      </c>
      <c r="I14" s="265"/>
      <c r="J14" s="354">
        <v>88</v>
      </c>
      <c r="K14" s="265"/>
      <c r="L14" s="29">
        <v>76</v>
      </c>
      <c r="M14" s="265"/>
      <c r="N14" s="29">
        <v>82</v>
      </c>
      <c r="O14" s="265"/>
      <c r="P14" s="29">
        <v>79</v>
      </c>
      <c r="Q14" s="265"/>
      <c r="R14" s="29">
        <f>28+43</f>
        <v>71</v>
      </c>
      <c r="S14" s="265"/>
      <c r="T14" s="29">
        <v>74</v>
      </c>
      <c r="U14" s="267"/>
      <c r="W14" s="16">
        <f t="shared" si="0"/>
        <v>76.400000000000006</v>
      </c>
      <c r="X14" s="497"/>
    </row>
    <row r="15" spans="1:26" s="73" customFormat="1" ht="15" customHeight="1" thickBot="1" x14ac:dyDescent="0.25">
      <c r="A15" s="98" t="s">
        <v>17</v>
      </c>
      <c r="B15" s="89">
        <f t="shared" ref="B15:R15" si="1">SUM(B13:B14)</f>
        <v>151</v>
      </c>
      <c r="C15" s="100">
        <v>38</v>
      </c>
      <c r="D15" s="89">
        <f t="shared" si="1"/>
        <v>144</v>
      </c>
      <c r="E15" s="100">
        <v>37</v>
      </c>
      <c r="F15" s="89">
        <f t="shared" si="1"/>
        <v>137</v>
      </c>
      <c r="G15" s="100">
        <v>30</v>
      </c>
      <c r="H15" s="89">
        <f t="shared" si="1"/>
        <v>120</v>
      </c>
      <c r="I15" s="100">
        <v>35</v>
      </c>
      <c r="J15" s="89">
        <f t="shared" si="1"/>
        <v>115</v>
      </c>
      <c r="K15" s="100">
        <v>29</v>
      </c>
      <c r="L15" s="89">
        <f t="shared" si="1"/>
        <v>105</v>
      </c>
      <c r="M15" s="100">
        <v>24</v>
      </c>
      <c r="N15" s="640">
        <f t="shared" si="1"/>
        <v>121</v>
      </c>
      <c r="O15" s="100">
        <v>30</v>
      </c>
      <c r="P15" s="89">
        <f t="shared" si="1"/>
        <v>105</v>
      </c>
      <c r="Q15" s="100">
        <v>27</v>
      </c>
      <c r="R15" s="640">
        <f t="shared" si="1"/>
        <v>97</v>
      </c>
      <c r="S15" s="100">
        <v>24</v>
      </c>
      <c r="T15" s="89">
        <v>103</v>
      </c>
      <c r="U15" s="1275">
        <f t="shared" ref="U15" si="2">SUM(U13:U14)</f>
        <v>0</v>
      </c>
      <c r="W15" s="482">
        <f t="shared" si="0"/>
        <v>106.2</v>
      </c>
      <c r="X15" s="483">
        <f>AVERAGE(O15,M15,K15,S15,Q15)</f>
        <v>26.8</v>
      </c>
    </row>
    <row r="16" spans="1:26" s="23" customFormat="1" ht="15" customHeight="1" x14ac:dyDescent="0.2">
      <c r="A16" s="27" t="s">
        <v>112</v>
      </c>
      <c r="B16" s="86">
        <v>2</v>
      </c>
      <c r="C16" s="26">
        <v>3</v>
      </c>
      <c r="D16" s="86">
        <v>7</v>
      </c>
      <c r="E16" s="25">
        <v>7</v>
      </c>
      <c r="F16" s="29">
        <v>7</v>
      </c>
      <c r="G16" s="25">
        <v>4</v>
      </c>
      <c r="H16" s="29">
        <v>24</v>
      </c>
      <c r="I16" s="25">
        <v>6</v>
      </c>
      <c r="J16" s="29">
        <v>25</v>
      </c>
      <c r="K16" s="25">
        <v>2</v>
      </c>
      <c r="L16" s="29">
        <v>19</v>
      </c>
      <c r="M16" s="25">
        <v>6</v>
      </c>
      <c r="N16" s="29">
        <v>14</v>
      </c>
      <c r="O16" s="25">
        <v>4</v>
      </c>
      <c r="P16" s="29">
        <v>14</v>
      </c>
      <c r="Q16" s="25">
        <v>5</v>
      </c>
      <c r="R16" s="29">
        <v>14</v>
      </c>
      <c r="S16" s="25">
        <v>3</v>
      </c>
      <c r="T16" s="29">
        <v>7</v>
      </c>
      <c r="U16" s="152"/>
      <c r="W16" s="16">
        <f t="shared" si="0"/>
        <v>13.6</v>
      </c>
      <c r="X16" s="470">
        <f>AVERAGE(O16,M16,K16,S16,Q16)</f>
        <v>4</v>
      </c>
      <c r="Z16" s="23" t="s">
        <v>19</v>
      </c>
    </row>
    <row r="17" spans="1:26" s="23" customFormat="1" ht="15" customHeight="1" x14ac:dyDescent="0.2">
      <c r="A17" s="27" t="s">
        <v>305</v>
      </c>
      <c r="B17" s="86"/>
      <c r="C17" s="26"/>
      <c r="D17" s="86"/>
      <c r="E17" s="25"/>
      <c r="F17" s="409"/>
      <c r="G17" s="148"/>
      <c r="H17" s="409"/>
      <c r="I17" s="148"/>
      <c r="J17" s="409"/>
      <c r="K17" s="148"/>
      <c r="L17" s="409"/>
      <c r="M17" s="148"/>
      <c r="N17" s="409"/>
      <c r="O17" s="148"/>
      <c r="P17" s="409"/>
      <c r="Q17" s="148"/>
      <c r="R17" s="29">
        <v>0</v>
      </c>
      <c r="S17" s="25">
        <v>1</v>
      </c>
      <c r="T17" s="29">
        <v>6</v>
      </c>
      <c r="U17" s="152"/>
      <c r="W17" s="16">
        <f t="shared" si="0"/>
        <v>3</v>
      </c>
      <c r="X17" s="470">
        <f>AVERAGE(O17,M17,K17,S17,Q17)</f>
        <v>1</v>
      </c>
    </row>
    <row r="18" spans="1:26" s="23" customFormat="1" ht="15" customHeight="1" x14ac:dyDescent="0.2">
      <c r="A18" s="27" t="s">
        <v>113</v>
      </c>
      <c r="B18" s="86">
        <v>46</v>
      </c>
      <c r="C18" s="26">
        <v>7</v>
      </c>
      <c r="D18" s="86">
        <v>28</v>
      </c>
      <c r="E18" s="25">
        <v>3</v>
      </c>
      <c r="F18" s="29">
        <v>30</v>
      </c>
      <c r="G18" s="25">
        <v>12</v>
      </c>
      <c r="H18" s="29">
        <v>24</v>
      </c>
      <c r="I18" s="25">
        <v>6</v>
      </c>
      <c r="J18" s="29">
        <v>38</v>
      </c>
      <c r="K18" s="25">
        <v>16</v>
      </c>
      <c r="L18" s="29">
        <f>1+26</f>
        <v>27</v>
      </c>
      <c r="M18" s="25">
        <v>11</v>
      </c>
      <c r="N18" s="29">
        <v>37</v>
      </c>
      <c r="O18" s="25">
        <v>14</v>
      </c>
      <c r="P18" s="29">
        <v>46</v>
      </c>
      <c r="Q18" s="25">
        <v>6</v>
      </c>
      <c r="R18" s="29">
        <v>52</v>
      </c>
      <c r="S18" s="25">
        <v>10</v>
      </c>
      <c r="T18" s="29">
        <v>63</v>
      </c>
      <c r="U18" s="152"/>
      <c r="W18" s="16">
        <f t="shared" si="0"/>
        <v>45</v>
      </c>
      <c r="X18" s="470">
        <f t="shared" ref="X18:X26" si="3">AVERAGE(O18,M18,K18,S18,Q18)</f>
        <v>11.4</v>
      </c>
    </row>
    <row r="19" spans="1:26" s="23" customFormat="1" ht="15" customHeight="1" x14ac:dyDescent="0.2">
      <c r="A19" s="27" t="s">
        <v>114</v>
      </c>
      <c r="B19" s="86">
        <v>22</v>
      </c>
      <c r="C19" s="26">
        <v>6</v>
      </c>
      <c r="D19" s="86">
        <v>15</v>
      </c>
      <c r="E19" s="25">
        <v>6</v>
      </c>
      <c r="F19" s="29">
        <v>12</v>
      </c>
      <c r="G19" s="25">
        <v>6</v>
      </c>
      <c r="H19" s="29">
        <v>15</v>
      </c>
      <c r="I19" s="25">
        <v>3</v>
      </c>
      <c r="J19" s="29">
        <v>22</v>
      </c>
      <c r="K19" s="25">
        <v>5</v>
      </c>
      <c r="L19" s="29">
        <v>16</v>
      </c>
      <c r="M19" s="25">
        <v>8</v>
      </c>
      <c r="N19" s="29">
        <v>22</v>
      </c>
      <c r="O19" s="25">
        <v>6</v>
      </c>
      <c r="P19" s="29">
        <v>25</v>
      </c>
      <c r="Q19" s="25">
        <v>7</v>
      </c>
      <c r="R19" s="29">
        <v>22</v>
      </c>
      <c r="S19" s="25">
        <v>6</v>
      </c>
      <c r="T19" s="29">
        <v>34</v>
      </c>
      <c r="U19" s="152"/>
      <c r="W19" s="16">
        <f t="shared" si="0"/>
        <v>23.8</v>
      </c>
      <c r="X19" s="470">
        <f t="shared" si="3"/>
        <v>6.4</v>
      </c>
      <c r="Z19" s="1323" t="s">
        <v>19</v>
      </c>
    </row>
    <row r="20" spans="1:26" s="23" customFormat="1" ht="15" customHeight="1" x14ac:dyDescent="0.2">
      <c r="A20" s="27" t="s">
        <v>115</v>
      </c>
      <c r="B20" s="86">
        <v>13</v>
      </c>
      <c r="C20" s="26">
        <v>3</v>
      </c>
      <c r="D20" s="86">
        <v>19</v>
      </c>
      <c r="E20" s="25">
        <v>4</v>
      </c>
      <c r="F20" s="29">
        <v>17</v>
      </c>
      <c r="G20" s="25">
        <v>3</v>
      </c>
      <c r="H20" s="29">
        <v>22</v>
      </c>
      <c r="I20" s="25">
        <v>1</v>
      </c>
      <c r="J20" s="29">
        <v>27</v>
      </c>
      <c r="K20" s="25">
        <v>9</v>
      </c>
      <c r="L20" s="29">
        <v>25</v>
      </c>
      <c r="M20" s="25">
        <v>4</v>
      </c>
      <c r="N20" s="29">
        <v>22</v>
      </c>
      <c r="O20" s="25">
        <v>7</v>
      </c>
      <c r="P20" s="29">
        <v>14</v>
      </c>
      <c r="Q20" s="25">
        <v>3</v>
      </c>
      <c r="R20" s="29">
        <v>18</v>
      </c>
      <c r="S20" s="25">
        <v>1</v>
      </c>
      <c r="T20" s="29">
        <v>19</v>
      </c>
      <c r="U20" s="152"/>
      <c r="W20" s="16">
        <f t="shared" si="0"/>
        <v>19.600000000000001</v>
      </c>
      <c r="X20" s="470">
        <f t="shared" si="3"/>
        <v>4.8</v>
      </c>
    </row>
    <row r="21" spans="1:26" s="23" customFormat="1" ht="15" customHeight="1" x14ac:dyDescent="0.2">
      <c r="A21" s="27" t="s">
        <v>116</v>
      </c>
      <c r="B21" s="22">
        <v>8</v>
      </c>
      <c r="C21" s="21">
        <v>5</v>
      </c>
      <c r="D21" s="22">
        <v>6</v>
      </c>
      <c r="E21" s="19">
        <v>1</v>
      </c>
      <c r="F21" s="20">
        <v>7</v>
      </c>
      <c r="G21" s="19">
        <v>2</v>
      </c>
      <c r="H21" s="20">
        <v>6</v>
      </c>
      <c r="I21" s="19">
        <v>3</v>
      </c>
      <c r="J21" s="20">
        <v>8</v>
      </c>
      <c r="K21" s="19">
        <v>6</v>
      </c>
      <c r="L21" s="20">
        <v>3</v>
      </c>
      <c r="M21" s="19">
        <v>2</v>
      </c>
      <c r="N21" s="20">
        <v>3</v>
      </c>
      <c r="O21" s="19">
        <v>1</v>
      </c>
      <c r="P21" s="20">
        <v>4</v>
      </c>
      <c r="Q21" s="19">
        <v>1</v>
      </c>
      <c r="R21" s="20">
        <v>3</v>
      </c>
      <c r="S21" s="19">
        <v>3</v>
      </c>
      <c r="T21" s="20">
        <v>3</v>
      </c>
      <c r="U21" s="152"/>
      <c r="W21" s="16">
        <f t="shared" si="0"/>
        <v>3.2</v>
      </c>
      <c r="X21" s="470">
        <f t="shared" si="3"/>
        <v>2.6</v>
      </c>
    </row>
    <row r="22" spans="1:26" s="23" customFormat="1" ht="15" customHeight="1" x14ac:dyDescent="0.2">
      <c r="A22" s="27" t="s">
        <v>117</v>
      </c>
      <c r="B22" s="86">
        <v>0</v>
      </c>
      <c r="C22" s="26">
        <v>0</v>
      </c>
      <c r="D22" s="86">
        <v>1</v>
      </c>
      <c r="E22" s="25">
        <v>1</v>
      </c>
      <c r="F22" s="29">
        <v>2</v>
      </c>
      <c r="G22" s="25">
        <v>0</v>
      </c>
      <c r="H22" s="29">
        <v>5</v>
      </c>
      <c r="I22" s="25">
        <v>0</v>
      </c>
      <c r="J22" s="29">
        <v>3</v>
      </c>
      <c r="K22" s="25">
        <v>1</v>
      </c>
      <c r="L22" s="29">
        <v>3</v>
      </c>
      <c r="M22" s="25">
        <v>1</v>
      </c>
      <c r="N22" s="29">
        <v>3</v>
      </c>
      <c r="O22" s="25">
        <v>1</v>
      </c>
      <c r="P22" s="29">
        <v>7</v>
      </c>
      <c r="Q22" s="25">
        <v>1</v>
      </c>
      <c r="R22" s="29">
        <v>7</v>
      </c>
      <c r="S22" s="25">
        <v>5</v>
      </c>
      <c r="T22" s="29">
        <v>7</v>
      </c>
      <c r="U22" s="152"/>
      <c r="W22" s="16">
        <f t="shared" si="0"/>
        <v>5.4</v>
      </c>
      <c r="X22" s="470">
        <f t="shared" si="3"/>
        <v>1.8</v>
      </c>
    </row>
    <row r="23" spans="1:26" s="23" customFormat="1" ht="15" customHeight="1" x14ac:dyDescent="0.2">
      <c r="A23" s="27" t="s">
        <v>118</v>
      </c>
      <c r="B23" s="410"/>
      <c r="C23" s="263"/>
      <c r="D23" s="408"/>
      <c r="E23" s="148"/>
      <c r="F23" s="409"/>
      <c r="G23" s="148"/>
      <c r="H23" s="409"/>
      <c r="I23" s="148"/>
      <c r="J23" s="409"/>
      <c r="K23" s="148"/>
      <c r="L23" s="409"/>
      <c r="M23" s="148"/>
      <c r="N23" s="29">
        <v>1</v>
      </c>
      <c r="O23" s="25">
        <v>0</v>
      </c>
      <c r="P23" s="29">
        <v>3</v>
      </c>
      <c r="Q23" s="25">
        <v>0</v>
      </c>
      <c r="R23" s="29">
        <v>2</v>
      </c>
      <c r="S23" s="25">
        <v>2</v>
      </c>
      <c r="T23" s="29">
        <v>4</v>
      </c>
      <c r="U23" s="152"/>
      <c r="W23" s="16">
        <f t="shared" si="0"/>
        <v>2.5</v>
      </c>
      <c r="X23" s="470">
        <f t="shared" si="3"/>
        <v>0.66666666666666663</v>
      </c>
    </row>
    <row r="24" spans="1:26" s="23" customFormat="1" ht="15" customHeight="1" x14ac:dyDescent="0.2">
      <c r="A24" s="27" t="s">
        <v>119</v>
      </c>
      <c r="B24" s="86">
        <v>237</v>
      </c>
      <c r="C24" s="26">
        <v>58</v>
      </c>
      <c r="D24" s="86">
        <v>167</v>
      </c>
      <c r="E24" s="25">
        <v>49</v>
      </c>
      <c r="F24" s="29">
        <v>140</v>
      </c>
      <c r="G24" s="25">
        <v>47</v>
      </c>
      <c r="H24" s="29">
        <f>155+1</f>
        <v>156</v>
      </c>
      <c r="I24" s="25">
        <v>23</v>
      </c>
      <c r="J24" s="29">
        <v>166</v>
      </c>
      <c r="K24" s="25">
        <v>45</v>
      </c>
      <c r="L24" s="29">
        <v>155</v>
      </c>
      <c r="M24" s="25">
        <v>45</v>
      </c>
      <c r="N24" s="29">
        <v>218</v>
      </c>
      <c r="O24" s="25">
        <v>57</v>
      </c>
      <c r="P24" s="29">
        <v>186</v>
      </c>
      <c r="Q24" s="25">
        <v>41</v>
      </c>
      <c r="R24" s="29">
        <v>185</v>
      </c>
      <c r="S24" s="25">
        <v>59</v>
      </c>
      <c r="T24" s="29">
        <v>219</v>
      </c>
      <c r="U24" s="152"/>
      <c r="W24" s="16">
        <f t="shared" si="0"/>
        <v>192.6</v>
      </c>
      <c r="X24" s="470">
        <f t="shared" si="3"/>
        <v>49.4</v>
      </c>
    </row>
    <row r="25" spans="1:26" s="23" customFormat="1" ht="15" customHeight="1" x14ac:dyDescent="0.2">
      <c r="A25" s="27" t="s">
        <v>310</v>
      </c>
      <c r="B25" s="86"/>
      <c r="C25" s="26"/>
      <c r="D25" s="86"/>
      <c r="E25" s="25"/>
      <c r="F25" s="409"/>
      <c r="G25" s="148"/>
      <c r="H25" s="409"/>
      <c r="I25" s="148"/>
      <c r="J25" s="409"/>
      <c r="K25" s="148"/>
      <c r="L25" s="409"/>
      <c r="M25" s="148"/>
      <c r="N25" s="409"/>
      <c r="O25" s="148"/>
      <c r="P25" s="409"/>
      <c r="Q25" s="148"/>
      <c r="R25" s="409"/>
      <c r="S25" s="148"/>
      <c r="T25" s="29">
        <v>1</v>
      </c>
      <c r="U25" s="152"/>
      <c r="W25" s="16"/>
      <c r="X25" s="470"/>
    </row>
    <row r="26" spans="1:26" s="23" customFormat="1" ht="15" customHeight="1" thickBot="1" x14ac:dyDescent="0.25">
      <c r="A26" s="30" t="s">
        <v>20</v>
      </c>
      <c r="B26" s="31">
        <v>14</v>
      </c>
      <c r="C26" s="34">
        <v>4</v>
      </c>
      <c r="D26" s="31">
        <v>28</v>
      </c>
      <c r="E26" s="32">
        <v>6</v>
      </c>
      <c r="F26" s="33">
        <v>37</v>
      </c>
      <c r="G26" s="32">
        <v>13</v>
      </c>
      <c r="H26" s="33">
        <v>39</v>
      </c>
      <c r="I26" s="32">
        <v>14</v>
      </c>
      <c r="J26" s="33">
        <v>35</v>
      </c>
      <c r="K26" s="32">
        <v>13</v>
      </c>
      <c r="L26" s="33">
        <v>31</v>
      </c>
      <c r="M26" s="32">
        <v>13</v>
      </c>
      <c r="N26" s="33">
        <v>30</v>
      </c>
      <c r="O26" s="32">
        <v>12</v>
      </c>
      <c r="P26" s="33">
        <v>29</v>
      </c>
      <c r="Q26" s="32">
        <v>15</v>
      </c>
      <c r="R26" s="33">
        <v>23</v>
      </c>
      <c r="S26" s="32">
        <v>12</v>
      </c>
      <c r="T26" s="33">
        <v>14</v>
      </c>
      <c r="U26" s="1282"/>
      <c r="W26" s="16">
        <f t="shared" si="0"/>
        <v>25.4</v>
      </c>
      <c r="X26" s="470">
        <f t="shared" si="3"/>
        <v>13</v>
      </c>
    </row>
    <row r="27" spans="1:26" ht="18" customHeight="1" thickTop="1" thickBot="1" x14ac:dyDescent="0.25">
      <c r="A27" s="298" t="s">
        <v>71</v>
      </c>
      <c r="B27" s="1380"/>
      <c r="C27" s="1381"/>
      <c r="D27" s="1380"/>
      <c r="E27" s="1381"/>
      <c r="F27" s="1380"/>
      <c r="G27" s="1381"/>
      <c r="H27" s="1380"/>
      <c r="I27" s="1381"/>
      <c r="J27" s="1380"/>
      <c r="K27" s="1381"/>
      <c r="L27" s="1380"/>
      <c r="M27" s="1381"/>
      <c r="N27" s="1380"/>
      <c r="O27" s="1381"/>
      <c r="P27" s="1380"/>
      <c r="Q27" s="1381"/>
      <c r="R27" s="1380"/>
      <c r="S27" s="1381"/>
      <c r="T27" s="1380"/>
      <c r="U27" s="1383"/>
      <c r="V27" s="226"/>
      <c r="W27" s="1382"/>
      <c r="X27" s="1383"/>
    </row>
    <row r="28" spans="1:26" ht="15" customHeight="1" x14ac:dyDescent="0.2">
      <c r="A28" s="1226" t="s">
        <v>79</v>
      </c>
      <c r="B28" s="300"/>
      <c r="C28" s="385"/>
      <c r="D28" s="384"/>
      <c r="E28" s="385"/>
      <c r="F28" s="384"/>
      <c r="G28" s="385"/>
      <c r="H28" s="384"/>
      <c r="I28" s="385"/>
      <c r="J28" s="384"/>
      <c r="K28" s="385"/>
      <c r="L28" s="384"/>
      <c r="M28" s="385"/>
      <c r="N28" s="384"/>
      <c r="O28" s="385"/>
      <c r="P28" s="384"/>
      <c r="Q28" s="385"/>
      <c r="R28" s="384"/>
      <c r="S28" s="385"/>
      <c r="T28" s="384"/>
      <c r="U28" s="386"/>
      <c r="V28" s="226"/>
      <c r="W28" s="237"/>
      <c r="X28" s="852" t="e">
        <f>AVERAGE(O28,M28,I28,K28,Q28)</f>
        <v>#DIV/0!</v>
      </c>
    </row>
    <row r="29" spans="1:26" ht="15" customHeight="1" x14ac:dyDescent="0.2">
      <c r="A29" s="303" t="s">
        <v>72</v>
      </c>
      <c r="B29" s="304"/>
      <c r="C29" s="388">
        <v>0.54</v>
      </c>
      <c r="D29" s="387"/>
      <c r="E29" s="388">
        <v>0.56000000000000005</v>
      </c>
      <c r="F29" s="387"/>
      <c r="G29" s="388">
        <v>0.33</v>
      </c>
      <c r="H29" s="387"/>
      <c r="I29" s="388">
        <v>0.52</v>
      </c>
      <c r="J29" s="387"/>
      <c r="K29" s="388">
        <v>0.54</v>
      </c>
      <c r="L29" s="387"/>
      <c r="M29" s="388">
        <v>0.42</v>
      </c>
      <c r="N29" s="387"/>
      <c r="O29" s="388">
        <v>0.6</v>
      </c>
      <c r="P29" s="387"/>
      <c r="Q29" s="388">
        <v>0.71</v>
      </c>
      <c r="R29" s="387"/>
      <c r="S29" s="388"/>
      <c r="T29" s="387"/>
      <c r="U29" s="1271"/>
      <c r="V29" s="226"/>
      <c r="W29" s="237"/>
      <c r="X29" s="1255">
        <f t="shared" ref="X29:X30" si="4">AVERAGE(O29,M29,K29,S29,Q29)</f>
        <v>0.5675</v>
      </c>
    </row>
    <row r="30" spans="1:26" ht="15" customHeight="1" thickBot="1" x14ac:dyDescent="0.25">
      <c r="A30" s="539" t="s">
        <v>73</v>
      </c>
      <c r="B30" s="546"/>
      <c r="C30" s="541">
        <v>0.42</v>
      </c>
      <c r="D30" s="540"/>
      <c r="E30" s="541">
        <v>0.37</v>
      </c>
      <c r="F30" s="540"/>
      <c r="G30" s="541">
        <v>0.42</v>
      </c>
      <c r="H30" s="540"/>
      <c r="I30" s="541">
        <v>0.38</v>
      </c>
      <c r="J30" s="540"/>
      <c r="K30" s="541">
        <v>0.38</v>
      </c>
      <c r="L30" s="540"/>
      <c r="M30" s="541">
        <v>0.47</v>
      </c>
      <c r="N30" s="540"/>
      <c r="O30" s="541">
        <v>0.32</v>
      </c>
      <c r="P30" s="540"/>
      <c r="Q30" s="541">
        <v>0.19</v>
      </c>
      <c r="R30" s="540"/>
      <c r="S30" s="541"/>
      <c r="T30" s="540"/>
      <c r="U30" s="1272"/>
      <c r="V30" s="226"/>
      <c r="W30" s="242"/>
      <c r="X30" s="1255">
        <f t="shared" si="4"/>
        <v>0.33999999999999997</v>
      </c>
    </row>
    <row r="31" spans="1:26" ht="18" customHeight="1" thickTop="1" thickBot="1" x14ac:dyDescent="0.25">
      <c r="A31" s="221" t="s">
        <v>78</v>
      </c>
      <c r="B31" s="1380"/>
      <c r="C31" s="1381"/>
      <c r="D31" s="1380"/>
      <c r="E31" s="1381"/>
      <c r="F31" s="1380"/>
      <c r="G31" s="1381"/>
      <c r="H31" s="1380"/>
      <c r="I31" s="1381"/>
      <c r="J31" s="1380"/>
      <c r="K31" s="1381"/>
      <c r="L31" s="1380"/>
      <c r="M31" s="1381"/>
      <c r="N31" s="1380"/>
      <c r="O31" s="1381"/>
      <c r="P31" s="1380"/>
      <c r="Q31" s="1381"/>
      <c r="R31" s="1380"/>
      <c r="S31" s="1381"/>
      <c r="T31" s="1380"/>
      <c r="U31" s="1383"/>
      <c r="V31" s="226"/>
      <c r="W31" s="1382"/>
      <c r="X31" s="1383"/>
    </row>
    <row r="32" spans="1:26" ht="15" customHeight="1" thickBot="1" x14ac:dyDescent="0.25">
      <c r="A32" s="222" t="s">
        <v>145</v>
      </c>
      <c r="B32" s="223"/>
      <c r="C32" s="224">
        <v>25.9</v>
      </c>
      <c r="D32" s="223"/>
      <c r="E32" s="224">
        <v>25.9</v>
      </c>
      <c r="F32" s="223"/>
      <c r="G32" s="224">
        <v>26.1</v>
      </c>
      <c r="H32" s="223"/>
      <c r="I32" s="224">
        <v>26.1</v>
      </c>
      <c r="J32" s="223"/>
      <c r="K32" s="224">
        <v>26.8</v>
      </c>
      <c r="L32" s="223"/>
      <c r="M32" s="224">
        <v>26.4</v>
      </c>
      <c r="N32" s="223"/>
      <c r="O32" s="224">
        <v>26.9</v>
      </c>
      <c r="P32" s="223"/>
      <c r="Q32" s="224">
        <v>26.8</v>
      </c>
      <c r="R32" s="223"/>
      <c r="S32" s="224">
        <v>26.8</v>
      </c>
      <c r="T32" s="223"/>
      <c r="U32" s="225"/>
      <c r="V32" s="226"/>
      <c r="W32" s="247"/>
      <c r="X32" s="757">
        <f>AVERAGE(O32,M32,U32,S32,Q32)</f>
        <v>26.724999999999998</v>
      </c>
    </row>
    <row r="33" spans="1:27" ht="18" customHeight="1" thickTop="1" thickBot="1" x14ac:dyDescent="0.25">
      <c r="A33" s="314" t="s">
        <v>22</v>
      </c>
      <c r="B33" s="1380"/>
      <c r="C33" s="1381"/>
      <c r="D33" s="1380"/>
      <c r="E33" s="1381"/>
      <c r="F33" s="1380"/>
      <c r="G33" s="1381"/>
      <c r="H33" s="1380"/>
      <c r="I33" s="1381"/>
      <c r="J33" s="1380"/>
      <c r="K33" s="1381"/>
      <c r="L33" s="1380"/>
      <c r="M33" s="1381"/>
      <c r="N33" s="1380"/>
      <c r="O33" s="1381"/>
      <c r="P33" s="1380"/>
      <c r="Q33" s="1381"/>
      <c r="R33" s="1380"/>
      <c r="S33" s="1381"/>
      <c r="T33" s="1380"/>
      <c r="U33" s="1383"/>
      <c r="V33" s="226"/>
      <c r="W33" s="1382"/>
      <c r="X33" s="1383"/>
    </row>
    <row r="34" spans="1:27" ht="15" customHeight="1" x14ac:dyDescent="0.2">
      <c r="A34" s="305" t="s">
        <v>23</v>
      </c>
      <c r="B34" s="315"/>
      <c r="C34" s="315"/>
      <c r="D34" s="316"/>
      <c r="E34" s="317"/>
      <c r="F34" s="315"/>
      <c r="G34" s="317"/>
      <c r="H34" s="315"/>
      <c r="I34" s="317"/>
      <c r="J34" s="315"/>
      <c r="K34" s="317"/>
      <c r="L34" s="315"/>
      <c r="M34" s="317"/>
      <c r="N34" s="315"/>
      <c r="O34" s="317"/>
      <c r="P34" s="315"/>
      <c r="Q34" s="317"/>
      <c r="R34" s="315"/>
      <c r="S34" s="317"/>
      <c r="T34" s="315"/>
      <c r="U34" s="318"/>
      <c r="V34" s="226"/>
      <c r="W34" s="319"/>
      <c r="X34" s="320"/>
    </row>
    <row r="35" spans="1:27" ht="15" customHeight="1" x14ac:dyDescent="0.2">
      <c r="A35" s="305" t="s">
        <v>24</v>
      </c>
      <c r="B35" s="315"/>
      <c r="C35" s="48">
        <v>12545</v>
      </c>
      <c r="D35" s="45"/>
      <c r="E35" s="47">
        <v>11819</v>
      </c>
      <c r="F35" s="46"/>
      <c r="G35" s="47">
        <v>11385</v>
      </c>
      <c r="H35" s="46"/>
      <c r="I35" s="47">
        <v>10912</v>
      </c>
      <c r="J35" s="46"/>
      <c r="K35" s="47">
        <v>10820</v>
      </c>
      <c r="L35" s="46"/>
      <c r="M35" s="47">
        <v>10826</v>
      </c>
      <c r="N35" s="46"/>
      <c r="O35" s="47">
        <v>10359</v>
      </c>
      <c r="P35" s="46"/>
      <c r="Q35" s="47">
        <v>10178</v>
      </c>
      <c r="R35" s="46"/>
      <c r="S35" s="47">
        <v>10085</v>
      </c>
      <c r="T35" s="315"/>
      <c r="U35" s="1273"/>
      <c r="V35" s="226"/>
      <c r="W35" s="50"/>
      <c r="X35" s="51">
        <f>AVERAGE(O35,M35,S35,K35,Q35)</f>
        <v>10453.6</v>
      </c>
    </row>
    <row r="36" spans="1:27" ht="15" customHeight="1" x14ac:dyDescent="0.2">
      <c r="A36" s="305" t="s">
        <v>25</v>
      </c>
      <c r="B36" s="315"/>
      <c r="C36" s="48">
        <v>3646</v>
      </c>
      <c r="D36" s="45"/>
      <c r="E36" s="47">
        <v>3595</v>
      </c>
      <c r="F36" s="46"/>
      <c r="G36" s="47">
        <v>3480</v>
      </c>
      <c r="H36" s="46"/>
      <c r="I36" s="47">
        <v>3282</v>
      </c>
      <c r="J36" s="46"/>
      <c r="K36" s="47">
        <v>3277</v>
      </c>
      <c r="L36" s="46"/>
      <c r="M36" s="47">
        <v>3118</v>
      </c>
      <c r="N36" s="46"/>
      <c r="O36" s="47">
        <v>3425</v>
      </c>
      <c r="P36" s="46"/>
      <c r="Q36" s="47">
        <v>3277</v>
      </c>
      <c r="R36" s="46"/>
      <c r="S36" s="47">
        <v>3587</v>
      </c>
      <c r="T36" s="315"/>
      <c r="U36" s="1273"/>
      <c r="V36" s="226"/>
      <c r="W36" s="52"/>
      <c r="X36" s="51">
        <f t="shared" ref="X36:X39" si="5">AVERAGE(O36,M36,S36,K36,Q36)</f>
        <v>3336.8</v>
      </c>
    </row>
    <row r="37" spans="1:27" ht="15" customHeight="1" x14ac:dyDescent="0.2">
      <c r="A37" s="305" t="s">
        <v>26</v>
      </c>
      <c r="B37" s="315"/>
      <c r="C37" s="48">
        <v>702</v>
      </c>
      <c r="D37" s="45"/>
      <c r="E37" s="47">
        <v>618</v>
      </c>
      <c r="F37" s="46"/>
      <c r="G37" s="47">
        <v>560</v>
      </c>
      <c r="H37" s="46"/>
      <c r="I37" s="47">
        <v>707</v>
      </c>
      <c r="J37" s="46"/>
      <c r="K37" s="47">
        <v>643</v>
      </c>
      <c r="L37" s="46"/>
      <c r="M37" s="47">
        <v>573</v>
      </c>
      <c r="N37" s="46"/>
      <c r="O37" s="47">
        <v>569</v>
      </c>
      <c r="P37" s="46"/>
      <c r="Q37" s="47">
        <v>504</v>
      </c>
      <c r="R37" s="46"/>
      <c r="S37" s="47">
        <v>531</v>
      </c>
      <c r="T37" s="315"/>
      <c r="U37" s="1273"/>
      <c r="V37" s="226"/>
      <c r="W37" s="52"/>
      <c r="X37" s="51">
        <f t="shared" si="5"/>
        <v>564</v>
      </c>
    </row>
    <row r="38" spans="1:27" ht="15" customHeight="1" thickBot="1" x14ac:dyDescent="0.25">
      <c r="A38" s="1238" t="s">
        <v>27</v>
      </c>
      <c r="B38" s="83"/>
      <c r="C38" s="54">
        <v>0</v>
      </c>
      <c r="D38" s="45"/>
      <c r="E38" s="53">
        <v>0</v>
      </c>
      <c r="F38" s="46"/>
      <c r="G38" s="53">
        <v>0</v>
      </c>
      <c r="H38" s="46"/>
      <c r="I38" s="53">
        <v>0</v>
      </c>
      <c r="J38" s="46"/>
      <c r="K38" s="53">
        <v>0</v>
      </c>
      <c r="L38" s="46"/>
      <c r="M38" s="53">
        <v>0</v>
      </c>
      <c r="N38" s="46"/>
      <c r="O38" s="53">
        <v>0</v>
      </c>
      <c r="P38" s="46"/>
      <c r="Q38" s="53">
        <v>0</v>
      </c>
      <c r="R38" s="46"/>
      <c r="S38" s="53"/>
      <c r="T38" s="83"/>
      <c r="U38" s="1274"/>
      <c r="V38" s="226"/>
      <c r="W38" s="63"/>
      <c r="X38" s="484">
        <f t="shared" si="5"/>
        <v>0</v>
      </c>
    </row>
    <row r="39" spans="1:27" ht="15" customHeight="1" thickBot="1" x14ac:dyDescent="0.25">
      <c r="A39" s="850" t="s">
        <v>28</v>
      </c>
      <c r="B39" s="328"/>
      <c r="C39" s="329">
        <f>SUM(C35:C38)</f>
        <v>16893</v>
      </c>
      <c r="D39" s="330"/>
      <c r="E39" s="331">
        <f>SUM(E35:E38)</f>
        <v>16032</v>
      </c>
      <c r="F39" s="328"/>
      <c r="G39" s="331">
        <f>SUM(G35:G38)</f>
        <v>15425</v>
      </c>
      <c r="H39" s="328"/>
      <c r="I39" s="331">
        <f>SUM(I35:I38)</f>
        <v>14901</v>
      </c>
      <c r="J39" s="328"/>
      <c r="K39" s="331">
        <f>SUM(K35:K38)</f>
        <v>14740</v>
      </c>
      <c r="L39" s="328"/>
      <c r="M39" s="331">
        <f>SUM(M35:M38)</f>
        <v>14517</v>
      </c>
      <c r="N39" s="328"/>
      <c r="O39" s="331">
        <f>SUM(O35:O38)</f>
        <v>14353</v>
      </c>
      <c r="P39" s="328"/>
      <c r="Q39" s="331">
        <f>SUM(Q35:Q38)</f>
        <v>13959</v>
      </c>
      <c r="R39" s="328"/>
      <c r="S39" s="331">
        <f>SUM(S35:S38)</f>
        <v>14203</v>
      </c>
      <c r="T39" s="328"/>
      <c r="U39" s="1277">
        <f>SUM(U35:U38)</f>
        <v>0</v>
      </c>
      <c r="V39" s="226"/>
      <c r="W39" s="485"/>
      <c r="X39" s="486">
        <f t="shared" si="5"/>
        <v>14354.4</v>
      </c>
    </row>
    <row r="40" spans="1:27" ht="15" customHeight="1" thickTop="1" thickBot="1" x14ac:dyDescent="0.25">
      <c r="A40" s="280"/>
      <c r="B40" s="332"/>
      <c r="C40" s="333"/>
      <c r="D40" s="332"/>
      <c r="E40" s="333"/>
      <c r="F40" s="332"/>
      <c r="G40" s="333"/>
      <c r="H40" s="332"/>
      <c r="I40" s="333"/>
      <c r="J40" s="332"/>
      <c r="K40" s="333"/>
      <c r="L40" s="332"/>
      <c r="M40" s="333"/>
      <c r="N40" s="332"/>
      <c r="O40" s="333"/>
      <c r="P40" s="332"/>
      <c r="Q40" s="333"/>
      <c r="R40" s="332"/>
      <c r="S40" s="333"/>
      <c r="T40" s="332"/>
      <c r="U40" s="333"/>
      <c r="V40" s="334"/>
      <c r="W40" s="335"/>
      <c r="X40" s="333"/>
    </row>
    <row r="41" spans="1:27" ht="18" customHeight="1" thickTop="1" thickBot="1" x14ac:dyDescent="0.25">
      <c r="A41" s="175" t="s">
        <v>29</v>
      </c>
      <c r="B41" s="1385" t="s">
        <v>30</v>
      </c>
      <c r="C41" s="1395"/>
      <c r="D41" s="1385" t="s">
        <v>31</v>
      </c>
      <c r="E41" s="1396"/>
      <c r="F41" s="1385" t="s">
        <v>32</v>
      </c>
      <c r="G41" s="1396"/>
      <c r="H41" s="1385" t="s">
        <v>33</v>
      </c>
      <c r="I41" s="1396"/>
      <c r="J41" s="1385" t="s">
        <v>34</v>
      </c>
      <c r="K41" s="1396"/>
      <c r="L41" s="1385" t="s">
        <v>35</v>
      </c>
      <c r="M41" s="1396"/>
      <c r="N41" s="1385" t="s">
        <v>36</v>
      </c>
      <c r="O41" s="1396"/>
      <c r="P41" s="1385" t="s">
        <v>37</v>
      </c>
      <c r="Q41" s="1396"/>
      <c r="R41" s="1385" t="s">
        <v>38</v>
      </c>
      <c r="S41" s="1396"/>
      <c r="T41" s="1385" t="s">
        <v>302</v>
      </c>
      <c r="U41" s="1386"/>
      <c r="V41" s="176"/>
      <c r="W41" s="1382" t="s">
        <v>9</v>
      </c>
      <c r="X41" s="1383"/>
      <c r="Y41" s="56"/>
      <c r="Z41" s="56"/>
      <c r="AA41" s="57"/>
    </row>
    <row r="42" spans="1:27" ht="15" customHeight="1" x14ac:dyDescent="0.2">
      <c r="A42" s="1070" t="s">
        <v>244</v>
      </c>
      <c r="B42" s="177"/>
      <c r="C42" s="154">
        <v>3.5999999999999997E-2</v>
      </c>
      <c r="D42" s="281"/>
      <c r="E42" s="129">
        <v>4.1000000000000002E-2</v>
      </c>
      <c r="F42" s="282"/>
      <c r="G42" s="129">
        <v>4.5999999999999999E-2</v>
      </c>
      <c r="H42" s="128"/>
      <c r="I42" s="129">
        <v>4.3999999999999997E-2</v>
      </c>
      <c r="J42" s="128"/>
      <c r="K42" s="129">
        <v>3.3000000000000002E-2</v>
      </c>
      <c r="L42" s="128"/>
      <c r="M42" s="129">
        <v>3.5999999999999997E-2</v>
      </c>
      <c r="N42" s="128"/>
      <c r="O42" s="129">
        <v>0.04</v>
      </c>
      <c r="P42" s="128"/>
      <c r="Q42" s="129">
        <v>3.3000000000000002E-2</v>
      </c>
      <c r="R42" s="128"/>
      <c r="S42" s="129">
        <v>3.1E-2</v>
      </c>
      <c r="T42" s="181"/>
      <c r="U42" s="182">
        <v>3.5000000000000003E-2</v>
      </c>
      <c r="V42" s="183"/>
      <c r="W42" s="469"/>
      <c r="X42" s="594">
        <f>AVERAGE(Q42,O42,M42,U42,S42)</f>
        <v>3.5000000000000003E-2</v>
      </c>
      <c r="Y42" s="56"/>
      <c r="Z42" s="56"/>
      <c r="AA42" s="57"/>
    </row>
    <row r="43" spans="1:27" ht="15" customHeight="1" x14ac:dyDescent="0.2">
      <c r="A43" s="1069" t="s">
        <v>245</v>
      </c>
      <c r="B43" s="184"/>
      <c r="C43" s="155">
        <v>8.0000000000000002E-3</v>
      </c>
      <c r="D43" s="283"/>
      <c r="E43" s="131">
        <v>0.01</v>
      </c>
      <c r="F43" s="284"/>
      <c r="G43" s="131">
        <v>2.1000000000000001E-2</v>
      </c>
      <c r="H43" s="130"/>
      <c r="I43" s="131">
        <v>2.5000000000000001E-2</v>
      </c>
      <c r="J43" s="130"/>
      <c r="K43" s="131">
        <v>2.5999999999999999E-2</v>
      </c>
      <c r="L43" s="130"/>
      <c r="M43" s="131">
        <v>2.1000000000000001E-2</v>
      </c>
      <c r="N43" s="130"/>
      <c r="O43" s="131">
        <v>0.02</v>
      </c>
      <c r="P43" s="130"/>
      <c r="Q43" s="131">
        <v>0.02</v>
      </c>
      <c r="R43" s="130"/>
      <c r="S43" s="131">
        <v>2.1999999999999999E-2</v>
      </c>
      <c r="T43" s="186"/>
      <c r="U43" s="187">
        <v>0.01</v>
      </c>
      <c r="V43" s="183"/>
      <c r="W43" s="469"/>
      <c r="X43" s="594">
        <f>AVERAGE(Q43,O43,M43,U43,S43)</f>
        <v>1.8599999999999998E-2</v>
      </c>
      <c r="Y43" s="56"/>
      <c r="Z43" s="56"/>
      <c r="AA43" s="57"/>
    </row>
    <row r="44" spans="1:27" ht="15" customHeight="1" thickBot="1" x14ac:dyDescent="0.25">
      <c r="A44" s="189" t="s">
        <v>243</v>
      </c>
      <c r="B44" s="1403">
        <f>1-C42-C43</f>
        <v>0.95599999999999996</v>
      </c>
      <c r="C44" s="1404"/>
      <c r="D44" s="1403">
        <f>1-E42-E43</f>
        <v>0.94899999999999995</v>
      </c>
      <c r="E44" s="1404"/>
      <c r="F44" s="1403">
        <f>1-G42-G43</f>
        <v>0.93299999999999994</v>
      </c>
      <c r="G44" s="1404"/>
      <c r="H44" s="1403">
        <f>1-I42-I43</f>
        <v>0.93099999999999994</v>
      </c>
      <c r="I44" s="1404"/>
      <c r="J44" s="1403">
        <f>1-K42-K43</f>
        <v>0.94099999999999995</v>
      </c>
      <c r="K44" s="1404"/>
      <c r="L44" s="1403">
        <f>1-M42-M43</f>
        <v>0.94299999999999995</v>
      </c>
      <c r="M44" s="1404"/>
      <c r="N44" s="1403">
        <f>1-O42-O43</f>
        <v>0.94</v>
      </c>
      <c r="O44" s="1404"/>
      <c r="P44" s="1403">
        <f>1-Q42-Q43</f>
        <v>0.94699999999999995</v>
      </c>
      <c r="Q44" s="1404"/>
      <c r="R44" s="1403">
        <f>1-S42-S43</f>
        <v>0.94699999999999995</v>
      </c>
      <c r="S44" s="1404"/>
      <c r="T44" s="1403">
        <f>1-U42-U43</f>
        <v>0.95499999999999996</v>
      </c>
      <c r="U44" s="1406"/>
      <c r="V44" s="183"/>
      <c r="W44" s="1390">
        <f>1-X42-X43</f>
        <v>0.94640000000000002</v>
      </c>
      <c r="X44" s="1391"/>
      <c r="Y44" s="58"/>
      <c r="Z44" s="56"/>
      <c r="AA44" s="57"/>
    </row>
    <row r="45" spans="1:27" s="3" customFormat="1" ht="18" customHeight="1" thickTop="1" thickBot="1" x14ac:dyDescent="0.25">
      <c r="A45" s="194" t="s">
        <v>67</v>
      </c>
      <c r="B45" s="227" t="s">
        <v>39</v>
      </c>
      <c r="C45" s="228" t="s">
        <v>74</v>
      </c>
      <c r="D45" s="227" t="s">
        <v>39</v>
      </c>
      <c r="E45" s="228" t="s">
        <v>74</v>
      </c>
      <c r="F45" s="227" t="s">
        <v>39</v>
      </c>
      <c r="G45" s="228" t="s">
        <v>74</v>
      </c>
      <c r="H45" s="227" t="s">
        <v>39</v>
      </c>
      <c r="I45" s="228" t="s">
        <v>74</v>
      </c>
      <c r="J45" s="227" t="s">
        <v>39</v>
      </c>
      <c r="K45" s="228" t="s">
        <v>74</v>
      </c>
      <c r="L45" s="227" t="s">
        <v>39</v>
      </c>
      <c r="M45" s="228" t="s">
        <v>74</v>
      </c>
      <c r="N45" s="227" t="s">
        <v>39</v>
      </c>
      <c r="O45" s="228" t="s">
        <v>74</v>
      </c>
      <c r="P45" s="227" t="s">
        <v>39</v>
      </c>
      <c r="Q45" s="228" t="s">
        <v>74</v>
      </c>
      <c r="R45" s="227" t="s">
        <v>39</v>
      </c>
      <c r="S45" s="228" t="s">
        <v>74</v>
      </c>
      <c r="T45" s="227" t="s">
        <v>39</v>
      </c>
      <c r="U45" s="229" t="s">
        <v>74</v>
      </c>
      <c r="V45" s="230"/>
      <c r="W45" s="1071" t="s">
        <v>39</v>
      </c>
      <c r="X45" s="229" t="s">
        <v>74</v>
      </c>
    </row>
    <row r="46" spans="1:27" ht="15" customHeight="1" thickBot="1" x14ac:dyDescent="0.25">
      <c r="A46" s="535" t="s">
        <v>68</v>
      </c>
      <c r="B46" s="536"/>
      <c r="C46" s="537">
        <f>B46/B26</f>
        <v>0</v>
      </c>
      <c r="D46" s="536"/>
      <c r="E46" s="537">
        <f>D46/D26</f>
        <v>0</v>
      </c>
      <c r="F46" s="536"/>
      <c r="G46" s="537">
        <f>F46/F26</f>
        <v>0</v>
      </c>
      <c r="H46" s="536">
        <v>20</v>
      </c>
      <c r="I46" s="537">
        <f>H46/H26</f>
        <v>0.51282051282051277</v>
      </c>
      <c r="J46" s="536">
        <v>18</v>
      </c>
      <c r="K46" s="537">
        <f>J46/J26</f>
        <v>0.51428571428571423</v>
      </c>
      <c r="L46" s="536">
        <v>23</v>
      </c>
      <c r="M46" s="537">
        <f>L46/L26</f>
        <v>0.74193548387096775</v>
      </c>
      <c r="N46" s="536">
        <v>18</v>
      </c>
      <c r="O46" s="537">
        <f>N46/N26</f>
        <v>0.6</v>
      </c>
      <c r="P46" s="536">
        <v>17</v>
      </c>
      <c r="Q46" s="537">
        <f>P46/P26</f>
        <v>0.58620689655172409</v>
      </c>
      <c r="R46" s="536">
        <v>17</v>
      </c>
      <c r="S46" s="537">
        <f>R46/R26</f>
        <v>0.73913043478260865</v>
      </c>
      <c r="T46" s="536"/>
      <c r="U46" s="538">
        <f>T46/T26</f>
        <v>0</v>
      </c>
      <c r="V46" s="226"/>
      <c r="W46" s="242">
        <f>AVERAGE(N46,L46,R46,T46,P46)</f>
        <v>18.75</v>
      </c>
      <c r="X46" s="241">
        <f>W46/W26</f>
        <v>0.73818897637795278</v>
      </c>
    </row>
    <row r="47" spans="1:27" s="85" customFormat="1" ht="15" customHeight="1" thickTop="1" x14ac:dyDescent="0.2">
      <c r="A47" s="37" t="s">
        <v>288</v>
      </c>
      <c r="B47" s="650"/>
      <c r="C47" s="650"/>
      <c r="D47" s="650"/>
      <c r="E47" s="650"/>
      <c r="F47" s="650"/>
      <c r="G47" s="650"/>
      <c r="H47" s="650"/>
      <c r="I47" s="650"/>
      <c r="J47" s="650"/>
      <c r="K47" s="650"/>
      <c r="L47" s="650"/>
      <c r="M47" s="650"/>
      <c r="N47" s="650"/>
      <c r="O47" s="650"/>
      <c r="P47" s="650"/>
      <c r="Q47" s="650"/>
      <c r="R47" s="650"/>
      <c r="S47" s="650"/>
      <c r="T47" s="650"/>
      <c r="U47" s="650"/>
      <c r="V47" s="651"/>
      <c r="W47" s="650"/>
      <c r="X47" s="650"/>
      <c r="Y47" s="56"/>
      <c r="Z47" s="56"/>
      <c r="AA47" s="57"/>
    </row>
    <row r="48" spans="1:27" s="85" customFormat="1" ht="15" customHeight="1" thickBot="1" x14ac:dyDescent="0.25">
      <c r="A48" s="37"/>
      <c r="B48" s="650"/>
      <c r="C48" s="650"/>
      <c r="D48" s="650"/>
      <c r="E48" s="650"/>
      <c r="F48" s="650"/>
      <c r="G48" s="650"/>
      <c r="H48" s="650"/>
      <c r="I48" s="650"/>
      <c r="J48" s="650"/>
      <c r="K48" s="650"/>
      <c r="L48" s="650"/>
      <c r="M48" s="650"/>
      <c r="N48" s="650"/>
      <c r="O48" s="650"/>
      <c r="P48" s="650"/>
      <c r="Q48" s="650"/>
      <c r="R48" s="650"/>
      <c r="S48" s="650"/>
      <c r="T48" s="650"/>
      <c r="U48" s="650"/>
      <c r="V48" s="651"/>
      <c r="W48" s="650"/>
      <c r="X48" s="650"/>
      <c r="Y48" s="56"/>
      <c r="Z48" s="56"/>
      <c r="AA48" s="57"/>
    </row>
    <row r="49" spans="1:24" s="1" customFormat="1" ht="18.75" customHeight="1" thickTop="1" thickBot="1" x14ac:dyDescent="0.25">
      <c r="A49" s="175" t="s">
        <v>247</v>
      </c>
      <c r="B49" s="1385" t="s">
        <v>30</v>
      </c>
      <c r="C49" s="1395"/>
      <c r="D49" s="1385" t="s">
        <v>31</v>
      </c>
      <c r="E49" s="1396"/>
      <c r="F49" s="1385" t="s">
        <v>32</v>
      </c>
      <c r="G49" s="1396"/>
      <c r="H49" s="1385" t="s">
        <v>33</v>
      </c>
      <c r="I49" s="1396"/>
      <c r="J49" s="1385" t="s">
        <v>34</v>
      </c>
      <c r="K49" s="1396"/>
      <c r="L49" s="1385" t="s">
        <v>35</v>
      </c>
      <c r="M49" s="1396"/>
      <c r="N49" s="1385" t="s">
        <v>36</v>
      </c>
      <c r="O49" s="1396"/>
      <c r="P49" s="1385" t="s">
        <v>37</v>
      </c>
      <c r="Q49" s="1396"/>
      <c r="R49" s="1385" t="s">
        <v>38</v>
      </c>
      <c r="S49" s="1396"/>
      <c r="T49" s="1385" t="s">
        <v>302</v>
      </c>
      <c r="U49" s="1386"/>
      <c r="V49" s="195"/>
      <c r="W49" s="1382" t="s">
        <v>9</v>
      </c>
      <c r="X49" s="1383"/>
    </row>
    <row r="50" spans="1:24" s="1" customFormat="1" ht="24" x14ac:dyDescent="0.2">
      <c r="A50" s="715" t="s">
        <v>289</v>
      </c>
      <c r="B50" s="713"/>
      <c r="C50" s="529"/>
      <c r="D50" s="713"/>
      <c r="E50" s="712"/>
      <c r="F50" s="713"/>
      <c r="G50" s="712"/>
      <c r="H50" s="713"/>
      <c r="I50" s="712"/>
      <c r="J50" s="713"/>
      <c r="K50" s="712"/>
      <c r="L50" s="713"/>
      <c r="M50" s="712"/>
      <c r="N50" s="713"/>
      <c r="O50" s="712"/>
      <c r="P50" s="713"/>
      <c r="Q50" s="712"/>
      <c r="R50" s="713"/>
      <c r="S50" s="712"/>
      <c r="T50" s="711"/>
      <c r="U50" s="714"/>
      <c r="V50" s="195"/>
      <c r="W50" s="272"/>
      <c r="X50" s="271"/>
    </row>
    <row r="51" spans="1:24" s="1" customFormat="1" ht="24" x14ac:dyDescent="0.2">
      <c r="A51" s="721" t="s">
        <v>237</v>
      </c>
      <c r="B51" s="654"/>
      <c r="C51" s="325">
        <v>17</v>
      </c>
      <c r="D51" s="654"/>
      <c r="E51" s="325">
        <v>15</v>
      </c>
      <c r="F51" s="654"/>
      <c r="G51" s="325">
        <v>15</v>
      </c>
      <c r="H51" s="654"/>
      <c r="I51" s="325">
        <v>14</v>
      </c>
      <c r="J51" s="654"/>
      <c r="K51" s="325">
        <v>12</v>
      </c>
      <c r="L51" s="654"/>
      <c r="M51" s="325">
        <v>12</v>
      </c>
      <c r="N51" s="654"/>
      <c r="O51" s="325">
        <v>15</v>
      </c>
      <c r="P51" s="654"/>
      <c r="Q51" s="325">
        <v>16</v>
      </c>
      <c r="R51" s="654"/>
      <c r="S51" s="325">
        <v>17</v>
      </c>
      <c r="T51" s="660"/>
      <c r="U51" s="340"/>
      <c r="V51" s="195"/>
      <c r="W51" s="347"/>
      <c r="X51" s="340">
        <f>AVERAGE(O51,M51,S51,U51,Q51)</f>
        <v>15</v>
      </c>
    </row>
    <row r="52" spans="1:24" s="1" customFormat="1" ht="24" x14ac:dyDescent="0.2">
      <c r="A52" s="721" t="s">
        <v>239</v>
      </c>
      <c r="B52" s="654"/>
      <c r="C52" s="325">
        <v>17</v>
      </c>
      <c r="D52" s="654"/>
      <c r="E52" s="325">
        <v>15</v>
      </c>
      <c r="F52" s="654"/>
      <c r="G52" s="325">
        <v>15</v>
      </c>
      <c r="H52" s="654"/>
      <c r="I52" s="325">
        <v>14</v>
      </c>
      <c r="J52" s="654"/>
      <c r="K52" s="325">
        <v>12</v>
      </c>
      <c r="L52" s="654"/>
      <c r="M52" s="325">
        <v>12</v>
      </c>
      <c r="N52" s="654"/>
      <c r="O52" s="325">
        <v>15</v>
      </c>
      <c r="P52" s="654"/>
      <c r="Q52" s="325">
        <v>16</v>
      </c>
      <c r="R52" s="654"/>
      <c r="S52" s="325">
        <v>17</v>
      </c>
      <c r="T52" s="660"/>
      <c r="U52" s="340"/>
      <c r="V52" s="195"/>
      <c r="W52" s="1252"/>
      <c r="X52" s="394">
        <f t="shared" ref="X52:X53" si="6">AVERAGE(O52,M52,S52,U52,Q52)</f>
        <v>15</v>
      </c>
    </row>
    <row r="53" spans="1:24" s="1" customFormat="1" ht="15" customHeight="1" thickBot="1" x14ac:dyDescent="0.25">
      <c r="A53" s="942" t="s">
        <v>238</v>
      </c>
      <c r="B53" s="956"/>
      <c r="C53" s="992">
        <v>16.45</v>
      </c>
      <c r="D53" s="956"/>
      <c r="E53" s="992">
        <v>14.45</v>
      </c>
      <c r="F53" s="956"/>
      <c r="G53" s="992">
        <v>14.35</v>
      </c>
      <c r="H53" s="956"/>
      <c r="I53" s="992">
        <v>13.35</v>
      </c>
      <c r="J53" s="956"/>
      <c r="K53" s="992">
        <v>11.5</v>
      </c>
      <c r="L53" s="956"/>
      <c r="M53" s="992">
        <v>11.5</v>
      </c>
      <c r="N53" s="956"/>
      <c r="O53" s="992">
        <v>14.65</v>
      </c>
      <c r="P53" s="956"/>
      <c r="Q53" s="992">
        <v>16</v>
      </c>
      <c r="R53" s="956"/>
      <c r="S53" s="992">
        <v>17</v>
      </c>
      <c r="T53" s="993"/>
      <c r="U53" s="957"/>
      <c r="V53" s="195"/>
      <c r="W53" s="950"/>
      <c r="X53" s="1253">
        <f t="shared" si="6"/>
        <v>14.7875</v>
      </c>
    </row>
    <row r="54" spans="1:24" s="1" customFormat="1" ht="18" customHeight="1" thickBot="1" x14ac:dyDescent="0.25">
      <c r="A54" s="795" t="s">
        <v>264</v>
      </c>
      <c r="B54" s="799" t="s">
        <v>40</v>
      </c>
      <c r="C54" s="798" t="s">
        <v>41</v>
      </c>
      <c r="D54" s="799" t="s">
        <v>40</v>
      </c>
      <c r="E54" s="798" t="s">
        <v>41</v>
      </c>
      <c r="F54" s="799" t="s">
        <v>40</v>
      </c>
      <c r="G54" s="798" t="s">
        <v>41</v>
      </c>
      <c r="H54" s="799" t="s">
        <v>40</v>
      </c>
      <c r="I54" s="798" t="s">
        <v>41</v>
      </c>
      <c r="J54" s="799" t="s">
        <v>40</v>
      </c>
      <c r="K54" s="798" t="s">
        <v>41</v>
      </c>
      <c r="L54" s="799" t="s">
        <v>40</v>
      </c>
      <c r="M54" s="798" t="s">
        <v>41</v>
      </c>
      <c r="N54" s="799" t="s">
        <v>40</v>
      </c>
      <c r="O54" s="798" t="s">
        <v>41</v>
      </c>
      <c r="P54" s="799" t="s">
        <v>40</v>
      </c>
      <c r="Q54" s="798" t="s">
        <v>41</v>
      </c>
      <c r="R54" s="799" t="s">
        <v>40</v>
      </c>
      <c r="S54" s="798" t="s">
        <v>41</v>
      </c>
      <c r="T54" s="799" t="s">
        <v>40</v>
      </c>
      <c r="U54" s="804" t="s">
        <v>41</v>
      </c>
      <c r="V54" s="955"/>
      <c r="W54" s="1254" t="s">
        <v>40</v>
      </c>
      <c r="X54" s="804" t="s">
        <v>41</v>
      </c>
    </row>
    <row r="55" spans="1:24" s="1" customFormat="1" ht="15" customHeight="1" x14ac:dyDescent="0.2">
      <c r="A55" s="680" t="s">
        <v>42</v>
      </c>
      <c r="B55" s="808"/>
      <c r="C55" s="805"/>
      <c r="D55" s="806"/>
      <c r="E55" s="807"/>
      <c r="F55" s="808"/>
      <c r="G55" s="807"/>
      <c r="H55" s="808"/>
      <c r="I55" s="807"/>
      <c r="J55" s="808"/>
      <c r="K55" s="807"/>
      <c r="L55" s="808"/>
      <c r="M55" s="807"/>
      <c r="N55" s="808"/>
      <c r="O55" s="807"/>
      <c r="P55" s="808"/>
      <c r="Q55" s="807"/>
      <c r="R55" s="808"/>
      <c r="S55" s="807"/>
      <c r="T55" s="808"/>
      <c r="U55" s="1013"/>
      <c r="V55" s="195"/>
      <c r="W55" s="1029"/>
      <c r="X55" s="1030"/>
    </row>
    <row r="56" spans="1:24" s="1" customFormat="1" ht="15" customHeight="1" x14ac:dyDescent="0.2">
      <c r="A56" s="678" t="s">
        <v>43</v>
      </c>
      <c r="B56" s="258"/>
      <c r="C56" s="1053">
        <v>29</v>
      </c>
      <c r="D56" s="260"/>
      <c r="E56" s="1044">
        <v>26</v>
      </c>
      <c r="F56" s="258"/>
      <c r="G56" s="1044">
        <v>26</v>
      </c>
      <c r="H56" s="258"/>
      <c r="I56" s="1044">
        <v>23</v>
      </c>
      <c r="J56" s="1036">
        <v>22</v>
      </c>
      <c r="K56" s="1044">
        <v>22</v>
      </c>
      <c r="L56" s="1036">
        <v>21</v>
      </c>
      <c r="M56" s="1044">
        <v>21</v>
      </c>
      <c r="N56" s="1036">
        <v>24</v>
      </c>
      <c r="O56" s="1044">
        <v>24</v>
      </c>
      <c r="P56" s="1036">
        <v>24</v>
      </c>
      <c r="Q56" s="1044">
        <v>24</v>
      </c>
      <c r="R56" s="1036">
        <v>25</v>
      </c>
      <c r="S56" s="1044">
        <v>25</v>
      </c>
      <c r="T56" s="813"/>
      <c r="U56" s="932"/>
      <c r="V56" s="195"/>
      <c r="W56" s="936">
        <f>AVERAGE(T56,L56,N56,P56,R56)</f>
        <v>23.5</v>
      </c>
      <c r="X56" s="1031">
        <f t="shared" ref="X56:X61" si="7">AVERAGE(O56,M56,S56,U56,Q56)</f>
        <v>23.5</v>
      </c>
    </row>
    <row r="57" spans="1:24" s="1" customFormat="1" ht="15" customHeight="1" x14ac:dyDescent="0.2">
      <c r="A57" s="678" t="s">
        <v>44</v>
      </c>
      <c r="B57" s="258"/>
      <c r="C57" s="1053">
        <v>6</v>
      </c>
      <c r="D57" s="260"/>
      <c r="E57" s="1044">
        <v>3</v>
      </c>
      <c r="F57" s="258"/>
      <c r="G57" s="1044">
        <v>5</v>
      </c>
      <c r="H57" s="258"/>
      <c r="I57" s="1044">
        <v>7</v>
      </c>
      <c r="J57" s="13">
        <v>4.25</v>
      </c>
      <c r="K57" s="1044">
        <v>7</v>
      </c>
      <c r="L57" s="13">
        <v>4.75</v>
      </c>
      <c r="M57" s="1044">
        <v>7</v>
      </c>
      <c r="N57" s="13">
        <v>3.35</v>
      </c>
      <c r="O57" s="1044">
        <v>6</v>
      </c>
      <c r="P57" s="13">
        <v>2.9</v>
      </c>
      <c r="Q57" s="1044">
        <v>5</v>
      </c>
      <c r="R57" s="13">
        <v>2.2999999999999998</v>
      </c>
      <c r="S57" s="1044">
        <v>5</v>
      </c>
      <c r="T57" s="345"/>
      <c r="U57" s="932"/>
      <c r="V57" s="195"/>
      <c r="W57" s="936">
        <f t="shared" ref="W57:W61" si="8">AVERAGE(T57,L57,N57,P57,R57)</f>
        <v>3.3250000000000002</v>
      </c>
      <c r="X57" s="1031">
        <f t="shared" si="7"/>
        <v>5.75</v>
      </c>
    </row>
    <row r="58" spans="1:24" s="1" customFormat="1" ht="15" customHeight="1" x14ac:dyDescent="0.2">
      <c r="A58" s="676" t="s">
        <v>45</v>
      </c>
      <c r="B58" s="345"/>
      <c r="C58" s="1054"/>
      <c r="D58" s="11"/>
      <c r="E58" s="1045"/>
      <c r="F58" s="13"/>
      <c r="G58" s="1045"/>
      <c r="H58" s="13"/>
      <c r="I58" s="1045"/>
      <c r="J58" s="13"/>
      <c r="K58" s="1045"/>
      <c r="L58" s="13"/>
      <c r="M58" s="1045"/>
      <c r="N58" s="13"/>
      <c r="O58" s="1045"/>
      <c r="P58" s="13"/>
      <c r="Q58" s="1045"/>
      <c r="R58" s="13"/>
      <c r="S58" s="1045"/>
      <c r="T58" s="345"/>
      <c r="U58" s="933"/>
      <c r="V58" s="195"/>
      <c r="W58" s="936"/>
      <c r="X58" s="1031"/>
    </row>
    <row r="59" spans="1:24" s="1" customFormat="1" ht="15" customHeight="1" x14ac:dyDescent="0.2">
      <c r="A59" s="678" t="s">
        <v>43</v>
      </c>
      <c r="B59" s="258"/>
      <c r="C59" s="1054">
        <v>0</v>
      </c>
      <c r="D59" s="260"/>
      <c r="E59" s="1045">
        <v>0</v>
      </c>
      <c r="F59" s="258"/>
      <c r="G59" s="1045">
        <v>0</v>
      </c>
      <c r="H59" s="258"/>
      <c r="I59" s="1045">
        <v>0</v>
      </c>
      <c r="J59" s="1036">
        <v>0</v>
      </c>
      <c r="K59" s="1045">
        <v>0</v>
      </c>
      <c r="L59" s="1036">
        <v>0</v>
      </c>
      <c r="M59" s="1045">
        <v>0</v>
      </c>
      <c r="N59" s="1036">
        <v>0</v>
      </c>
      <c r="O59" s="1045">
        <v>0</v>
      </c>
      <c r="P59" s="1036">
        <v>0</v>
      </c>
      <c r="Q59" s="1045">
        <v>0</v>
      </c>
      <c r="R59" s="1036">
        <v>0</v>
      </c>
      <c r="S59" s="1045">
        <v>0</v>
      </c>
      <c r="T59" s="1036"/>
      <c r="U59" s="933"/>
      <c r="V59" s="195"/>
      <c r="W59" s="936">
        <f t="shared" si="8"/>
        <v>0</v>
      </c>
      <c r="X59" s="1031">
        <f t="shared" si="7"/>
        <v>0</v>
      </c>
    </row>
    <row r="60" spans="1:24" s="1" customFormat="1" ht="15" customHeight="1" thickBot="1" x14ac:dyDescent="0.25">
      <c r="A60" s="939" t="s">
        <v>44</v>
      </c>
      <c r="B60" s="1017"/>
      <c r="C60" s="1060">
        <v>0</v>
      </c>
      <c r="D60" s="1050"/>
      <c r="E60" s="1056">
        <v>0</v>
      </c>
      <c r="F60" s="1017"/>
      <c r="G60" s="1056">
        <v>0</v>
      </c>
      <c r="H60" s="1017"/>
      <c r="I60" s="1056">
        <v>0</v>
      </c>
      <c r="J60" s="1039">
        <v>0</v>
      </c>
      <c r="K60" s="1056">
        <v>0</v>
      </c>
      <c r="L60" s="1039">
        <v>0</v>
      </c>
      <c r="M60" s="1056">
        <v>0</v>
      </c>
      <c r="N60" s="1039">
        <v>0</v>
      </c>
      <c r="O60" s="1056">
        <v>0</v>
      </c>
      <c r="P60" s="1039">
        <v>0</v>
      </c>
      <c r="Q60" s="1056">
        <v>0</v>
      </c>
      <c r="R60" s="1039">
        <v>0</v>
      </c>
      <c r="S60" s="1056">
        <v>0</v>
      </c>
      <c r="T60" s="1039"/>
      <c r="U60" s="934"/>
      <c r="V60" s="195"/>
      <c r="W60" s="1020">
        <f t="shared" si="8"/>
        <v>0</v>
      </c>
      <c r="X60" s="1032">
        <f t="shared" si="7"/>
        <v>0</v>
      </c>
    </row>
    <row r="61" spans="1:24" s="1" customFormat="1" ht="15" customHeight="1" thickBot="1" x14ac:dyDescent="0.25">
      <c r="A61" s="796" t="s">
        <v>28</v>
      </c>
      <c r="B61" s="1021"/>
      <c r="C61" s="824">
        <f>SUM(C56:C60)</f>
        <v>35</v>
      </c>
      <c r="D61" s="1022"/>
      <c r="E61" s="826">
        <f>SUM(E56:E60)</f>
        <v>29</v>
      </c>
      <c r="F61" s="1021"/>
      <c r="G61" s="826">
        <f>SUM(G56:G60)</f>
        <v>31</v>
      </c>
      <c r="H61" s="1021"/>
      <c r="I61" s="826">
        <f t="shared" ref="I61:S61" si="9">SUM(I56:I60)</f>
        <v>30</v>
      </c>
      <c r="J61" s="906">
        <f t="shared" si="9"/>
        <v>26.25</v>
      </c>
      <c r="K61" s="826">
        <f t="shared" si="9"/>
        <v>29</v>
      </c>
      <c r="L61" s="906">
        <f t="shared" si="9"/>
        <v>25.75</v>
      </c>
      <c r="M61" s="826">
        <f t="shared" si="9"/>
        <v>28</v>
      </c>
      <c r="N61" s="906">
        <f t="shared" si="9"/>
        <v>27.35</v>
      </c>
      <c r="O61" s="826">
        <f t="shared" si="9"/>
        <v>30</v>
      </c>
      <c r="P61" s="906">
        <f t="shared" si="9"/>
        <v>26.9</v>
      </c>
      <c r="Q61" s="826">
        <f t="shared" si="9"/>
        <v>29</v>
      </c>
      <c r="R61" s="906">
        <f t="shared" si="9"/>
        <v>27.3</v>
      </c>
      <c r="S61" s="826">
        <f t="shared" si="9"/>
        <v>30</v>
      </c>
      <c r="T61" s="906">
        <f t="shared" ref="T61:U61" si="10">SUM(T56:T60)</f>
        <v>0</v>
      </c>
      <c r="U61" s="1023">
        <f t="shared" si="10"/>
        <v>0</v>
      </c>
      <c r="V61" s="195"/>
      <c r="W61" s="1028">
        <f t="shared" si="8"/>
        <v>21.46</v>
      </c>
      <c r="X61" s="1033">
        <f t="shared" si="7"/>
        <v>23.4</v>
      </c>
    </row>
    <row r="62" spans="1:24" s="1" customFormat="1" ht="18" customHeight="1" thickBot="1" x14ac:dyDescent="0.25">
      <c r="A62" s="795" t="s">
        <v>253</v>
      </c>
      <c r="B62" s="801" t="s">
        <v>39</v>
      </c>
      <c r="C62" s="954" t="s">
        <v>46</v>
      </c>
      <c r="D62" s="801" t="s">
        <v>39</v>
      </c>
      <c r="E62" s="798" t="s">
        <v>46</v>
      </c>
      <c r="F62" s="799" t="s">
        <v>39</v>
      </c>
      <c r="G62" s="798" t="s">
        <v>46</v>
      </c>
      <c r="H62" s="799" t="s">
        <v>39</v>
      </c>
      <c r="I62" s="798" t="s">
        <v>46</v>
      </c>
      <c r="J62" s="799" t="s">
        <v>39</v>
      </c>
      <c r="K62" s="798" t="s">
        <v>46</v>
      </c>
      <c r="L62" s="799" t="s">
        <v>39</v>
      </c>
      <c r="M62" s="798" t="s">
        <v>46</v>
      </c>
      <c r="N62" s="799" t="s">
        <v>39</v>
      </c>
      <c r="O62" s="798" t="s">
        <v>46</v>
      </c>
      <c r="P62" s="799" t="s">
        <v>39</v>
      </c>
      <c r="Q62" s="798" t="s">
        <v>46</v>
      </c>
      <c r="R62" s="799" t="s">
        <v>39</v>
      </c>
      <c r="S62" s="798" t="s">
        <v>46</v>
      </c>
      <c r="T62" s="799" t="s">
        <v>39</v>
      </c>
      <c r="U62" s="804" t="s">
        <v>46</v>
      </c>
      <c r="V62" s="195"/>
      <c r="W62" s="832" t="s">
        <v>39</v>
      </c>
      <c r="X62" s="804" t="s">
        <v>46</v>
      </c>
    </row>
    <row r="63" spans="1:24" s="1" customFormat="1" ht="18" customHeight="1" x14ac:dyDescent="0.2">
      <c r="A63" s="680" t="s">
        <v>265</v>
      </c>
      <c r="B63" s="938"/>
      <c r="C63" s="196"/>
      <c r="D63" s="938"/>
      <c r="E63" s="197"/>
      <c r="F63" s="937"/>
      <c r="G63" s="197"/>
      <c r="H63" s="937"/>
      <c r="I63" s="197"/>
      <c r="J63" s="937"/>
      <c r="K63" s="197"/>
      <c r="L63" s="937"/>
      <c r="M63" s="197"/>
      <c r="N63" s="937"/>
      <c r="O63" s="197"/>
      <c r="P63" s="937"/>
      <c r="Q63" s="197"/>
      <c r="R63" s="937"/>
      <c r="S63" s="197"/>
      <c r="T63" s="937"/>
      <c r="U63" s="199"/>
      <c r="V63" s="195"/>
      <c r="W63" s="1026"/>
      <c r="X63" s="199"/>
    </row>
    <row r="64" spans="1:24" s="1" customFormat="1" ht="15" customHeight="1" x14ac:dyDescent="0.2">
      <c r="A64" s="706" t="s">
        <v>47</v>
      </c>
      <c r="B64" s="156">
        <f>16+3</f>
        <v>19</v>
      </c>
      <c r="C64" s="191">
        <f t="shared" ref="C64:C71" si="11">B64/C$61</f>
        <v>0.54285714285714282</v>
      </c>
      <c r="D64" s="156">
        <f>12+2</f>
        <v>14</v>
      </c>
      <c r="E64" s="192">
        <f t="shared" ref="E64:E71" si="12">D64/E$61</f>
        <v>0.48275862068965519</v>
      </c>
      <c r="F64" s="160">
        <v>18</v>
      </c>
      <c r="G64" s="192">
        <f t="shared" ref="G64:G71" si="13">F64/G$61</f>
        <v>0.58064516129032262</v>
      </c>
      <c r="H64" s="160">
        <v>18</v>
      </c>
      <c r="I64" s="192">
        <f t="shared" ref="I64:I71" si="14">H64/I$61</f>
        <v>0.6</v>
      </c>
      <c r="J64" s="160">
        <f>6+13</f>
        <v>19</v>
      </c>
      <c r="K64" s="192">
        <f t="shared" ref="K64:K71" si="15">J64/K$61</f>
        <v>0.65517241379310343</v>
      </c>
      <c r="L64" s="160">
        <v>16</v>
      </c>
      <c r="M64" s="192">
        <f t="shared" ref="M64:M69" si="16">L64/M$61</f>
        <v>0.5714285714285714</v>
      </c>
      <c r="N64" s="160">
        <f>4+14</f>
        <v>18</v>
      </c>
      <c r="O64" s="192">
        <f t="shared" ref="O64:Q69" si="17">N64/O$61</f>
        <v>0.6</v>
      </c>
      <c r="P64" s="160">
        <v>16</v>
      </c>
      <c r="Q64" s="192">
        <f t="shared" si="17"/>
        <v>0.55172413793103448</v>
      </c>
      <c r="R64" s="160">
        <v>18</v>
      </c>
      <c r="S64" s="192">
        <f t="shared" ref="S64:S69" si="18">R64/S$61</f>
        <v>0.6</v>
      </c>
      <c r="T64" s="202"/>
      <c r="U64" s="203" t="e">
        <f t="shared" ref="U64:U69" si="19">T64/U$61</f>
        <v>#DIV/0!</v>
      </c>
      <c r="V64" s="204"/>
      <c r="W64" s="205">
        <f>AVERAGE(N64,L64,R64,T64,P64)</f>
        <v>17</v>
      </c>
      <c r="X64" s="206" t="e">
        <f>AVERAGE(O64,M64,S64,U64,Q64)</f>
        <v>#DIV/0!</v>
      </c>
    </row>
    <row r="65" spans="1:24" s="1" customFormat="1" ht="15" customHeight="1" x14ac:dyDescent="0.2">
      <c r="A65" s="207" t="s">
        <v>48</v>
      </c>
      <c r="B65" s="156">
        <v>1</v>
      </c>
      <c r="C65" s="191">
        <f t="shared" si="11"/>
        <v>2.8571428571428571E-2</v>
      </c>
      <c r="D65" s="156">
        <v>0</v>
      </c>
      <c r="E65" s="192">
        <f t="shared" si="12"/>
        <v>0</v>
      </c>
      <c r="F65" s="160"/>
      <c r="G65" s="192">
        <f t="shared" si="13"/>
        <v>0</v>
      </c>
      <c r="H65" s="160">
        <v>0</v>
      </c>
      <c r="I65" s="192">
        <f t="shared" si="14"/>
        <v>0</v>
      </c>
      <c r="J65" s="160">
        <f>0</f>
        <v>0</v>
      </c>
      <c r="K65" s="192">
        <f t="shared" si="15"/>
        <v>0</v>
      </c>
      <c r="L65" s="160">
        <v>0</v>
      </c>
      <c r="M65" s="192">
        <f t="shared" si="16"/>
        <v>0</v>
      </c>
      <c r="N65" s="160">
        <v>0</v>
      </c>
      <c r="O65" s="192">
        <f t="shared" si="17"/>
        <v>0</v>
      </c>
      <c r="P65" s="160">
        <v>0</v>
      </c>
      <c r="Q65" s="192">
        <f t="shared" si="17"/>
        <v>0</v>
      </c>
      <c r="R65" s="160">
        <v>0</v>
      </c>
      <c r="S65" s="192">
        <f t="shared" si="18"/>
        <v>0</v>
      </c>
      <c r="T65" s="202"/>
      <c r="U65" s="203" t="e">
        <f t="shared" si="19"/>
        <v>#DIV/0!</v>
      </c>
      <c r="V65" s="204"/>
      <c r="W65" s="205">
        <f t="shared" ref="W65:X83" si="20">AVERAGE(N65,L65,R65,T65,P65)</f>
        <v>0</v>
      </c>
      <c r="X65" s="206" t="e">
        <f t="shared" si="20"/>
        <v>#DIV/0!</v>
      </c>
    </row>
    <row r="66" spans="1:24" s="1" customFormat="1" ht="15" customHeight="1" x14ac:dyDescent="0.2">
      <c r="A66" s="207" t="s">
        <v>49</v>
      </c>
      <c r="B66" s="156">
        <v>6</v>
      </c>
      <c r="C66" s="191">
        <f t="shared" si="11"/>
        <v>0.17142857142857143</v>
      </c>
      <c r="D66" s="156">
        <v>3</v>
      </c>
      <c r="E66" s="192">
        <f t="shared" si="12"/>
        <v>0.10344827586206896</v>
      </c>
      <c r="F66" s="160">
        <v>6</v>
      </c>
      <c r="G66" s="192">
        <f t="shared" si="13"/>
        <v>0.19354838709677419</v>
      </c>
      <c r="H66" s="160">
        <v>7</v>
      </c>
      <c r="I66" s="192">
        <f t="shared" si="14"/>
        <v>0.23333333333333334</v>
      </c>
      <c r="J66" s="160">
        <f>1+5</f>
        <v>6</v>
      </c>
      <c r="K66" s="192">
        <f t="shared" si="15"/>
        <v>0.20689655172413793</v>
      </c>
      <c r="L66" s="160">
        <v>6</v>
      </c>
      <c r="M66" s="192">
        <f t="shared" si="16"/>
        <v>0.21428571428571427</v>
      </c>
      <c r="N66" s="160">
        <f>1+5</f>
        <v>6</v>
      </c>
      <c r="O66" s="192">
        <f t="shared" si="17"/>
        <v>0.2</v>
      </c>
      <c r="P66" s="160">
        <v>6</v>
      </c>
      <c r="Q66" s="192">
        <f t="shared" si="17"/>
        <v>0.20689655172413793</v>
      </c>
      <c r="R66" s="160">
        <v>6</v>
      </c>
      <c r="S66" s="192">
        <f t="shared" si="18"/>
        <v>0.2</v>
      </c>
      <c r="T66" s="202"/>
      <c r="U66" s="203" t="e">
        <f t="shared" si="19"/>
        <v>#DIV/0!</v>
      </c>
      <c r="V66" s="204"/>
      <c r="W66" s="205">
        <f t="shared" si="20"/>
        <v>6</v>
      </c>
      <c r="X66" s="206" t="e">
        <f t="shared" si="20"/>
        <v>#DIV/0!</v>
      </c>
    </row>
    <row r="67" spans="1:24" s="1" customFormat="1" ht="15" customHeight="1" x14ac:dyDescent="0.2">
      <c r="A67" s="207" t="s">
        <v>50</v>
      </c>
      <c r="B67" s="156">
        <v>0</v>
      </c>
      <c r="C67" s="191">
        <f t="shared" si="11"/>
        <v>0</v>
      </c>
      <c r="D67" s="156">
        <v>0</v>
      </c>
      <c r="E67" s="192">
        <f t="shared" si="12"/>
        <v>0</v>
      </c>
      <c r="F67" s="160"/>
      <c r="G67" s="192">
        <f t="shared" si="13"/>
        <v>0</v>
      </c>
      <c r="H67" s="160">
        <v>1</v>
      </c>
      <c r="I67" s="192">
        <f t="shared" si="14"/>
        <v>3.3333333333333333E-2</v>
      </c>
      <c r="J67" s="160">
        <f>1</f>
        <v>1</v>
      </c>
      <c r="K67" s="192">
        <f t="shared" si="15"/>
        <v>3.4482758620689655E-2</v>
      </c>
      <c r="L67" s="160">
        <v>1</v>
      </c>
      <c r="M67" s="192">
        <f t="shared" si="16"/>
        <v>3.5714285714285712E-2</v>
      </c>
      <c r="N67" s="160">
        <v>1</v>
      </c>
      <c r="O67" s="192">
        <f t="shared" si="17"/>
        <v>3.3333333333333333E-2</v>
      </c>
      <c r="P67" s="160">
        <v>1</v>
      </c>
      <c r="Q67" s="192">
        <f t="shared" si="17"/>
        <v>3.4482758620689655E-2</v>
      </c>
      <c r="R67" s="160">
        <v>0</v>
      </c>
      <c r="S67" s="192">
        <f t="shared" si="18"/>
        <v>0</v>
      </c>
      <c r="T67" s="202"/>
      <c r="U67" s="203" t="e">
        <f t="shared" si="19"/>
        <v>#DIV/0!</v>
      </c>
      <c r="V67" s="204"/>
      <c r="W67" s="205">
        <f t="shared" si="20"/>
        <v>0.75</v>
      </c>
      <c r="X67" s="206" t="e">
        <f t="shared" si="20"/>
        <v>#DIV/0!</v>
      </c>
    </row>
    <row r="68" spans="1:24" s="1" customFormat="1" ht="15" customHeight="1" x14ac:dyDescent="0.2">
      <c r="A68" s="207" t="s">
        <v>51</v>
      </c>
      <c r="B68" s="156">
        <v>0</v>
      </c>
      <c r="C68" s="191">
        <f t="shared" si="11"/>
        <v>0</v>
      </c>
      <c r="D68" s="156">
        <v>2</v>
      </c>
      <c r="E68" s="192">
        <f t="shared" si="12"/>
        <v>6.8965517241379309E-2</v>
      </c>
      <c r="F68" s="160"/>
      <c r="G68" s="192">
        <f t="shared" si="13"/>
        <v>0</v>
      </c>
      <c r="H68" s="160">
        <v>1</v>
      </c>
      <c r="I68" s="192">
        <f t="shared" si="14"/>
        <v>3.3333333333333333E-2</v>
      </c>
      <c r="J68" s="160">
        <f>1</f>
        <v>1</v>
      </c>
      <c r="K68" s="192">
        <f t="shared" si="15"/>
        <v>3.4482758620689655E-2</v>
      </c>
      <c r="L68" s="160">
        <v>1</v>
      </c>
      <c r="M68" s="192">
        <f t="shared" si="16"/>
        <v>3.5714285714285712E-2</v>
      </c>
      <c r="N68" s="160">
        <v>0</v>
      </c>
      <c r="O68" s="192">
        <f t="shared" si="17"/>
        <v>0</v>
      </c>
      <c r="P68" s="160">
        <v>0</v>
      </c>
      <c r="Q68" s="192">
        <f t="shared" si="17"/>
        <v>0</v>
      </c>
      <c r="R68" s="160">
        <v>1</v>
      </c>
      <c r="S68" s="192">
        <f t="shared" si="18"/>
        <v>3.3333333333333333E-2</v>
      </c>
      <c r="T68" s="202"/>
      <c r="U68" s="203" t="e">
        <f t="shared" si="19"/>
        <v>#DIV/0!</v>
      </c>
      <c r="V68" s="204"/>
      <c r="W68" s="205">
        <f t="shared" si="20"/>
        <v>0.5</v>
      </c>
      <c r="X68" s="206" t="e">
        <f t="shared" si="20"/>
        <v>#DIV/0!</v>
      </c>
    </row>
    <row r="69" spans="1:24" s="1" customFormat="1" ht="15" customHeight="1" x14ac:dyDescent="0.2">
      <c r="A69" s="207" t="s">
        <v>52</v>
      </c>
      <c r="B69" s="156">
        <v>2</v>
      </c>
      <c r="C69" s="191">
        <f t="shared" si="11"/>
        <v>5.7142857142857141E-2</v>
      </c>
      <c r="D69" s="156">
        <f>9+1</f>
        <v>10</v>
      </c>
      <c r="E69" s="192">
        <f t="shared" si="12"/>
        <v>0.34482758620689657</v>
      </c>
      <c r="F69" s="160">
        <v>7</v>
      </c>
      <c r="G69" s="192">
        <f t="shared" si="13"/>
        <v>0.22580645161290322</v>
      </c>
      <c r="H69" s="160">
        <v>3</v>
      </c>
      <c r="I69" s="192">
        <f t="shared" si="14"/>
        <v>0.1</v>
      </c>
      <c r="J69" s="160">
        <f>0</f>
        <v>0</v>
      </c>
      <c r="K69" s="192">
        <f t="shared" si="15"/>
        <v>0</v>
      </c>
      <c r="L69" s="160">
        <v>2</v>
      </c>
      <c r="M69" s="192">
        <f t="shared" si="16"/>
        <v>7.1428571428571425E-2</v>
      </c>
      <c r="N69" s="160">
        <v>3</v>
      </c>
      <c r="O69" s="192">
        <f t="shared" si="17"/>
        <v>0.1</v>
      </c>
      <c r="P69" s="160">
        <v>3</v>
      </c>
      <c r="Q69" s="192">
        <f t="shared" si="17"/>
        <v>0.10344827586206896</v>
      </c>
      <c r="R69" s="160">
        <v>2</v>
      </c>
      <c r="S69" s="192">
        <f t="shared" si="18"/>
        <v>6.6666666666666666E-2</v>
      </c>
      <c r="T69" s="202"/>
      <c r="U69" s="203" t="e">
        <f t="shared" si="19"/>
        <v>#DIV/0!</v>
      </c>
      <c r="V69" s="204"/>
      <c r="W69" s="205">
        <f t="shared" si="20"/>
        <v>2.5</v>
      </c>
      <c r="X69" s="206" t="e">
        <f t="shared" si="20"/>
        <v>#DIV/0!</v>
      </c>
    </row>
    <row r="70" spans="1:24" s="1" customFormat="1" ht="15" customHeight="1" x14ac:dyDescent="0.2">
      <c r="A70" s="207" t="s">
        <v>53</v>
      </c>
      <c r="B70" s="400"/>
      <c r="C70" s="191">
        <f t="shared" si="11"/>
        <v>0</v>
      </c>
      <c r="D70" s="1223"/>
      <c r="E70" s="1224"/>
      <c r="F70" s="1225"/>
      <c r="G70" s="1224"/>
      <c r="H70" s="162">
        <v>0</v>
      </c>
      <c r="I70" s="192">
        <f t="shared" si="14"/>
        <v>0</v>
      </c>
      <c r="J70" s="162">
        <f>2</f>
        <v>2</v>
      </c>
      <c r="K70" s="192">
        <f t="shared" si="15"/>
        <v>6.8965517241379309E-2</v>
      </c>
      <c r="L70" s="162">
        <v>0</v>
      </c>
      <c r="M70" s="192">
        <f>L70/M$61</f>
        <v>0</v>
      </c>
      <c r="N70" s="162">
        <v>0</v>
      </c>
      <c r="O70" s="192">
        <f>N70/O$61</f>
        <v>0</v>
      </c>
      <c r="P70" s="162">
        <v>0</v>
      </c>
      <c r="Q70" s="192">
        <f>P70/Q$61</f>
        <v>0</v>
      </c>
      <c r="R70" s="162">
        <v>0</v>
      </c>
      <c r="S70" s="192">
        <f>R70/S$61</f>
        <v>0</v>
      </c>
      <c r="T70" s="202"/>
      <c r="U70" s="203" t="e">
        <f>T70/U$61</f>
        <v>#DIV/0!</v>
      </c>
      <c r="V70" s="204"/>
      <c r="W70" s="205">
        <f t="shared" si="20"/>
        <v>0</v>
      </c>
      <c r="X70" s="206" t="e">
        <f t="shared" si="20"/>
        <v>#DIV/0!</v>
      </c>
    </row>
    <row r="71" spans="1:24" s="1" customFormat="1" ht="15" customHeight="1" thickBot="1" x14ac:dyDescent="0.25">
      <c r="A71" s="696" t="s">
        <v>54</v>
      </c>
      <c r="B71" s="158">
        <v>0</v>
      </c>
      <c r="C71" s="724">
        <f t="shared" si="11"/>
        <v>0</v>
      </c>
      <c r="D71" s="158">
        <v>0</v>
      </c>
      <c r="E71" s="725">
        <f t="shared" si="12"/>
        <v>0</v>
      </c>
      <c r="F71" s="162"/>
      <c r="G71" s="725">
        <f t="shared" si="13"/>
        <v>0</v>
      </c>
      <c r="H71" s="162">
        <v>0</v>
      </c>
      <c r="I71" s="725">
        <f t="shared" si="14"/>
        <v>0</v>
      </c>
      <c r="J71" s="162">
        <f>0</f>
        <v>0</v>
      </c>
      <c r="K71" s="725">
        <f t="shared" si="15"/>
        <v>0</v>
      </c>
      <c r="L71" s="162">
        <v>2</v>
      </c>
      <c r="M71" s="725">
        <f>L71/M$61</f>
        <v>7.1428571428571425E-2</v>
      </c>
      <c r="N71" s="162">
        <v>2</v>
      </c>
      <c r="O71" s="725">
        <f>N71/O$61</f>
        <v>6.6666666666666666E-2</v>
      </c>
      <c r="P71" s="162">
        <v>3</v>
      </c>
      <c r="Q71" s="725">
        <f>P71/Q$61</f>
        <v>0.10344827586206896</v>
      </c>
      <c r="R71" s="162">
        <v>3</v>
      </c>
      <c r="S71" s="725">
        <f>R71/S$61</f>
        <v>0.1</v>
      </c>
      <c r="T71" s="193"/>
      <c r="U71" s="726" t="e">
        <f>T71/U$61</f>
        <v>#DIV/0!</v>
      </c>
      <c r="V71" s="204"/>
      <c r="W71" s="727">
        <f t="shared" si="20"/>
        <v>2.5</v>
      </c>
      <c r="X71" s="728" t="e">
        <f t="shared" si="20"/>
        <v>#DIV/0!</v>
      </c>
    </row>
    <row r="72" spans="1:24" s="1" customFormat="1" ht="18" customHeight="1" x14ac:dyDescent="0.2">
      <c r="A72" s="680" t="s">
        <v>55</v>
      </c>
      <c r="B72" s="912"/>
      <c r="C72" s="732"/>
      <c r="D72" s="912"/>
      <c r="E72" s="733"/>
      <c r="F72" s="914"/>
      <c r="G72" s="733"/>
      <c r="H72" s="914"/>
      <c r="I72" s="733"/>
      <c r="J72" s="914"/>
      <c r="K72" s="733"/>
      <c r="L72" s="914"/>
      <c r="M72" s="733"/>
      <c r="N72" s="914"/>
      <c r="O72" s="733"/>
      <c r="P72" s="914"/>
      <c r="Q72" s="733"/>
      <c r="R72" s="914"/>
      <c r="S72" s="733"/>
      <c r="T72" s="734"/>
      <c r="U72" s="735"/>
      <c r="V72" s="204"/>
      <c r="W72" s="736"/>
      <c r="X72" s="737"/>
    </row>
    <row r="73" spans="1:24" s="1" customFormat="1" ht="15" customHeight="1" x14ac:dyDescent="0.2">
      <c r="A73" s="200" t="s">
        <v>56</v>
      </c>
      <c r="B73" s="132">
        <v>11</v>
      </c>
      <c r="C73" s="191">
        <f>B73/C$61</f>
        <v>0.31428571428571428</v>
      </c>
      <c r="D73" s="132">
        <f>7+1</f>
        <v>8</v>
      </c>
      <c r="E73" s="192">
        <f>D73/E$61</f>
        <v>0.27586206896551724</v>
      </c>
      <c r="F73" s="48">
        <v>10</v>
      </c>
      <c r="G73" s="192">
        <f>F73/G$61</f>
        <v>0.32258064516129031</v>
      </c>
      <c r="H73" s="48">
        <v>10</v>
      </c>
      <c r="I73" s="192">
        <f>H73/I$61</f>
        <v>0.33333333333333331</v>
      </c>
      <c r="J73" s="48">
        <f>4+7</f>
        <v>11</v>
      </c>
      <c r="K73" s="192">
        <f>J73/K$61</f>
        <v>0.37931034482758619</v>
      </c>
      <c r="L73" s="48">
        <v>10</v>
      </c>
      <c r="M73" s="192">
        <f>L73/M$61</f>
        <v>0.35714285714285715</v>
      </c>
      <c r="N73" s="48">
        <f>2+8</f>
        <v>10</v>
      </c>
      <c r="O73" s="192">
        <f>N73/O$61</f>
        <v>0.33333333333333331</v>
      </c>
      <c r="P73" s="48">
        <v>10</v>
      </c>
      <c r="Q73" s="192">
        <f>P73/Q$61</f>
        <v>0.34482758620689657</v>
      </c>
      <c r="R73" s="48">
        <v>10</v>
      </c>
      <c r="S73" s="192">
        <f>R73/S$61</f>
        <v>0.33333333333333331</v>
      </c>
      <c r="T73" s="209"/>
      <c r="U73" s="203" t="e">
        <f>T73/U$61</f>
        <v>#DIV/0!</v>
      </c>
      <c r="V73" s="204"/>
      <c r="W73" s="205">
        <f t="shared" si="20"/>
        <v>10</v>
      </c>
      <c r="X73" s="206" t="e">
        <f t="shared" si="20"/>
        <v>#DIV/0!</v>
      </c>
    </row>
    <row r="74" spans="1:24" s="1" customFormat="1" ht="15" customHeight="1" thickBot="1" x14ac:dyDescent="0.25">
      <c r="A74" s="696" t="s">
        <v>57</v>
      </c>
      <c r="B74" s="910">
        <v>24</v>
      </c>
      <c r="C74" s="724">
        <f>B74/C$61</f>
        <v>0.68571428571428572</v>
      </c>
      <c r="D74" s="910">
        <f>19+2</f>
        <v>21</v>
      </c>
      <c r="E74" s="725">
        <f>D74/E$61</f>
        <v>0.72413793103448276</v>
      </c>
      <c r="F74" s="911">
        <v>21</v>
      </c>
      <c r="G74" s="725">
        <f>F74/G$61</f>
        <v>0.67741935483870963</v>
      </c>
      <c r="H74" s="911">
        <v>20</v>
      </c>
      <c r="I74" s="725">
        <f>H74/I$61</f>
        <v>0.66666666666666663</v>
      </c>
      <c r="J74" s="911">
        <f>3+15</f>
        <v>18</v>
      </c>
      <c r="K74" s="725">
        <f>J74/K$61</f>
        <v>0.62068965517241381</v>
      </c>
      <c r="L74" s="911">
        <v>18</v>
      </c>
      <c r="M74" s="725">
        <f>L74/M$61</f>
        <v>0.6428571428571429</v>
      </c>
      <c r="N74" s="911">
        <f>4+16</f>
        <v>20</v>
      </c>
      <c r="O74" s="725">
        <f>N74/O$61</f>
        <v>0.66666666666666663</v>
      </c>
      <c r="P74" s="911">
        <v>19</v>
      </c>
      <c r="Q74" s="725">
        <f>P74/Q$61</f>
        <v>0.65517241379310343</v>
      </c>
      <c r="R74" s="911">
        <v>20</v>
      </c>
      <c r="S74" s="725">
        <f>R74/S$61</f>
        <v>0.66666666666666663</v>
      </c>
      <c r="T74" s="730"/>
      <c r="U74" s="726" t="e">
        <f>T74/U$61</f>
        <v>#DIV/0!</v>
      </c>
      <c r="V74" s="204"/>
      <c r="W74" s="727">
        <f t="shared" si="20"/>
        <v>19.25</v>
      </c>
      <c r="X74" s="728" t="e">
        <f t="shared" si="20"/>
        <v>#DIV/0!</v>
      </c>
    </row>
    <row r="75" spans="1:24" s="1" customFormat="1" ht="18" customHeight="1" x14ac:dyDescent="0.2">
      <c r="A75" s="680" t="s">
        <v>58</v>
      </c>
      <c r="B75" s="917"/>
      <c r="C75" s="739"/>
      <c r="D75" s="917"/>
      <c r="E75" s="740"/>
      <c r="F75" s="918"/>
      <c r="G75" s="740"/>
      <c r="H75" s="918"/>
      <c r="I75" s="740"/>
      <c r="J75" s="918"/>
      <c r="K75" s="740"/>
      <c r="L75" s="918"/>
      <c r="M75" s="740"/>
      <c r="N75" s="918"/>
      <c r="O75" s="740"/>
      <c r="P75" s="918"/>
      <c r="Q75" s="740"/>
      <c r="R75" s="918"/>
      <c r="S75" s="740"/>
      <c r="T75" s="741"/>
      <c r="U75" s="742"/>
      <c r="V75" s="204"/>
      <c r="W75" s="736"/>
      <c r="X75" s="737"/>
    </row>
    <row r="76" spans="1:24" s="1" customFormat="1" ht="15" customHeight="1" x14ac:dyDescent="0.2">
      <c r="A76" s="200" t="s">
        <v>59</v>
      </c>
      <c r="B76" s="133">
        <v>10</v>
      </c>
      <c r="C76" s="191">
        <f>B76/C$61</f>
        <v>0.2857142857142857</v>
      </c>
      <c r="D76" s="133">
        <v>9</v>
      </c>
      <c r="E76" s="192">
        <f>D76/E$61</f>
        <v>0.31034482758620691</v>
      </c>
      <c r="F76" s="134">
        <v>11</v>
      </c>
      <c r="G76" s="192">
        <f>F76/G$61</f>
        <v>0.35483870967741937</v>
      </c>
      <c r="H76" s="134">
        <v>12</v>
      </c>
      <c r="I76" s="192">
        <f>H76/I$61</f>
        <v>0.4</v>
      </c>
      <c r="J76" s="134">
        <f>3+7</f>
        <v>10</v>
      </c>
      <c r="K76" s="192">
        <f>J76/K$61</f>
        <v>0.34482758620689657</v>
      </c>
      <c r="L76" s="134">
        <v>10</v>
      </c>
      <c r="M76" s="192">
        <f>L76/M$61</f>
        <v>0.35714285714285715</v>
      </c>
      <c r="N76" s="134">
        <f>2+9</f>
        <v>11</v>
      </c>
      <c r="O76" s="192">
        <f>N76/O$61</f>
        <v>0.36666666666666664</v>
      </c>
      <c r="P76" s="134">
        <v>9</v>
      </c>
      <c r="Q76" s="192">
        <f>P76/Q$61</f>
        <v>0.31034482758620691</v>
      </c>
      <c r="R76" s="134">
        <v>9</v>
      </c>
      <c r="S76" s="192">
        <f>R76/S$61</f>
        <v>0.3</v>
      </c>
      <c r="T76" s="211"/>
      <c r="U76" s="203" t="e">
        <f>T76/U$61</f>
        <v>#DIV/0!</v>
      </c>
      <c r="V76" s="204"/>
      <c r="W76" s="205">
        <f t="shared" si="20"/>
        <v>9.75</v>
      </c>
      <c r="X76" s="206" t="e">
        <f t="shared" si="20"/>
        <v>#DIV/0!</v>
      </c>
    </row>
    <row r="77" spans="1:24" s="1" customFormat="1" ht="15" customHeight="1" x14ac:dyDescent="0.2">
      <c r="A77" s="200" t="s">
        <v>60</v>
      </c>
      <c r="B77" s="133">
        <v>7</v>
      </c>
      <c r="C77" s="191">
        <f>B77/C$61</f>
        <v>0.2</v>
      </c>
      <c r="D77" s="133">
        <v>6</v>
      </c>
      <c r="E77" s="192">
        <f>D77/E$61</f>
        <v>0.20689655172413793</v>
      </c>
      <c r="F77" s="134">
        <v>3</v>
      </c>
      <c r="G77" s="192">
        <f>F77/G$61</f>
        <v>9.6774193548387094E-2</v>
      </c>
      <c r="H77" s="134">
        <v>3</v>
      </c>
      <c r="I77" s="192">
        <f>H77/I$61</f>
        <v>0.1</v>
      </c>
      <c r="J77" s="134">
        <f>0+5</f>
        <v>5</v>
      </c>
      <c r="K77" s="192">
        <f>J77/K$61</f>
        <v>0.17241379310344829</v>
      </c>
      <c r="L77" s="134">
        <v>5</v>
      </c>
      <c r="M77" s="192">
        <f>L77/M$61</f>
        <v>0.17857142857142858</v>
      </c>
      <c r="N77" s="134">
        <v>6</v>
      </c>
      <c r="O77" s="192">
        <f>N77/O$61</f>
        <v>0.2</v>
      </c>
      <c r="P77" s="134">
        <v>8</v>
      </c>
      <c r="Q77" s="192">
        <f>P77/Q$61</f>
        <v>0.27586206896551724</v>
      </c>
      <c r="R77" s="134">
        <v>8</v>
      </c>
      <c r="S77" s="192">
        <f>R77/S$61</f>
        <v>0.26666666666666666</v>
      </c>
      <c r="T77" s="211"/>
      <c r="U77" s="203" t="e">
        <f>T77/U$61</f>
        <v>#DIV/0!</v>
      </c>
      <c r="V77" s="204"/>
      <c r="W77" s="205">
        <f t="shared" si="20"/>
        <v>6.75</v>
      </c>
      <c r="X77" s="206" t="e">
        <f t="shared" si="20"/>
        <v>#DIV/0!</v>
      </c>
    </row>
    <row r="78" spans="1:24" s="1" customFormat="1" ht="15" customHeight="1" thickBot="1" x14ac:dyDescent="0.25">
      <c r="A78" s="696" t="s">
        <v>61</v>
      </c>
      <c r="B78" s="910">
        <v>18</v>
      </c>
      <c r="C78" s="724">
        <f>B78/C$61</f>
        <v>0.51428571428571423</v>
      </c>
      <c r="D78" s="910">
        <f>11+3</f>
        <v>14</v>
      </c>
      <c r="E78" s="725">
        <f>D78/E$61</f>
        <v>0.48275862068965519</v>
      </c>
      <c r="F78" s="911">
        <v>17</v>
      </c>
      <c r="G78" s="725">
        <f>F78/G$61</f>
        <v>0.54838709677419351</v>
      </c>
      <c r="H78" s="911">
        <v>15</v>
      </c>
      <c r="I78" s="725">
        <f>H78/I$61</f>
        <v>0.5</v>
      </c>
      <c r="J78" s="911">
        <f>4+10</f>
        <v>14</v>
      </c>
      <c r="K78" s="725">
        <f>J78/K$61</f>
        <v>0.48275862068965519</v>
      </c>
      <c r="L78" s="911">
        <v>13</v>
      </c>
      <c r="M78" s="725">
        <f>L78/M$61</f>
        <v>0.4642857142857143</v>
      </c>
      <c r="N78" s="911">
        <f>4+9</f>
        <v>13</v>
      </c>
      <c r="O78" s="725">
        <f>N78/O$61</f>
        <v>0.43333333333333335</v>
      </c>
      <c r="P78" s="911">
        <v>12</v>
      </c>
      <c r="Q78" s="725">
        <f>P78/Q$61</f>
        <v>0.41379310344827586</v>
      </c>
      <c r="R78" s="911">
        <f>5+8</f>
        <v>13</v>
      </c>
      <c r="S78" s="725">
        <f>R78/S$61</f>
        <v>0.43333333333333335</v>
      </c>
      <c r="T78" s="730"/>
      <c r="U78" s="726" t="e">
        <f>T78/U$61</f>
        <v>#DIV/0!</v>
      </c>
      <c r="V78" s="204"/>
      <c r="W78" s="727">
        <f t="shared" si="20"/>
        <v>12.75</v>
      </c>
      <c r="X78" s="728" t="e">
        <f t="shared" si="20"/>
        <v>#DIV/0!</v>
      </c>
    </row>
    <row r="79" spans="1:24" s="1" customFormat="1" ht="18" customHeight="1" x14ac:dyDescent="0.2">
      <c r="A79" s="680" t="s">
        <v>62</v>
      </c>
      <c r="B79" s="917"/>
      <c r="C79" s="739"/>
      <c r="D79" s="917"/>
      <c r="E79" s="740"/>
      <c r="F79" s="918"/>
      <c r="G79" s="740"/>
      <c r="H79" s="918"/>
      <c r="I79" s="740"/>
      <c r="J79" s="918"/>
      <c r="K79" s="740"/>
      <c r="L79" s="918"/>
      <c r="M79" s="740"/>
      <c r="N79" s="918"/>
      <c r="O79" s="740"/>
      <c r="P79" s="918"/>
      <c r="Q79" s="740"/>
      <c r="R79" s="918"/>
      <c r="S79" s="740"/>
      <c r="T79" s="741"/>
      <c r="U79" s="742"/>
      <c r="V79" s="204"/>
      <c r="W79" s="736"/>
      <c r="X79" s="737"/>
    </row>
    <row r="80" spans="1:24" s="1" customFormat="1" ht="15" customHeight="1" x14ac:dyDescent="0.2">
      <c r="A80" s="200" t="s">
        <v>63</v>
      </c>
      <c r="B80" s="133">
        <v>21</v>
      </c>
      <c r="C80" s="191">
        <f>B80/C$61</f>
        <v>0.6</v>
      </c>
      <c r="D80" s="133">
        <f>17+1</f>
        <v>18</v>
      </c>
      <c r="E80" s="192">
        <f>D80/E$61</f>
        <v>0.62068965517241381</v>
      </c>
      <c r="F80" s="134">
        <v>20</v>
      </c>
      <c r="G80" s="192">
        <f>F80/G$61</f>
        <v>0.64516129032258063</v>
      </c>
      <c r="H80" s="134">
        <v>21</v>
      </c>
      <c r="I80" s="192">
        <f>H80/I$61</f>
        <v>0.7</v>
      </c>
      <c r="J80" s="134">
        <f>17+5</f>
        <v>22</v>
      </c>
      <c r="K80" s="192">
        <f>J80/K$61</f>
        <v>0.75862068965517238</v>
      </c>
      <c r="L80" s="134">
        <v>21</v>
      </c>
      <c r="M80" s="192">
        <f>L80/M$61</f>
        <v>0.75</v>
      </c>
      <c r="N80" s="134">
        <f>4+20</f>
        <v>24</v>
      </c>
      <c r="O80" s="192">
        <f>N80/O$61</f>
        <v>0.8</v>
      </c>
      <c r="P80" s="134">
        <v>22</v>
      </c>
      <c r="Q80" s="192">
        <f>P80/Q$61</f>
        <v>0.75862068965517238</v>
      </c>
      <c r="R80" s="134">
        <v>23</v>
      </c>
      <c r="S80" s="192">
        <f>R80/S$61</f>
        <v>0.76666666666666672</v>
      </c>
      <c r="T80" s="211"/>
      <c r="U80" s="203" t="e">
        <f>T80/U$61</f>
        <v>#DIV/0!</v>
      </c>
      <c r="V80" s="204"/>
      <c r="W80" s="205">
        <f t="shared" si="20"/>
        <v>22.5</v>
      </c>
      <c r="X80" s="206" t="e">
        <f t="shared" si="20"/>
        <v>#DIV/0!</v>
      </c>
    </row>
    <row r="81" spans="1:24" s="1" customFormat="1" ht="15" customHeight="1" x14ac:dyDescent="0.2">
      <c r="A81" s="200" t="s">
        <v>64</v>
      </c>
      <c r="B81" s="133">
        <v>13</v>
      </c>
      <c r="C81" s="191">
        <f>B81/C$61</f>
        <v>0.37142857142857144</v>
      </c>
      <c r="D81" s="133">
        <f>8+2</f>
        <v>10</v>
      </c>
      <c r="E81" s="192">
        <f>D81/E$61</f>
        <v>0.34482758620689657</v>
      </c>
      <c r="F81" s="134">
        <v>10</v>
      </c>
      <c r="G81" s="192">
        <f>F81/G$61</f>
        <v>0.32258064516129031</v>
      </c>
      <c r="H81" s="134">
        <v>8</v>
      </c>
      <c r="I81" s="192">
        <f>H81/I$61</f>
        <v>0.26666666666666666</v>
      </c>
      <c r="J81" s="134">
        <f>5+2</f>
        <v>7</v>
      </c>
      <c r="K81" s="192">
        <f>J81/K$61</f>
        <v>0.2413793103448276</v>
      </c>
      <c r="L81" s="134">
        <v>7</v>
      </c>
      <c r="M81" s="192">
        <f>L81/M$61</f>
        <v>0.25</v>
      </c>
      <c r="N81" s="134">
        <f>2+4</f>
        <v>6</v>
      </c>
      <c r="O81" s="192">
        <f>N81/O$61</f>
        <v>0.2</v>
      </c>
      <c r="P81" s="134">
        <v>7</v>
      </c>
      <c r="Q81" s="192">
        <f>P81/Q$61</f>
        <v>0.2413793103448276</v>
      </c>
      <c r="R81" s="134">
        <v>7</v>
      </c>
      <c r="S81" s="192">
        <f>R81/S$61</f>
        <v>0.23333333333333334</v>
      </c>
      <c r="T81" s="211"/>
      <c r="U81" s="203" t="e">
        <f>T81/U$61</f>
        <v>#DIV/0!</v>
      </c>
      <c r="V81" s="204"/>
      <c r="W81" s="205">
        <f t="shared" si="20"/>
        <v>6.75</v>
      </c>
      <c r="X81" s="206" t="e">
        <f t="shared" si="20"/>
        <v>#DIV/0!</v>
      </c>
    </row>
    <row r="82" spans="1:24" s="1" customFormat="1" ht="15" customHeight="1" x14ac:dyDescent="0.2">
      <c r="A82" s="200" t="s">
        <v>65</v>
      </c>
      <c r="B82" s="133">
        <v>1</v>
      </c>
      <c r="C82" s="191">
        <f>B82/C$61</f>
        <v>2.8571428571428571E-2</v>
      </c>
      <c r="D82" s="133">
        <v>1</v>
      </c>
      <c r="E82" s="192">
        <f>D82/E$61</f>
        <v>3.4482758620689655E-2</v>
      </c>
      <c r="F82" s="134">
        <v>1</v>
      </c>
      <c r="G82" s="192">
        <f>F82/G$61</f>
        <v>3.2258064516129031E-2</v>
      </c>
      <c r="H82" s="134">
        <v>1</v>
      </c>
      <c r="I82" s="192">
        <f>H82/I$61</f>
        <v>3.3333333333333333E-2</v>
      </c>
      <c r="J82" s="134">
        <f>0</f>
        <v>0</v>
      </c>
      <c r="K82" s="192">
        <f>J82/K$61</f>
        <v>0</v>
      </c>
      <c r="L82" s="134">
        <v>0</v>
      </c>
      <c r="M82" s="192">
        <f>L82/M$61</f>
        <v>0</v>
      </c>
      <c r="N82" s="134">
        <v>0</v>
      </c>
      <c r="O82" s="192">
        <f>N82/O$61</f>
        <v>0</v>
      </c>
      <c r="P82" s="134">
        <v>0</v>
      </c>
      <c r="Q82" s="192">
        <f>P82/Q$61</f>
        <v>0</v>
      </c>
      <c r="R82" s="134">
        <v>0</v>
      </c>
      <c r="S82" s="192">
        <f>R82/S$61</f>
        <v>0</v>
      </c>
      <c r="T82" s="211"/>
      <c r="U82" s="203" t="e">
        <f>T82/U$61</f>
        <v>#DIV/0!</v>
      </c>
      <c r="V82" s="195"/>
      <c r="W82" s="205">
        <f t="shared" si="20"/>
        <v>0</v>
      </c>
      <c r="X82" s="206" t="e">
        <f t="shared" si="20"/>
        <v>#DIV/0!</v>
      </c>
    </row>
    <row r="83" spans="1:24" s="1" customFormat="1" ht="15" customHeight="1" thickBot="1" x14ac:dyDescent="0.25">
      <c r="A83" s="212" t="s">
        <v>66</v>
      </c>
      <c r="B83" s="159">
        <v>0</v>
      </c>
      <c r="C83" s="214">
        <f>B83/C$61</f>
        <v>0</v>
      </c>
      <c r="D83" s="159">
        <v>0</v>
      </c>
      <c r="E83" s="215">
        <f>D83/E$61</f>
        <v>0</v>
      </c>
      <c r="F83" s="163">
        <v>0</v>
      </c>
      <c r="G83" s="215">
        <f>F83/G$61</f>
        <v>0</v>
      </c>
      <c r="H83" s="163">
        <v>0</v>
      </c>
      <c r="I83" s="215">
        <f>H83/I$61</f>
        <v>0</v>
      </c>
      <c r="J83" s="163">
        <v>0</v>
      </c>
      <c r="K83" s="215">
        <f>J83/K$61</f>
        <v>0</v>
      </c>
      <c r="L83" s="163">
        <v>0</v>
      </c>
      <c r="M83" s="215">
        <f>L83/M$61</f>
        <v>0</v>
      </c>
      <c r="N83" s="163">
        <v>0</v>
      </c>
      <c r="O83" s="215">
        <f>N83/O$61</f>
        <v>0</v>
      </c>
      <c r="P83" s="163">
        <v>0</v>
      </c>
      <c r="Q83" s="215">
        <f>P83/Q$61</f>
        <v>0</v>
      </c>
      <c r="R83" s="163">
        <v>0</v>
      </c>
      <c r="S83" s="215">
        <f>R83/S$61</f>
        <v>0</v>
      </c>
      <c r="T83" s="217"/>
      <c r="U83" s="218" t="e">
        <f>T83/U$61</f>
        <v>#DIV/0!</v>
      </c>
      <c r="V83" s="195"/>
      <c r="W83" s="219">
        <f t="shared" si="20"/>
        <v>0</v>
      </c>
      <c r="X83" s="220" t="e">
        <f t="shared" si="20"/>
        <v>#DIV/0!</v>
      </c>
    </row>
    <row r="84" spans="1:24" ht="15" customHeight="1" thickTop="1" x14ac:dyDescent="0.2">
      <c r="A84" s="743" t="s">
        <v>248</v>
      </c>
    </row>
    <row r="85" spans="1:24" x14ac:dyDescent="0.2">
      <c r="A85" s="1"/>
      <c r="H85" s="65" t="s">
        <v>19</v>
      </c>
      <c r="J85" s="65" t="s">
        <v>19</v>
      </c>
      <c r="L85" s="65" t="s">
        <v>19</v>
      </c>
      <c r="N85" s="65" t="s">
        <v>19</v>
      </c>
      <c r="P85" s="65" t="s">
        <v>19</v>
      </c>
      <c r="R85" s="65" t="s">
        <v>19</v>
      </c>
      <c r="T85" s="65" t="s">
        <v>19</v>
      </c>
    </row>
    <row r="86" spans="1:24" x14ac:dyDescent="0.2">
      <c r="A86" s="1"/>
    </row>
    <row r="87" spans="1:24" x14ac:dyDescent="0.2">
      <c r="A87" s="1"/>
    </row>
    <row r="88" spans="1:24" x14ac:dyDescent="0.2">
      <c r="A88" s="1"/>
    </row>
    <row r="89" spans="1:24" x14ac:dyDescent="0.2">
      <c r="A89" s="1"/>
    </row>
    <row r="90" spans="1:24" x14ac:dyDescent="0.2">
      <c r="A90" s="1"/>
    </row>
    <row r="91" spans="1:24" x14ac:dyDescent="0.2">
      <c r="A91" s="1"/>
    </row>
    <row r="92" spans="1:24" x14ac:dyDescent="0.2">
      <c r="A92" s="1"/>
    </row>
    <row r="93" spans="1:24" x14ac:dyDescent="0.2">
      <c r="A93" s="1"/>
    </row>
    <row r="94" spans="1:24" x14ac:dyDescent="0.2">
      <c r="A94" s="1"/>
    </row>
    <row r="95" spans="1:24" x14ac:dyDescent="0.2">
      <c r="A95" s="1"/>
    </row>
    <row r="96" spans="1:24" x14ac:dyDescent="0.2">
      <c r="A96" s="1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x14ac:dyDescent="0.2">
      <c r="A100" s="1"/>
    </row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x14ac:dyDescent="0.2">
      <c r="A107" s="1"/>
    </row>
    <row r="108" spans="1:1" x14ac:dyDescent="0.2">
      <c r="A108" s="1"/>
    </row>
    <row r="109" spans="1:1" x14ac:dyDescent="0.2">
      <c r="A109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x14ac:dyDescent="0.2">
      <c r="A120" s="1"/>
    </row>
    <row r="121" spans="1:1" x14ac:dyDescent="0.2">
      <c r="A121" s="1"/>
    </row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x14ac:dyDescent="0.2">
      <c r="A128" s="1"/>
    </row>
    <row r="129" spans="1:1" x14ac:dyDescent="0.2">
      <c r="A129" s="1"/>
    </row>
    <row r="130" spans="1:1" x14ac:dyDescent="0.2">
      <c r="A130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x14ac:dyDescent="0.2">
      <c r="A152" s="1"/>
    </row>
    <row r="153" spans="1:1" x14ac:dyDescent="0.2">
      <c r="A153" s="1"/>
    </row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  <row r="177" spans="1:1" x14ac:dyDescent="0.2">
      <c r="A177" s="1"/>
    </row>
    <row r="178" spans="1:1" x14ac:dyDescent="0.2">
      <c r="A178" s="1"/>
    </row>
    <row r="179" spans="1:1" x14ac:dyDescent="0.2">
      <c r="A179" s="1"/>
    </row>
    <row r="180" spans="1:1" x14ac:dyDescent="0.2">
      <c r="A180" s="1"/>
    </row>
    <row r="181" spans="1:1" x14ac:dyDescent="0.2">
      <c r="A181" s="1"/>
    </row>
    <row r="182" spans="1:1" x14ac:dyDescent="0.2">
      <c r="A182" s="1"/>
    </row>
    <row r="183" spans="1:1" x14ac:dyDescent="0.2">
      <c r="A183" s="1"/>
    </row>
    <row r="184" spans="1:1" x14ac:dyDescent="0.2">
      <c r="A184" s="1"/>
    </row>
    <row r="185" spans="1:1" x14ac:dyDescent="0.2">
      <c r="A185" s="1"/>
    </row>
    <row r="186" spans="1:1" x14ac:dyDescent="0.2">
      <c r="A186" s="1"/>
    </row>
    <row r="187" spans="1:1" x14ac:dyDescent="0.2">
      <c r="A187" s="1"/>
    </row>
    <row r="188" spans="1:1" x14ac:dyDescent="0.2">
      <c r="A188" s="1"/>
    </row>
    <row r="189" spans="1:1" x14ac:dyDescent="0.2">
      <c r="A189" s="1"/>
    </row>
    <row r="190" spans="1:1" x14ac:dyDescent="0.2">
      <c r="A190" s="1"/>
    </row>
    <row r="191" spans="1:1" x14ac:dyDescent="0.2">
      <c r="A191" s="1"/>
    </row>
    <row r="192" spans="1:1" x14ac:dyDescent="0.2">
      <c r="A192" s="1"/>
    </row>
    <row r="193" spans="1:1" x14ac:dyDescent="0.2">
      <c r="A193" s="1"/>
    </row>
    <row r="194" spans="1:1" x14ac:dyDescent="0.2">
      <c r="A194" s="1"/>
    </row>
    <row r="195" spans="1:1" x14ac:dyDescent="0.2">
      <c r="A195" s="1"/>
    </row>
    <row r="196" spans="1:1" x14ac:dyDescent="0.2">
      <c r="A196" s="1"/>
    </row>
    <row r="197" spans="1:1" x14ac:dyDescent="0.2">
      <c r="A197" s="1"/>
    </row>
    <row r="198" spans="1:1" x14ac:dyDescent="0.2">
      <c r="A198" s="1"/>
    </row>
    <row r="199" spans="1:1" x14ac:dyDescent="0.2">
      <c r="A199" s="1"/>
    </row>
    <row r="200" spans="1:1" x14ac:dyDescent="0.2">
      <c r="A200" s="1"/>
    </row>
    <row r="201" spans="1:1" x14ac:dyDescent="0.2">
      <c r="A201" s="1"/>
    </row>
    <row r="202" spans="1:1" x14ac:dyDescent="0.2">
      <c r="A202" s="1"/>
    </row>
    <row r="203" spans="1:1" x14ac:dyDescent="0.2">
      <c r="A203" s="1"/>
    </row>
    <row r="204" spans="1:1" x14ac:dyDescent="0.2">
      <c r="A204" s="1"/>
    </row>
    <row r="205" spans="1:1" x14ac:dyDescent="0.2">
      <c r="A205" s="1"/>
    </row>
    <row r="206" spans="1:1" x14ac:dyDescent="0.2">
      <c r="A206" s="1"/>
    </row>
    <row r="207" spans="1:1" x14ac:dyDescent="0.2">
      <c r="A207" s="1"/>
    </row>
    <row r="208" spans="1:1" x14ac:dyDescent="0.2">
      <c r="A208" s="1"/>
    </row>
    <row r="209" spans="1:1" x14ac:dyDescent="0.2">
      <c r="A209" s="1"/>
    </row>
    <row r="210" spans="1:1" x14ac:dyDescent="0.2">
      <c r="A210" s="1"/>
    </row>
    <row r="211" spans="1:1" x14ac:dyDescent="0.2">
      <c r="A211" s="1"/>
    </row>
    <row r="212" spans="1:1" x14ac:dyDescent="0.2">
      <c r="A212" s="1"/>
    </row>
    <row r="213" spans="1:1" x14ac:dyDescent="0.2">
      <c r="A213" s="1"/>
    </row>
    <row r="214" spans="1:1" x14ac:dyDescent="0.2">
      <c r="A214" s="1"/>
    </row>
    <row r="215" spans="1:1" x14ac:dyDescent="0.2">
      <c r="A215" s="1"/>
    </row>
    <row r="216" spans="1:1" x14ac:dyDescent="0.2">
      <c r="A216" s="1"/>
    </row>
    <row r="217" spans="1:1" x14ac:dyDescent="0.2">
      <c r="A217" s="1"/>
    </row>
    <row r="218" spans="1:1" x14ac:dyDescent="0.2">
      <c r="A218" s="1"/>
    </row>
    <row r="219" spans="1:1" x14ac:dyDescent="0.2">
      <c r="A219" s="1"/>
    </row>
    <row r="220" spans="1:1" x14ac:dyDescent="0.2">
      <c r="A220" s="1"/>
    </row>
    <row r="221" spans="1:1" x14ac:dyDescent="0.2">
      <c r="A221" s="1"/>
    </row>
    <row r="222" spans="1:1" x14ac:dyDescent="0.2">
      <c r="A222" s="1"/>
    </row>
    <row r="223" spans="1:1" x14ac:dyDescent="0.2">
      <c r="A223" s="1"/>
    </row>
    <row r="224" spans="1:1" x14ac:dyDescent="0.2">
      <c r="A224" s="1"/>
    </row>
    <row r="225" spans="1:1" x14ac:dyDescent="0.2">
      <c r="A225" s="1"/>
    </row>
    <row r="226" spans="1:1" x14ac:dyDescent="0.2">
      <c r="A226" s="1"/>
    </row>
    <row r="227" spans="1:1" x14ac:dyDescent="0.2">
      <c r="A227" s="1"/>
    </row>
    <row r="228" spans="1:1" x14ac:dyDescent="0.2">
      <c r="A228" s="1"/>
    </row>
    <row r="229" spans="1:1" x14ac:dyDescent="0.2">
      <c r="A229" s="1"/>
    </row>
    <row r="230" spans="1:1" x14ac:dyDescent="0.2">
      <c r="A230" s="1"/>
    </row>
    <row r="231" spans="1:1" x14ac:dyDescent="0.2">
      <c r="A231" s="1"/>
    </row>
    <row r="232" spans="1:1" x14ac:dyDescent="0.2">
      <c r="A232" s="1"/>
    </row>
    <row r="233" spans="1:1" x14ac:dyDescent="0.2">
      <c r="A233" s="1"/>
    </row>
    <row r="234" spans="1:1" x14ac:dyDescent="0.2">
      <c r="A234" s="1"/>
    </row>
    <row r="235" spans="1:1" x14ac:dyDescent="0.2">
      <c r="A235" s="1"/>
    </row>
    <row r="236" spans="1:1" x14ac:dyDescent="0.2">
      <c r="A236" s="1"/>
    </row>
    <row r="237" spans="1:1" x14ac:dyDescent="0.2">
      <c r="A237" s="1"/>
    </row>
    <row r="238" spans="1:1" x14ac:dyDescent="0.2">
      <c r="A238" s="1"/>
    </row>
    <row r="239" spans="1:1" x14ac:dyDescent="0.2">
      <c r="A239" s="1"/>
    </row>
    <row r="240" spans="1:1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6" spans="1:1" x14ac:dyDescent="0.2">
      <c r="A296" s="1"/>
    </row>
    <row r="297" spans="1:1" x14ac:dyDescent="0.2">
      <c r="A297" s="1"/>
    </row>
    <row r="298" spans="1:1" x14ac:dyDescent="0.2">
      <c r="A298" s="1"/>
    </row>
    <row r="299" spans="1:1" x14ac:dyDescent="0.2">
      <c r="A299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  <row r="303" spans="1:1" x14ac:dyDescent="0.2">
      <c r="A303" s="1"/>
    </row>
    <row r="304" spans="1:1" x14ac:dyDescent="0.2">
      <c r="A304" s="1"/>
    </row>
    <row r="305" spans="1:1" x14ac:dyDescent="0.2">
      <c r="A305" s="1"/>
    </row>
    <row r="306" spans="1:1" x14ac:dyDescent="0.2">
      <c r="A306" s="1"/>
    </row>
    <row r="307" spans="1:1" x14ac:dyDescent="0.2">
      <c r="A307" s="1"/>
    </row>
    <row r="308" spans="1:1" x14ac:dyDescent="0.2">
      <c r="A308" s="1"/>
    </row>
    <row r="309" spans="1:1" x14ac:dyDescent="0.2">
      <c r="A309" s="1"/>
    </row>
    <row r="310" spans="1:1" x14ac:dyDescent="0.2">
      <c r="A310" s="1"/>
    </row>
    <row r="311" spans="1:1" x14ac:dyDescent="0.2">
      <c r="A311" s="1"/>
    </row>
    <row r="312" spans="1:1" x14ac:dyDescent="0.2">
      <c r="A312" s="1"/>
    </row>
    <row r="313" spans="1:1" x14ac:dyDescent="0.2">
      <c r="A313" s="1"/>
    </row>
    <row r="314" spans="1:1" x14ac:dyDescent="0.2">
      <c r="A314" s="1"/>
    </row>
    <row r="315" spans="1:1" x14ac:dyDescent="0.2">
      <c r="A315" s="1"/>
    </row>
    <row r="316" spans="1:1" x14ac:dyDescent="0.2">
      <c r="A316" s="1"/>
    </row>
    <row r="317" spans="1:1" x14ac:dyDescent="0.2">
      <c r="A317" s="1"/>
    </row>
    <row r="318" spans="1:1" x14ac:dyDescent="0.2">
      <c r="A318" s="1"/>
    </row>
    <row r="319" spans="1:1" x14ac:dyDescent="0.2">
      <c r="A319" s="1"/>
    </row>
    <row r="320" spans="1:1" x14ac:dyDescent="0.2">
      <c r="A320" s="1"/>
    </row>
    <row r="321" spans="1:1" x14ac:dyDescent="0.2">
      <c r="A321" s="1"/>
    </row>
    <row r="322" spans="1:1" x14ac:dyDescent="0.2">
      <c r="A322" s="1"/>
    </row>
    <row r="323" spans="1:1" x14ac:dyDescent="0.2">
      <c r="A323" s="1"/>
    </row>
    <row r="324" spans="1:1" x14ac:dyDescent="0.2">
      <c r="A324" s="1"/>
    </row>
    <row r="325" spans="1:1" x14ac:dyDescent="0.2">
      <c r="A325" s="1"/>
    </row>
    <row r="326" spans="1:1" x14ac:dyDescent="0.2">
      <c r="A326" s="1"/>
    </row>
    <row r="327" spans="1:1" x14ac:dyDescent="0.2">
      <c r="A327" s="1"/>
    </row>
    <row r="328" spans="1:1" x14ac:dyDescent="0.2">
      <c r="A328" s="1"/>
    </row>
    <row r="329" spans="1:1" x14ac:dyDescent="0.2">
      <c r="A329" s="1"/>
    </row>
    <row r="330" spans="1:1" x14ac:dyDescent="0.2">
      <c r="A330" s="1"/>
    </row>
    <row r="331" spans="1:1" x14ac:dyDescent="0.2">
      <c r="A331" s="1"/>
    </row>
    <row r="332" spans="1:1" x14ac:dyDescent="0.2">
      <c r="A332" s="1"/>
    </row>
    <row r="333" spans="1:1" x14ac:dyDescent="0.2">
      <c r="A333" s="1"/>
    </row>
    <row r="334" spans="1:1" x14ac:dyDescent="0.2">
      <c r="A334" s="1"/>
    </row>
    <row r="335" spans="1:1" x14ac:dyDescent="0.2">
      <c r="A335" s="1"/>
    </row>
    <row r="336" spans="1:1" x14ac:dyDescent="0.2">
      <c r="A336" s="1"/>
    </row>
    <row r="337" spans="1:1" x14ac:dyDescent="0.2">
      <c r="A337" s="1"/>
    </row>
    <row r="338" spans="1:1" x14ac:dyDescent="0.2">
      <c r="A338" s="1"/>
    </row>
    <row r="339" spans="1:1" x14ac:dyDescent="0.2">
      <c r="A339" s="1"/>
    </row>
    <row r="340" spans="1:1" x14ac:dyDescent="0.2">
      <c r="A340" s="1"/>
    </row>
    <row r="341" spans="1:1" x14ac:dyDescent="0.2">
      <c r="A341" s="1"/>
    </row>
    <row r="342" spans="1:1" x14ac:dyDescent="0.2">
      <c r="A342" s="1"/>
    </row>
    <row r="343" spans="1:1" x14ac:dyDescent="0.2">
      <c r="A343" s="1"/>
    </row>
    <row r="344" spans="1:1" x14ac:dyDescent="0.2">
      <c r="A344" s="1"/>
    </row>
    <row r="345" spans="1:1" x14ac:dyDescent="0.2">
      <c r="A345" s="1"/>
    </row>
    <row r="346" spans="1:1" x14ac:dyDescent="0.2">
      <c r="A346" s="1"/>
    </row>
    <row r="347" spans="1:1" x14ac:dyDescent="0.2">
      <c r="A347" s="1"/>
    </row>
    <row r="348" spans="1:1" x14ac:dyDescent="0.2">
      <c r="A348" s="1"/>
    </row>
    <row r="349" spans="1:1" x14ac:dyDescent="0.2">
      <c r="A349" s="1"/>
    </row>
    <row r="350" spans="1:1" x14ac:dyDescent="0.2">
      <c r="A350" s="1"/>
    </row>
    <row r="351" spans="1:1" x14ac:dyDescent="0.2">
      <c r="A351" s="1"/>
    </row>
    <row r="352" spans="1:1" x14ac:dyDescent="0.2">
      <c r="A352" s="1"/>
    </row>
    <row r="353" spans="1:1" x14ac:dyDescent="0.2">
      <c r="A353" s="1"/>
    </row>
    <row r="354" spans="1:1" x14ac:dyDescent="0.2">
      <c r="A354" s="1"/>
    </row>
    <row r="355" spans="1:1" x14ac:dyDescent="0.2">
      <c r="A355" s="1"/>
    </row>
    <row r="356" spans="1:1" x14ac:dyDescent="0.2">
      <c r="A356" s="1"/>
    </row>
    <row r="357" spans="1:1" x14ac:dyDescent="0.2">
      <c r="A357" s="1"/>
    </row>
    <row r="358" spans="1:1" x14ac:dyDescent="0.2">
      <c r="A358" s="1"/>
    </row>
    <row r="359" spans="1:1" x14ac:dyDescent="0.2">
      <c r="A359" s="1"/>
    </row>
    <row r="360" spans="1:1" x14ac:dyDescent="0.2">
      <c r="A360" s="1"/>
    </row>
    <row r="361" spans="1:1" x14ac:dyDescent="0.2">
      <c r="A361" s="1"/>
    </row>
    <row r="362" spans="1:1" x14ac:dyDescent="0.2">
      <c r="A362" s="1"/>
    </row>
    <row r="363" spans="1:1" x14ac:dyDescent="0.2">
      <c r="A363" s="1"/>
    </row>
    <row r="364" spans="1:1" x14ac:dyDescent="0.2">
      <c r="A364" s="1"/>
    </row>
    <row r="365" spans="1:1" x14ac:dyDescent="0.2">
      <c r="A365" s="1"/>
    </row>
    <row r="366" spans="1:1" x14ac:dyDescent="0.2">
      <c r="A366" s="1"/>
    </row>
    <row r="367" spans="1:1" x14ac:dyDescent="0.2">
      <c r="A367" s="1"/>
    </row>
    <row r="368" spans="1:1" x14ac:dyDescent="0.2">
      <c r="A368" s="1"/>
    </row>
    <row r="369" spans="1:1" x14ac:dyDescent="0.2">
      <c r="A369" s="1"/>
    </row>
    <row r="370" spans="1:1" x14ac:dyDescent="0.2">
      <c r="A370" s="1"/>
    </row>
    <row r="371" spans="1:1" x14ac:dyDescent="0.2">
      <c r="A371" s="1"/>
    </row>
    <row r="372" spans="1:1" x14ac:dyDescent="0.2">
      <c r="A372" s="1"/>
    </row>
    <row r="373" spans="1:1" x14ac:dyDescent="0.2">
      <c r="A373" s="1"/>
    </row>
    <row r="374" spans="1:1" x14ac:dyDescent="0.2">
      <c r="A374" s="1"/>
    </row>
    <row r="375" spans="1:1" x14ac:dyDescent="0.2">
      <c r="A375" s="1"/>
    </row>
    <row r="376" spans="1:1" x14ac:dyDescent="0.2">
      <c r="A376" s="1"/>
    </row>
    <row r="377" spans="1:1" x14ac:dyDescent="0.2">
      <c r="A377" s="1"/>
    </row>
    <row r="378" spans="1:1" x14ac:dyDescent="0.2">
      <c r="A378" s="1"/>
    </row>
    <row r="379" spans="1:1" x14ac:dyDescent="0.2">
      <c r="A379" s="1"/>
    </row>
    <row r="380" spans="1:1" x14ac:dyDescent="0.2">
      <c r="A380" s="1"/>
    </row>
    <row r="381" spans="1:1" x14ac:dyDescent="0.2">
      <c r="A381" s="1"/>
    </row>
    <row r="382" spans="1:1" x14ac:dyDescent="0.2">
      <c r="A382" s="1"/>
    </row>
    <row r="383" spans="1:1" x14ac:dyDescent="0.2">
      <c r="A383" s="1"/>
    </row>
    <row r="384" spans="1:1" x14ac:dyDescent="0.2">
      <c r="A384" s="1"/>
    </row>
    <row r="385" spans="1:1" x14ac:dyDescent="0.2">
      <c r="A385" s="1"/>
    </row>
    <row r="386" spans="1:1" x14ac:dyDescent="0.2">
      <c r="A386" s="1"/>
    </row>
    <row r="387" spans="1:1" x14ac:dyDescent="0.2">
      <c r="A387" s="1"/>
    </row>
    <row r="388" spans="1:1" x14ac:dyDescent="0.2">
      <c r="A388" s="1"/>
    </row>
    <row r="389" spans="1:1" x14ac:dyDescent="0.2">
      <c r="A389" s="1"/>
    </row>
    <row r="390" spans="1:1" x14ac:dyDescent="0.2">
      <c r="A390" s="1"/>
    </row>
    <row r="391" spans="1:1" x14ac:dyDescent="0.2">
      <c r="A391" s="1"/>
    </row>
    <row r="392" spans="1:1" x14ac:dyDescent="0.2">
      <c r="A392" s="1"/>
    </row>
    <row r="393" spans="1:1" x14ac:dyDescent="0.2">
      <c r="A393" s="1"/>
    </row>
    <row r="394" spans="1:1" x14ac:dyDescent="0.2">
      <c r="A394" s="1"/>
    </row>
    <row r="395" spans="1:1" x14ac:dyDescent="0.2">
      <c r="A395" s="1"/>
    </row>
    <row r="396" spans="1:1" x14ac:dyDescent="0.2">
      <c r="A396" s="1"/>
    </row>
    <row r="397" spans="1:1" x14ac:dyDescent="0.2">
      <c r="A397" s="1"/>
    </row>
    <row r="398" spans="1:1" x14ac:dyDescent="0.2">
      <c r="A398" s="1"/>
    </row>
    <row r="399" spans="1:1" x14ac:dyDescent="0.2">
      <c r="A399" s="1"/>
    </row>
    <row r="400" spans="1:1" x14ac:dyDescent="0.2">
      <c r="A400" s="1"/>
    </row>
    <row r="401" spans="1:1" x14ac:dyDescent="0.2">
      <c r="A401" s="1"/>
    </row>
    <row r="402" spans="1:1" x14ac:dyDescent="0.2">
      <c r="A402" s="1"/>
    </row>
    <row r="403" spans="1:1" x14ac:dyDescent="0.2">
      <c r="A403" s="1"/>
    </row>
    <row r="404" spans="1:1" x14ac:dyDescent="0.2">
      <c r="A404" s="1"/>
    </row>
    <row r="405" spans="1:1" x14ac:dyDescent="0.2">
      <c r="A405" s="1"/>
    </row>
    <row r="406" spans="1:1" x14ac:dyDescent="0.2">
      <c r="A406" s="1"/>
    </row>
    <row r="407" spans="1:1" x14ac:dyDescent="0.2">
      <c r="A407" s="1"/>
    </row>
    <row r="408" spans="1:1" x14ac:dyDescent="0.2">
      <c r="A408" s="1"/>
    </row>
    <row r="409" spans="1:1" x14ac:dyDescent="0.2">
      <c r="A409" s="1"/>
    </row>
    <row r="410" spans="1:1" x14ac:dyDescent="0.2">
      <c r="A410" s="1"/>
    </row>
    <row r="411" spans="1:1" x14ac:dyDescent="0.2">
      <c r="A411" s="1"/>
    </row>
    <row r="412" spans="1:1" x14ac:dyDescent="0.2">
      <c r="A412" s="1"/>
    </row>
    <row r="413" spans="1:1" x14ac:dyDescent="0.2">
      <c r="A413" s="1"/>
    </row>
    <row r="414" spans="1:1" x14ac:dyDescent="0.2">
      <c r="A414" s="1"/>
    </row>
    <row r="415" spans="1:1" x14ac:dyDescent="0.2">
      <c r="A415" s="1"/>
    </row>
    <row r="416" spans="1:1" x14ac:dyDescent="0.2">
      <c r="A416" s="1"/>
    </row>
    <row r="417" spans="1:1" x14ac:dyDescent="0.2">
      <c r="A417" s="1"/>
    </row>
    <row r="418" spans="1:1" x14ac:dyDescent="0.2">
      <c r="A418" s="1"/>
    </row>
    <row r="419" spans="1:1" x14ac:dyDescent="0.2">
      <c r="A419" s="1"/>
    </row>
    <row r="420" spans="1:1" x14ac:dyDescent="0.2">
      <c r="A420" s="1"/>
    </row>
    <row r="421" spans="1:1" x14ac:dyDescent="0.2">
      <c r="A421" s="1"/>
    </row>
    <row r="422" spans="1:1" x14ac:dyDescent="0.2">
      <c r="A422" s="1"/>
    </row>
    <row r="423" spans="1:1" x14ac:dyDescent="0.2">
      <c r="A423" s="1"/>
    </row>
    <row r="424" spans="1:1" x14ac:dyDescent="0.2">
      <c r="A424" s="1"/>
    </row>
    <row r="425" spans="1:1" x14ac:dyDescent="0.2">
      <c r="A425" s="1"/>
    </row>
    <row r="426" spans="1:1" x14ac:dyDescent="0.2">
      <c r="A426" s="1"/>
    </row>
    <row r="427" spans="1:1" x14ac:dyDescent="0.2">
      <c r="A427" s="1"/>
    </row>
    <row r="428" spans="1:1" x14ac:dyDescent="0.2">
      <c r="A428" s="1"/>
    </row>
    <row r="429" spans="1:1" x14ac:dyDescent="0.2">
      <c r="A429" s="1"/>
    </row>
    <row r="430" spans="1:1" x14ac:dyDescent="0.2">
      <c r="A430" s="1"/>
    </row>
  </sheetData>
  <mergeCells count="77">
    <mergeCell ref="W9:X9"/>
    <mergeCell ref="P9:Q9"/>
    <mergeCell ref="B9:C9"/>
    <mergeCell ref="D9:E9"/>
    <mergeCell ref="F9:G9"/>
    <mergeCell ref="H9:I9"/>
    <mergeCell ref="J9:K9"/>
    <mergeCell ref="T9:U9"/>
    <mergeCell ref="L27:M27"/>
    <mergeCell ref="N27:O27"/>
    <mergeCell ref="L9:M9"/>
    <mergeCell ref="N9:O9"/>
    <mergeCell ref="R9:S9"/>
    <mergeCell ref="B27:C27"/>
    <mergeCell ref="D27:E27"/>
    <mergeCell ref="F27:G27"/>
    <mergeCell ref="H27:I27"/>
    <mergeCell ref="J27:K27"/>
    <mergeCell ref="P31:Q31"/>
    <mergeCell ref="R31:S31"/>
    <mergeCell ref="W31:X31"/>
    <mergeCell ref="R27:S27"/>
    <mergeCell ref="W27:X27"/>
    <mergeCell ref="P27:Q27"/>
    <mergeCell ref="T27:U27"/>
    <mergeCell ref="T31:U31"/>
    <mergeCell ref="J31:K31"/>
    <mergeCell ref="L31:M31"/>
    <mergeCell ref="N31:O31"/>
    <mergeCell ref="B31:C31"/>
    <mergeCell ref="D31:E31"/>
    <mergeCell ref="F31:G31"/>
    <mergeCell ref="H31:I31"/>
    <mergeCell ref="B41:C41"/>
    <mergeCell ref="D41:E41"/>
    <mergeCell ref="F41:G41"/>
    <mergeCell ref="H41:I41"/>
    <mergeCell ref="P41:Q41"/>
    <mergeCell ref="J41:K41"/>
    <mergeCell ref="L41:M41"/>
    <mergeCell ref="N41:O41"/>
    <mergeCell ref="R33:S33"/>
    <mergeCell ref="W33:X33"/>
    <mergeCell ref="P33:Q33"/>
    <mergeCell ref="B33:C33"/>
    <mergeCell ref="D33:E33"/>
    <mergeCell ref="F33:G33"/>
    <mergeCell ref="H33:I33"/>
    <mergeCell ref="J33:K33"/>
    <mergeCell ref="L33:M33"/>
    <mergeCell ref="N33:O33"/>
    <mergeCell ref="T33:U33"/>
    <mergeCell ref="R41:S41"/>
    <mergeCell ref="W44:X44"/>
    <mergeCell ref="P44:Q44"/>
    <mergeCell ref="R44:S44"/>
    <mergeCell ref="J44:K44"/>
    <mergeCell ref="L44:M44"/>
    <mergeCell ref="N44:O44"/>
    <mergeCell ref="W41:X41"/>
    <mergeCell ref="T41:U41"/>
    <mergeCell ref="T44:U44"/>
    <mergeCell ref="P49:Q49"/>
    <mergeCell ref="R49:S49"/>
    <mergeCell ref="W49:X49"/>
    <mergeCell ref="B49:C49"/>
    <mergeCell ref="D49:E49"/>
    <mergeCell ref="F49:G49"/>
    <mergeCell ref="H49:I49"/>
    <mergeCell ref="J49:K49"/>
    <mergeCell ref="T49:U49"/>
    <mergeCell ref="B44:C44"/>
    <mergeCell ref="D44:E44"/>
    <mergeCell ref="F44:G44"/>
    <mergeCell ref="L49:M49"/>
    <mergeCell ref="N49:O49"/>
    <mergeCell ref="H44:I44"/>
  </mergeCells>
  <printOptions horizontalCentered="1"/>
  <pageMargins left="0.75" right="0.75" top="0.5" bottom="0.5" header="0.25" footer="0.25"/>
  <pageSetup scale="70" orientation="landscape" r:id="rId1"/>
  <headerFooter alignWithMargins="0">
    <oddFooter>&amp;LPrepared by Planning and Analysis&amp;C&amp;P of &amp;N&amp;RUpdated &amp;D</oddFooter>
  </headerFooter>
  <rowBreaks count="1" manualBreakCount="1">
    <brk id="47" max="21" man="1"/>
  </rowBreaks>
  <colBreaks count="1" manualBreakCount="1">
    <brk id="21" min="8" max="81" man="1"/>
  </colBreaks>
  <ignoredErrors>
    <ignoredError sqref="A64:N85 R78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A439"/>
  <sheetViews>
    <sheetView view="pageBreakPreview" zoomScaleNormal="85" zoomScaleSheetLayoutView="100" workbookViewId="0">
      <pane xSplit="1" ySplit="1" topLeftCell="T2" activePane="bottomRight" state="frozen"/>
      <selection activeCell="T36" sqref="T36:U36"/>
      <selection pane="topRight" activeCell="T36" sqref="T36:U36"/>
      <selection pane="bottomLeft" activeCell="T36" sqref="T36:U36"/>
      <selection pane="bottomRight" activeCell="T36" sqref="T36:U36"/>
    </sheetView>
  </sheetViews>
  <sheetFormatPr defaultColWidth="10.28515625" defaultRowHeight="12.75" x14ac:dyDescent="0.2"/>
  <cols>
    <col min="1" max="1" width="38.5703125" customWidth="1"/>
    <col min="2" max="2" width="6.7109375" hidden="1" customWidth="1"/>
    <col min="3" max="3" width="10.7109375" hidden="1" customWidth="1"/>
    <col min="4" max="4" width="6.7109375" hidden="1" customWidth="1"/>
    <col min="5" max="5" width="10.7109375" hidden="1" customWidth="1"/>
    <col min="6" max="6" width="6.7109375" customWidth="1"/>
    <col min="7" max="7" width="10.7109375" customWidth="1"/>
    <col min="8" max="8" width="6.7109375" customWidth="1"/>
    <col min="9" max="9" width="10.7109375" customWidth="1"/>
    <col min="10" max="10" width="6.7109375" customWidth="1"/>
    <col min="11" max="11" width="10.7109375" customWidth="1"/>
    <col min="12" max="12" width="6.7109375" customWidth="1"/>
    <col min="13" max="13" width="10.7109375" customWidth="1"/>
    <col min="14" max="14" width="6.7109375" customWidth="1"/>
    <col min="15" max="15" width="10.7109375" customWidth="1"/>
    <col min="16" max="16" width="6.7109375" customWidth="1"/>
    <col min="17" max="17" width="10.7109375" customWidth="1"/>
    <col min="18" max="18" width="6.7109375" customWidth="1"/>
    <col min="19" max="19" width="10.7109375" customWidth="1"/>
    <col min="20" max="20" width="6.7109375" customWidth="1"/>
    <col min="21" max="21" width="10.7109375" customWidth="1"/>
    <col min="22" max="22" width="3.28515625" customWidth="1"/>
    <col min="23" max="23" width="6.7109375" customWidth="1"/>
    <col min="24" max="24" width="10.7109375" customWidth="1"/>
    <col min="25" max="25" width="1.5703125" customWidth="1"/>
  </cols>
  <sheetData>
    <row r="1" spans="1:26" ht="15.75" x14ac:dyDescent="0.25">
      <c r="A1" s="667" t="s">
        <v>240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</row>
    <row r="2" spans="1:26" ht="15.75" x14ac:dyDescent="0.25">
      <c r="A2" s="667" t="s">
        <v>241</v>
      </c>
    </row>
    <row r="3" spans="1:26" ht="15.75" x14ac:dyDescent="0.25">
      <c r="A3" s="667"/>
    </row>
    <row r="4" spans="1:26" ht="15.75" x14ac:dyDescent="0.25">
      <c r="A4" s="668" t="s">
        <v>261</v>
      </c>
    </row>
    <row r="5" spans="1:26" ht="15.75" x14ac:dyDescent="0.25">
      <c r="A5" s="668"/>
      <c r="U5" s="65" t="s">
        <v>19</v>
      </c>
    </row>
    <row r="6" spans="1:26" x14ac:dyDescent="0.2">
      <c r="A6" s="3" t="s">
        <v>306</v>
      </c>
    </row>
    <row r="7" spans="1:26" x14ac:dyDescent="0.2">
      <c r="A7" s="720">
        <v>3670020190</v>
      </c>
    </row>
    <row r="8" spans="1:26" ht="13.5" thickBot="1" x14ac:dyDescent="0.25">
      <c r="A8" s="1"/>
      <c r="T8" s="23"/>
    </row>
    <row r="9" spans="1:26" ht="15" customHeight="1" thickTop="1" x14ac:dyDescent="0.2">
      <c r="A9" s="341"/>
      <c r="B9" s="1412" t="s">
        <v>0</v>
      </c>
      <c r="C9" s="1413"/>
      <c r="D9" s="1412" t="s">
        <v>1</v>
      </c>
      <c r="E9" s="1413"/>
      <c r="F9" s="1412" t="s">
        <v>2</v>
      </c>
      <c r="G9" s="1413"/>
      <c r="H9" s="1412" t="s">
        <v>3</v>
      </c>
      <c r="I9" s="1413"/>
      <c r="J9" s="1412" t="s">
        <v>4</v>
      </c>
      <c r="K9" s="1413"/>
      <c r="L9" s="1412" t="s">
        <v>5</v>
      </c>
      <c r="M9" s="1413"/>
      <c r="N9" s="1412" t="s">
        <v>6</v>
      </c>
      <c r="O9" s="1413"/>
      <c r="P9" s="1412" t="s">
        <v>7</v>
      </c>
      <c r="Q9" s="1413"/>
      <c r="R9" s="1412" t="s">
        <v>8</v>
      </c>
      <c r="S9" s="1413"/>
      <c r="T9" s="1401" t="s">
        <v>301</v>
      </c>
      <c r="U9" s="1402"/>
      <c r="V9" s="226"/>
      <c r="W9" s="1414" t="s">
        <v>9</v>
      </c>
      <c r="X9" s="1415"/>
    </row>
    <row r="10" spans="1:26" ht="15" customHeight="1" x14ac:dyDescent="0.2">
      <c r="A10" s="342"/>
      <c r="B10" s="68" t="s">
        <v>287</v>
      </c>
      <c r="C10" s="8" t="s">
        <v>10</v>
      </c>
      <c r="D10" s="68" t="s">
        <v>287</v>
      </c>
      <c r="E10" s="8" t="s">
        <v>10</v>
      </c>
      <c r="F10" s="68" t="s">
        <v>287</v>
      </c>
      <c r="G10" s="8" t="s">
        <v>10</v>
      </c>
      <c r="H10" s="68" t="s">
        <v>287</v>
      </c>
      <c r="I10" s="8" t="s">
        <v>10</v>
      </c>
      <c r="J10" s="68" t="s">
        <v>287</v>
      </c>
      <c r="K10" s="8" t="s">
        <v>10</v>
      </c>
      <c r="L10" s="68" t="s">
        <v>287</v>
      </c>
      <c r="M10" s="8" t="s">
        <v>10</v>
      </c>
      <c r="N10" s="68" t="s">
        <v>287</v>
      </c>
      <c r="O10" s="8" t="s">
        <v>10</v>
      </c>
      <c r="P10" s="68" t="s">
        <v>287</v>
      </c>
      <c r="Q10" s="8" t="s">
        <v>10</v>
      </c>
      <c r="R10" s="68" t="s">
        <v>287</v>
      </c>
      <c r="S10" s="8" t="s">
        <v>10</v>
      </c>
      <c r="T10" s="68" t="s">
        <v>287</v>
      </c>
      <c r="U10" s="97" t="s">
        <v>10</v>
      </c>
      <c r="V10" s="226"/>
      <c r="W10" s="6" t="s">
        <v>287</v>
      </c>
      <c r="X10" s="7" t="s">
        <v>11</v>
      </c>
    </row>
    <row r="11" spans="1:26" ht="15" customHeight="1" thickBot="1" x14ac:dyDescent="0.25">
      <c r="A11" s="343" t="s">
        <v>77</v>
      </c>
      <c r="B11" s="69" t="s">
        <v>12</v>
      </c>
      <c r="C11" s="922" t="s">
        <v>13</v>
      </c>
      <c r="D11" s="69" t="s">
        <v>12</v>
      </c>
      <c r="E11" s="922" t="s">
        <v>13</v>
      </c>
      <c r="F11" s="69" t="s">
        <v>12</v>
      </c>
      <c r="G11" s="922" t="s">
        <v>13</v>
      </c>
      <c r="H11" s="69" t="s">
        <v>12</v>
      </c>
      <c r="I11" s="922" t="s">
        <v>13</v>
      </c>
      <c r="J11" s="69" t="s">
        <v>12</v>
      </c>
      <c r="K11" s="922" t="s">
        <v>13</v>
      </c>
      <c r="L11" s="69" t="s">
        <v>12</v>
      </c>
      <c r="M11" s="922" t="s">
        <v>13</v>
      </c>
      <c r="N11" s="69" t="s">
        <v>12</v>
      </c>
      <c r="O11" s="922" t="s">
        <v>13</v>
      </c>
      <c r="P11" s="69" t="s">
        <v>12</v>
      </c>
      <c r="Q11" s="922" t="s">
        <v>13</v>
      </c>
      <c r="R11" s="69" t="s">
        <v>12</v>
      </c>
      <c r="S11" s="922" t="s">
        <v>13</v>
      </c>
      <c r="T11" s="69" t="s">
        <v>12</v>
      </c>
      <c r="U11" s="10" t="s">
        <v>13</v>
      </c>
      <c r="V11" s="226"/>
      <c r="W11" s="9" t="s">
        <v>12</v>
      </c>
      <c r="X11" s="10" t="s">
        <v>13</v>
      </c>
    </row>
    <row r="12" spans="1:26" ht="24" x14ac:dyDescent="0.2">
      <c r="A12" s="412" t="s">
        <v>121</v>
      </c>
      <c r="B12" s="13"/>
      <c r="C12" s="14"/>
      <c r="D12" s="11"/>
      <c r="E12" s="12"/>
      <c r="F12" s="13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5"/>
      <c r="V12" s="564"/>
      <c r="W12" s="779"/>
      <c r="X12" s="24"/>
      <c r="Y12" s="564"/>
    </row>
    <row r="13" spans="1:26" s="23" customFormat="1" ht="15" customHeight="1" x14ac:dyDescent="0.2">
      <c r="A13" s="349" t="s">
        <v>15</v>
      </c>
      <c r="B13" s="153">
        <v>27</v>
      </c>
      <c r="C13" s="262"/>
      <c r="D13" s="350">
        <v>36</v>
      </c>
      <c r="E13" s="264"/>
      <c r="F13" s="153">
        <v>51</v>
      </c>
      <c r="G13" s="264"/>
      <c r="H13" s="153">
        <v>37</v>
      </c>
      <c r="I13" s="264"/>
      <c r="J13" s="153">
        <v>38</v>
      </c>
      <c r="K13" s="264"/>
      <c r="L13" s="153">
        <v>38</v>
      </c>
      <c r="M13" s="264"/>
      <c r="N13" s="153">
        <v>43</v>
      </c>
      <c r="O13" s="264"/>
      <c r="P13" s="153">
        <v>44</v>
      </c>
      <c r="Q13" s="264"/>
      <c r="R13" s="153">
        <v>32</v>
      </c>
      <c r="S13" s="264"/>
      <c r="T13" s="153">
        <v>33</v>
      </c>
      <c r="U13" s="266"/>
      <c r="V13" s="352"/>
      <c r="W13" s="347">
        <f t="shared" ref="W13:W18" si="0">AVERAGE(N13,L13,R13,T13,P13)</f>
        <v>38</v>
      </c>
      <c r="X13" s="496"/>
    </row>
    <row r="14" spans="1:26" s="23" customFormat="1" ht="15" customHeight="1" thickBot="1" x14ac:dyDescent="0.25">
      <c r="A14" s="353" t="s">
        <v>16</v>
      </c>
      <c r="B14" s="354">
        <v>36</v>
      </c>
      <c r="C14" s="263"/>
      <c r="D14" s="355">
        <v>33</v>
      </c>
      <c r="E14" s="265"/>
      <c r="F14" s="354">
        <v>32</v>
      </c>
      <c r="G14" s="265"/>
      <c r="H14" s="354">
        <v>36</v>
      </c>
      <c r="I14" s="265"/>
      <c r="J14" s="354">
        <v>38</v>
      </c>
      <c r="K14" s="265"/>
      <c r="L14" s="354">
        <v>38</v>
      </c>
      <c r="M14" s="265"/>
      <c r="N14" s="354">
        <v>35</v>
      </c>
      <c r="O14" s="265"/>
      <c r="P14" s="354">
        <v>42</v>
      </c>
      <c r="Q14" s="265"/>
      <c r="R14" s="354">
        <f>17+26</f>
        <v>43</v>
      </c>
      <c r="S14" s="265"/>
      <c r="T14" s="354">
        <v>50</v>
      </c>
      <c r="U14" s="267"/>
      <c r="V14" s="352"/>
      <c r="W14" s="347">
        <f t="shared" si="0"/>
        <v>41.6</v>
      </c>
      <c r="X14" s="497"/>
    </row>
    <row r="15" spans="1:26" s="73" customFormat="1" ht="15" customHeight="1" thickBot="1" x14ac:dyDescent="0.25">
      <c r="A15" s="357" t="s">
        <v>17</v>
      </c>
      <c r="B15" s="358">
        <f t="shared" ref="B15:R15" si="1">SUM(B13:B14)</f>
        <v>63</v>
      </c>
      <c r="C15" s="359">
        <v>8</v>
      </c>
      <c r="D15" s="358">
        <f t="shared" si="1"/>
        <v>69</v>
      </c>
      <c r="E15" s="359">
        <v>6</v>
      </c>
      <c r="F15" s="358">
        <f t="shared" si="1"/>
        <v>83</v>
      </c>
      <c r="G15" s="359">
        <v>5</v>
      </c>
      <c r="H15" s="358">
        <f t="shared" si="1"/>
        <v>73</v>
      </c>
      <c r="I15" s="359">
        <v>9</v>
      </c>
      <c r="J15" s="358">
        <f t="shared" si="1"/>
        <v>76</v>
      </c>
      <c r="K15" s="359">
        <v>6</v>
      </c>
      <c r="L15" s="358">
        <f t="shared" si="1"/>
        <v>76</v>
      </c>
      <c r="M15" s="359">
        <v>21</v>
      </c>
      <c r="N15" s="640">
        <f t="shared" si="1"/>
        <v>78</v>
      </c>
      <c r="O15" s="359">
        <v>9</v>
      </c>
      <c r="P15" s="358">
        <f t="shared" si="1"/>
        <v>86</v>
      </c>
      <c r="Q15" s="359">
        <v>13</v>
      </c>
      <c r="R15" s="358">
        <f t="shared" si="1"/>
        <v>75</v>
      </c>
      <c r="S15" s="359">
        <v>7</v>
      </c>
      <c r="T15" s="358">
        <v>83</v>
      </c>
      <c r="U15" s="1275"/>
      <c r="V15" s="360"/>
      <c r="W15" s="493">
        <f>AVERAGE(N15,L15,R15,T15,P15)</f>
        <v>79.599999999999994</v>
      </c>
      <c r="X15" s="494">
        <f>AVERAGE(O15,M15,K15,S15,Q15)</f>
        <v>11.2</v>
      </c>
    </row>
    <row r="16" spans="1:26" s="23" customFormat="1" ht="15" customHeight="1" x14ac:dyDescent="0.2">
      <c r="A16" s="353" t="s">
        <v>122</v>
      </c>
      <c r="B16" s="249">
        <v>37</v>
      </c>
      <c r="C16" s="250">
        <v>4</v>
      </c>
      <c r="D16" s="249">
        <v>21</v>
      </c>
      <c r="E16" s="413">
        <v>3</v>
      </c>
      <c r="F16" s="249">
        <v>36</v>
      </c>
      <c r="G16" s="251">
        <v>5</v>
      </c>
      <c r="H16" s="252">
        <f>38+1</f>
        <v>39</v>
      </c>
      <c r="I16" s="413">
        <v>0</v>
      </c>
      <c r="J16" s="252">
        <v>47</v>
      </c>
      <c r="K16" s="413">
        <v>11</v>
      </c>
      <c r="L16" s="252">
        <v>44</v>
      </c>
      <c r="M16" s="413">
        <v>8</v>
      </c>
      <c r="N16" s="252">
        <v>42</v>
      </c>
      <c r="O16" s="413">
        <v>3</v>
      </c>
      <c r="P16" s="252">
        <v>52</v>
      </c>
      <c r="Q16" s="413">
        <v>12</v>
      </c>
      <c r="R16" s="252">
        <v>56</v>
      </c>
      <c r="S16" s="413">
        <v>10</v>
      </c>
      <c r="T16" s="153">
        <v>53</v>
      </c>
      <c r="U16" s="152"/>
      <c r="V16" s="352"/>
      <c r="W16" s="347">
        <f t="shared" si="0"/>
        <v>49.4</v>
      </c>
      <c r="X16" s="491">
        <f t="shared" ref="X16:X18" si="2">AVERAGE(O16,M16,K16,S16,Q16)</f>
        <v>8.8000000000000007</v>
      </c>
      <c r="Z16" s="23" t="s">
        <v>19</v>
      </c>
    </row>
    <row r="17" spans="1:26" s="23" customFormat="1" ht="15" customHeight="1" x14ac:dyDescent="0.2">
      <c r="A17" s="353" t="s">
        <v>123</v>
      </c>
      <c r="B17" s="414"/>
      <c r="C17" s="415"/>
      <c r="D17" s="414"/>
      <c r="E17" s="416"/>
      <c r="F17" s="417"/>
      <c r="G17" s="416"/>
      <c r="H17" s="417"/>
      <c r="I17" s="416"/>
      <c r="J17" s="418">
        <v>2</v>
      </c>
      <c r="K17" s="413">
        <v>0</v>
      </c>
      <c r="L17" s="418">
        <v>2</v>
      </c>
      <c r="M17" s="413">
        <v>0</v>
      </c>
      <c r="N17" s="418">
        <v>2</v>
      </c>
      <c r="O17" s="413">
        <v>0</v>
      </c>
      <c r="P17" s="418">
        <v>2</v>
      </c>
      <c r="Q17" s="413">
        <v>0</v>
      </c>
      <c r="R17" s="418">
        <v>1</v>
      </c>
      <c r="S17" s="413">
        <v>0</v>
      </c>
      <c r="T17" s="153">
        <v>2</v>
      </c>
      <c r="U17" s="152"/>
      <c r="V17" s="352"/>
      <c r="W17" s="347">
        <f t="shared" si="0"/>
        <v>1.8</v>
      </c>
      <c r="X17" s="491">
        <f t="shared" si="2"/>
        <v>0</v>
      </c>
    </row>
    <row r="18" spans="1:26" s="23" customFormat="1" ht="15" customHeight="1" x14ac:dyDescent="0.2">
      <c r="A18" s="353" t="s">
        <v>124</v>
      </c>
      <c r="B18" s="249">
        <v>19</v>
      </c>
      <c r="C18" s="250">
        <v>13</v>
      </c>
      <c r="D18" s="249">
        <v>19</v>
      </c>
      <c r="E18" s="251">
        <v>10</v>
      </c>
      <c r="F18" s="252">
        <v>18</v>
      </c>
      <c r="G18" s="251">
        <v>14</v>
      </c>
      <c r="H18" s="252">
        <v>28</v>
      </c>
      <c r="I18" s="251">
        <v>20</v>
      </c>
      <c r="J18" s="252">
        <v>29</v>
      </c>
      <c r="K18" s="251">
        <v>15</v>
      </c>
      <c r="L18" s="252">
        <f>22+2</f>
        <v>24</v>
      </c>
      <c r="M18" s="251">
        <v>19</v>
      </c>
      <c r="N18" s="252">
        <v>20</v>
      </c>
      <c r="O18" s="251">
        <v>24</v>
      </c>
      <c r="P18" s="252">
        <v>20</v>
      </c>
      <c r="Q18" s="251">
        <v>13</v>
      </c>
      <c r="R18" s="252">
        <v>17</v>
      </c>
      <c r="S18" s="251">
        <v>17</v>
      </c>
      <c r="T18" s="153">
        <v>17</v>
      </c>
      <c r="U18" s="152"/>
      <c r="V18" s="352"/>
      <c r="W18" s="347">
        <f t="shared" si="0"/>
        <v>19.600000000000001</v>
      </c>
      <c r="X18" s="491">
        <f t="shared" si="2"/>
        <v>17.600000000000001</v>
      </c>
    </row>
    <row r="19" spans="1:26" ht="15" customHeight="1" x14ac:dyDescent="0.2">
      <c r="A19" s="411" t="s">
        <v>125</v>
      </c>
      <c r="B19" s="258"/>
      <c r="C19" s="259"/>
      <c r="D19" s="260"/>
      <c r="E19" s="261"/>
      <c r="F19" s="13"/>
      <c r="G19" s="12"/>
      <c r="H19" s="13"/>
      <c r="I19" s="12"/>
      <c r="J19" s="13"/>
      <c r="K19" s="12"/>
      <c r="L19" s="13"/>
      <c r="M19" s="12"/>
      <c r="N19" s="13"/>
      <c r="O19" s="12"/>
      <c r="P19" s="13"/>
      <c r="Q19" s="12"/>
      <c r="R19" s="13"/>
      <c r="S19" s="12"/>
      <c r="T19" s="13"/>
      <c r="U19" s="15"/>
      <c r="V19" s="564"/>
      <c r="W19" s="779"/>
      <c r="X19" s="24"/>
    </row>
    <row r="20" spans="1:26" s="23" customFormat="1" ht="15" customHeight="1" x14ac:dyDescent="0.2">
      <c r="A20" s="349" t="s">
        <v>15</v>
      </c>
      <c r="B20" s="153">
        <v>39</v>
      </c>
      <c r="C20" s="262"/>
      <c r="D20" s="350">
        <v>59</v>
      </c>
      <c r="E20" s="264"/>
      <c r="F20" s="153">
        <v>61</v>
      </c>
      <c r="G20" s="264"/>
      <c r="H20" s="153">
        <v>69</v>
      </c>
      <c r="I20" s="264"/>
      <c r="J20" s="153">
        <v>79</v>
      </c>
      <c r="K20" s="264"/>
      <c r="L20" s="153">
        <v>93</v>
      </c>
      <c r="M20" s="264"/>
      <c r="N20" s="153">
        <v>77</v>
      </c>
      <c r="O20" s="264"/>
      <c r="P20" s="153">
        <v>84</v>
      </c>
      <c r="Q20" s="264"/>
      <c r="R20" s="153">
        <f>48+39</f>
        <v>87</v>
      </c>
      <c r="S20" s="264"/>
      <c r="T20" s="153">
        <v>77</v>
      </c>
      <c r="U20" s="266"/>
      <c r="V20" s="352"/>
      <c r="W20" s="347">
        <f>AVERAGE(N20,L20,R20,T20,P20)</f>
        <v>83.6</v>
      </c>
      <c r="X20" s="496"/>
    </row>
    <row r="21" spans="1:26" s="23" customFormat="1" ht="15" customHeight="1" thickBot="1" x14ac:dyDescent="0.25">
      <c r="A21" s="353" t="s">
        <v>16</v>
      </c>
      <c r="B21" s="354">
        <v>66</v>
      </c>
      <c r="C21" s="263"/>
      <c r="D21" s="355">
        <v>56</v>
      </c>
      <c r="E21" s="265"/>
      <c r="F21" s="354">
        <v>50</v>
      </c>
      <c r="G21" s="265"/>
      <c r="H21" s="354">
        <v>52</v>
      </c>
      <c r="I21" s="265"/>
      <c r="J21" s="354">
        <v>63</v>
      </c>
      <c r="K21" s="265"/>
      <c r="L21" s="354">
        <v>66</v>
      </c>
      <c r="M21" s="265"/>
      <c r="N21" s="354">
        <v>69</v>
      </c>
      <c r="O21" s="265"/>
      <c r="P21" s="354">
        <v>72</v>
      </c>
      <c r="Q21" s="265"/>
      <c r="R21" s="354">
        <f>27+44</f>
        <v>71</v>
      </c>
      <c r="S21" s="265"/>
      <c r="T21" s="354">
        <v>73</v>
      </c>
      <c r="U21" s="267"/>
      <c r="V21" s="352"/>
      <c r="W21" s="347">
        <f>AVERAGE(N21,L21,R21,T21,P21)</f>
        <v>70.2</v>
      </c>
      <c r="X21" s="497"/>
    </row>
    <row r="22" spans="1:26" s="73" customFormat="1" ht="15" customHeight="1" thickBot="1" x14ac:dyDescent="0.25">
      <c r="A22" s="357" t="s">
        <v>17</v>
      </c>
      <c r="B22" s="358">
        <f>SUM(B20:B21)</f>
        <v>105</v>
      </c>
      <c r="C22" s="359">
        <v>13</v>
      </c>
      <c r="D22" s="358">
        <f>SUM(D20:D21)</f>
        <v>115</v>
      </c>
      <c r="E22" s="359">
        <v>19</v>
      </c>
      <c r="F22" s="358">
        <f>SUM(F20:F21)</f>
        <v>111</v>
      </c>
      <c r="G22" s="359">
        <v>9</v>
      </c>
      <c r="H22" s="358">
        <f>SUM(H20:H21)</f>
        <v>121</v>
      </c>
      <c r="I22" s="359">
        <v>11</v>
      </c>
      <c r="J22" s="358">
        <f>SUM(J20:J21)</f>
        <v>142</v>
      </c>
      <c r="K22" s="359">
        <v>16</v>
      </c>
      <c r="L22" s="358">
        <f>SUM(L20:L21)</f>
        <v>159</v>
      </c>
      <c r="M22" s="359">
        <v>18</v>
      </c>
      <c r="N22" s="640">
        <f>SUM(N20:N21)</f>
        <v>146</v>
      </c>
      <c r="O22" s="359">
        <v>19</v>
      </c>
      <c r="P22" s="358">
        <f>SUM(P20:P21)</f>
        <v>156</v>
      </c>
      <c r="Q22" s="1233">
        <v>23</v>
      </c>
      <c r="R22" s="1234">
        <f>SUM(R20:R21)</f>
        <v>158</v>
      </c>
      <c r="S22" s="359">
        <v>15</v>
      </c>
      <c r="T22" s="358">
        <v>150</v>
      </c>
      <c r="U22" s="1275"/>
      <c r="V22" s="360"/>
      <c r="W22" s="493">
        <f>AVERAGE(N22,L22,R22,T22,P22)</f>
        <v>153.80000000000001</v>
      </c>
      <c r="X22" s="494">
        <f>AVERAGE(O22,M22,K22,S22,Q22)</f>
        <v>18.2</v>
      </c>
    </row>
    <row r="23" spans="1:26" ht="15" customHeight="1" x14ac:dyDescent="0.2">
      <c r="A23" s="269" t="s">
        <v>126</v>
      </c>
      <c r="B23" s="258"/>
      <c r="C23" s="259"/>
      <c r="D23" s="260"/>
      <c r="E23" s="261"/>
      <c r="F23" s="13"/>
      <c r="G23" s="12"/>
      <c r="H23" s="13"/>
      <c r="I23" s="12"/>
      <c r="J23" s="13"/>
      <c r="K23" s="12"/>
      <c r="L23" s="13"/>
      <c r="M23" s="12"/>
      <c r="N23" s="13"/>
      <c r="O23" s="12"/>
      <c r="P23" s="13"/>
      <c r="Q23" s="12"/>
      <c r="R23" s="13"/>
      <c r="S23" s="12"/>
      <c r="T23" s="13"/>
      <c r="U23" s="15"/>
      <c r="V23" s="564"/>
      <c r="W23" s="1178"/>
      <c r="X23" s="470"/>
    </row>
    <row r="24" spans="1:26" s="23" customFormat="1" ht="15" customHeight="1" x14ac:dyDescent="0.2">
      <c r="A24" s="349" t="s">
        <v>15</v>
      </c>
      <c r="B24" s="153">
        <v>54</v>
      </c>
      <c r="C24" s="262"/>
      <c r="D24" s="350">
        <v>51</v>
      </c>
      <c r="E24" s="264"/>
      <c r="F24" s="153">
        <v>50</v>
      </c>
      <c r="G24" s="264"/>
      <c r="H24" s="153">
        <v>61</v>
      </c>
      <c r="I24" s="264"/>
      <c r="J24" s="153">
        <v>56</v>
      </c>
      <c r="K24" s="264"/>
      <c r="L24" s="153">
        <v>53</v>
      </c>
      <c r="M24" s="264"/>
      <c r="N24" s="153">
        <v>49</v>
      </c>
      <c r="O24" s="264"/>
      <c r="P24" s="153">
        <v>44</v>
      </c>
      <c r="Q24" s="264"/>
      <c r="R24" s="153">
        <f>25+16</f>
        <v>41</v>
      </c>
      <c r="S24" s="264"/>
      <c r="T24" s="153">
        <v>40</v>
      </c>
      <c r="U24" s="266"/>
      <c r="V24" s="352"/>
      <c r="W24" s="347">
        <f t="shared" ref="W24:W29" si="3">AVERAGE(N24,L24,R24,T24,P24)</f>
        <v>45.4</v>
      </c>
      <c r="X24" s="496"/>
    </row>
    <row r="25" spans="1:26" s="23" customFormat="1" ht="15" customHeight="1" thickBot="1" x14ac:dyDescent="0.25">
      <c r="A25" s="353" t="s">
        <v>16</v>
      </c>
      <c r="B25" s="354">
        <v>54</v>
      </c>
      <c r="C25" s="263"/>
      <c r="D25" s="355">
        <v>46</v>
      </c>
      <c r="E25" s="265"/>
      <c r="F25" s="354">
        <v>39</v>
      </c>
      <c r="G25" s="265"/>
      <c r="H25" s="354">
        <v>45</v>
      </c>
      <c r="I25" s="265"/>
      <c r="J25" s="354">
        <v>48</v>
      </c>
      <c r="K25" s="265"/>
      <c r="L25" s="354">
        <v>46</v>
      </c>
      <c r="M25" s="265"/>
      <c r="N25" s="354">
        <v>52</v>
      </c>
      <c r="O25" s="265"/>
      <c r="P25" s="354">
        <v>44</v>
      </c>
      <c r="Q25" s="265"/>
      <c r="R25" s="354">
        <f>21+35</f>
        <v>56</v>
      </c>
      <c r="S25" s="265"/>
      <c r="T25" s="354">
        <v>53</v>
      </c>
      <c r="U25" s="267"/>
      <c r="V25" s="352"/>
      <c r="W25" s="347">
        <f t="shared" si="3"/>
        <v>50.2</v>
      </c>
      <c r="X25" s="497"/>
    </row>
    <row r="26" spans="1:26" s="73" customFormat="1" ht="15" customHeight="1" thickBot="1" x14ac:dyDescent="0.25">
      <c r="A26" s="357" t="s">
        <v>17</v>
      </c>
      <c r="B26" s="358">
        <f>SUM(B24:B25)</f>
        <v>108</v>
      </c>
      <c r="C26" s="359">
        <v>15</v>
      </c>
      <c r="D26" s="358">
        <f>SUM(D24:D25)</f>
        <v>97</v>
      </c>
      <c r="E26" s="359">
        <v>17</v>
      </c>
      <c r="F26" s="358">
        <f>SUM(F24:F25)</f>
        <v>89</v>
      </c>
      <c r="G26" s="359">
        <v>14</v>
      </c>
      <c r="H26" s="358">
        <f>SUM(H24:H25)</f>
        <v>106</v>
      </c>
      <c r="I26" s="359">
        <v>14</v>
      </c>
      <c r="J26" s="358">
        <f>SUM(J24:J25)</f>
        <v>104</v>
      </c>
      <c r="K26" s="359">
        <v>12</v>
      </c>
      <c r="L26" s="358">
        <f>SUM(L24:L25)</f>
        <v>99</v>
      </c>
      <c r="M26" s="359">
        <v>15</v>
      </c>
      <c r="N26" s="358">
        <f>SUM(N24:N25)</f>
        <v>101</v>
      </c>
      <c r="O26" s="359">
        <v>18</v>
      </c>
      <c r="P26" s="640">
        <f>SUM(P24:P25)</f>
        <v>88</v>
      </c>
      <c r="Q26" s="358">
        <v>18</v>
      </c>
      <c r="R26" s="358">
        <f>SUM(R24:R25)</f>
        <v>97</v>
      </c>
      <c r="S26" s="359">
        <v>14</v>
      </c>
      <c r="T26" s="358">
        <v>93</v>
      </c>
      <c r="U26" s="1275"/>
      <c r="V26" s="360"/>
      <c r="W26" s="493">
        <f t="shared" si="3"/>
        <v>95.6</v>
      </c>
      <c r="X26" s="494">
        <f t="shared" ref="X26:X29" si="4">AVERAGE(O26,M26,K26,S26,Q26)</f>
        <v>15.4</v>
      </c>
    </row>
    <row r="27" spans="1:26" s="23" customFormat="1" ht="15" customHeight="1" x14ac:dyDescent="0.2">
      <c r="A27" s="353" t="s">
        <v>127</v>
      </c>
      <c r="B27" s="86">
        <v>7</v>
      </c>
      <c r="C27" s="26">
        <v>1</v>
      </c>
      <c r="D27" s="86">
        <v>7</v>
      </c>
      <c r="E27" s="25">
        <v>1</v>
      </c>
      <c r="F27" s="29">
        <v>10</v>
      </c>
      <c r="G27" s="25">
        <v>1</v>
      </c>
      <c r="H27" s="29">
        <v>14</v>
      </c>
      <c r="I27" s="25">
        <v>2</v>
      </c>
      <c r="J27" s="29">
        <v>19</v>
      </c>
      <c r="K27" s="25">
        <v>4</v>
      </c>
      <c r="L27" s="29">
        <v>20</v>
      </c>
      <c r="M27" s="25">
        <v>4</v>
      </c>
      <c r="N27" s="29">
        <v>15</v>
      </c>
      <c r="O27" s="25">
        <v>2</v>
      </c>
      <c r="P27" s="29">
        <v>19</v>
      </c>
      <c r="Q27" s="25">
        <v>7</v>
      </c>
      <c r="R27" s="29">
        <v>20</v>
      </c>
      <c r="S27" s="25">
        <v>2</v>
      </c>
      <c r="T27" s="153">
        <v>21</v>
      </c>
      <c r="U27" s="152"/>
      <c r="V27" s="352"/>
      <c r="W27" s="347">
        <f t="shared" si="3"/>
        <v>19</v>
      </c>
      <c r="X27" s="491">
        <f t="shared" si="4"/>
        <v>3.8</v>
      </c>
      <c r="Z27" s="23" t="s">
        <v>19</v>
      </c>
    </row>
    <row r="28" spans="1:26" s="23" customFormat="1" ht="15" customHeight="1" x14ac:dyDescent="0.2">
      <c r="A28" s="353" t="s">
        <v>128</v>
      </c>
      <c r="B28" s="22">
        <v>17</v>
      </c>
      <c r="C28" s="21">
        <v>1</v>
      </c>
      <c r="D28" s="22">
        <v>18</v>
      </c>
      <c r="E28" s="19">
        <v>0</v>
      </c>
      <c r="F28" s="20">
        <v>15</v>
      </c>
      <c r="G28" s="19">
        <v>2</v>
      </c>
      <c r="H28" s="20">
        <v>34</v>
      </c>
      <c r="I28" s="19">
        <v>3</v>
      </c>
      <c r="J28" s="20">
        <v>29</v>
      </c>
      <c r="K28" s="19">
        <v>1</v>
      </c>
      <c r="L28" s="20">
        <v>39</v>
      </c>
      <c r="M28" s="19">
        <v>5</v>
      </c>
      <c r="N28" s="20">
        <v>37</v>
      </c>
      <c r="O28" s="19">
        <v>3</v>
      </c>
      <c r="P28" s="20">
        <v>30</v>
      </c>
      <c r="Q28" s="19">
        <v>6</v>
      </c>
      <c r="R28" s="20">
        <v>27</v>
      </c>
      <c r="S28" s="19">
        <v>3</v>
      </c>
      <c r="T28" s="153">
        <v>37</v>
      </c>
      <c r="U28" s="152"/>
      <c r="V28" s="352"/>
      <c r="W28" s="347">
        <f t="shared" si="3"/>
        <v>34</v>
      </c>
      <c r="X28" s="491">
        <f t="shared" si="4"/>
        <v>3.6</v>
      </c>
    </row>
    <row r="29" spans="1:26" s="23" customFormat="1" ht="15" customHeight="1" thickBot="1" x14ac:dyDescent="0.25">
      <c r="A29" s="362" t="s">
        <v>124</v>
      </c>
      <c r="B29" s="419"/>
      <c r="C29" s="420"/>
      <c r="D29" s="31">
        <v>0</v>
      </c>
      <c r="E29" s="32">
        <v>2</v>
      </c>
      <c r="F29" s="33">
        <v>18</v>
      </c>
      <c r="G29" s="32">
        <v>12</v>
      </c>
      <c r="H29" s="33">
        <v>17</v>
      </c>
      <c r="I29" s="32">
        <v>7</v>
      </c>
      <c r="J29" s="33">
        <v>20</v>
      </c>
      <c r="K29" s="32">
        <v>11</v>
      </c>
      <c r="L29" s="33">
        <v>23</v>
      </c>
      <c r="M29" s="32">
        <v>11</v>
      </c>
      <c r="N29" s="33">
        <v>20</v>
      </c>
      <c r="O29" s="32">
        <v>7</v>
      </c>
      <c r="P29" s="33">
        <v>23</v>
      </c>
      <c r="Q29" s="32">
        <v>6</v>
      </c>
      <c r="R29" s="33">
        <v>19</v>
      </c>
      <c r="S29" s="32">
        <v>9</v>
      </c>
      <c r="T29" s="365">
        <v>16</v>
      </c>
      <c r="U29" s="1282"/>
      <c r="V29" s="352"/>
      <c r="W29" s="347">
        <f t="shared" si="3"/>
        <v>20.2</v>
      </c>
      <c r="X29" s="491">
        <f t="shared" si="4"/>
        <v>8.8000000000000007</v>
      </c>
    </row>
    <row r="30" spans="1:26" ht="18" customHeight="1" thickTop="1" thickBot="1" x14ac:dyDescent="0.25">
      <c r="A30" s="298" t="s">
        <v>71</v>
      </c>
      <c r="B30" s="1380"/>
      <c r="C30" s="1381"/>
      <c r="D30" s="1380"/>
      <c r="E30" s="1381"/>
      <c r="F30" s="1380"/>
      <c r="G30" s="1381"/>
      <c r="H30" s="1380"/>
      <c r="I30" s="1381"/>
      <c r="J30" s="1380"/>
      <c r="K30" s="1381"/>
      <c r="L30" s="1380"/>
      <c r="M30" s="1381"/>
      <c r="N30" s="1380"/>
      <c r="O30" s="1381"/>
      <c r="P30" s="1380"/>
      <c r="Q30" s="1381"/>
      <c r="R30" s="1380"/>
      <c r="S30" s="1381"/>
      <c r="T30" s="1380"/>
      <c r="U30" s="1383"/>
      <c r="V30" s="226"/>
      <c r="W30" s="1382"/>
      <c r="X30" s="1383"/>
    </row>
    <row r="31" spans="1:26" ht="15" customHeight="1" x14ac:dyDescent="0.2">
      <c r="A31" s="1226" t="s">
        <v>79</v>
      </c>
      <c r="B31" s="300"/>
      <c r="C31" s="301"/>
      <c r="D31" s="300"/>
      <c r="E31" s="301"/>
      <c r="F31" s="300"/>
      <c r="G31" s="301"/>
      <c r="H31" s="300"/>
      <c r="I31" s="301"/>
      <c r="J31" s="300"/>
      <c r="K31" s="301"/>
      <c r="L31" s="300"/>
      <c r="M31" s="301"/>
      <c r="N31" s="300"/>
      <c r="O31" s="301"/>
      <c r="P31" s="300"/>
      <c r="Q31" s="301"/>
      <c r="R31" s="300"/>
      <c r="S31" s="301"/>
      <c r="T31" s="300"/>
      <c r="U31" s="302"/>
      <c r="V31" s="226"/>
      <c r="W31" s="851"/>
      <c r="X31" s="852" t="e">
        <f>AVERAGE(O31,M31,I31,K31,Q31)</f>
        <v>#DIV/0!</v>
      </c>
    </row>
    <row r="32" spans="1:26" ht="15" customHeight="1" x14ac:dyDescent="0.2">
      <c r="A32" s="303" t="s">
        <v>152</v>
      </c>
      <c r="B32" s="304"/>
      <c r="C32" s="172">
        <f>4/(2+3)</f>
        <v>0.8</v>
      </c>
      <c r="D32" s="304"/>
      <c r="E32" s="172">
        <f>(1)/(2+1)</f>
        <v>0.33333333333333331</v>
      </c>
      <c r="F32" s="306"/>
      <c r="G32" s="1239">
        <f>4/(1+5)</f>
        <v>0.66666666666666663</v>
      </c>
      <c r="H32" s="306"/>
      <c r="I32" s="1239">
        <v>0.28999999999999998</v>
      </c>
      <c r="J32" s="306"/>
      <c r="K32" s="1239">
        <f>(3)/(4+1)</f>
        <v>0.6</v>
      </c>
      <c r="L32" s="306"/>
      <c r="M32" s="1239">
        <f>(5+9)/(12+7)</f>
        <v>0.73684210526315785</v>
      </c>
      <c r="N32" s="304"/>
      <c r="O32" s="243">
        <v>1</v>
      </c>
      <c r="P32" s="304"/>
      <c r="Q32" s="1241">
        <f>5/9</f>
        <v>0.55555555555555558</v>
      </c>
      <c r="R32" s="306"/>
      <c r="S32" s="1239"/>
      <c r="T32" s="1242"/>
      <c r="U32" s="1324"/>
      <c r="V32" s="226"/>
      <c r="W32" s="853"/>
      <c r="X32" s="1255">
        <f t="shared" ref="X32:X37" si="5">AVERAGE(O32,M32,K32,S32,Q32)</f>
        <v>0.72309941520467835</v>
      </c>
    </row>
    <row r="33" spans="1:24" ht="15" customHeight="1" x14ac:dyDescent="0.2">
      <c r="A33" s="303" t="s">
        <v>153</v>
      </c>
      <c r="B33" s="304"/>
      <c r="C33" s="172">
        <v>0.8</v>
      </c>
      <c r="D33" s="304"/>
      <c r="E33" s="172">
        <v>0.94</v>
      </c>
      <c r="F33" s="304"/>
      <c r="G33" s="1239">
        <v>0.71</v>
      </c>
      <c r="H33" s="304"/>
      <c r="I33" s="1239">
        <v>0.9</v>
      </c>
      <c r="J33" s="304"/>
      <c r="K33" s="1239">
        <v>0.93</v>
      </c>
      <c r="L33" s="304"/>
      <c r="M33" s="1239">
        <v>0.94</v>
      </c>
      <c r="N33" s="304"/>
      <c r="O33" s="243">
        <v>1</v>
      </c>
      <c r="P33" s="304"/>
      <c r="Q33" s="1241">
        <v>0.86</v>
      </c>
      <c r="R33" s="304"/>
      <c r="S33" s="1239"/>
      <c r="T33" s="1242"/>
      <c r="U33" s="1324"/>
      <c r="V33" s="226"/>
      <c r="W33" s="853"/>
      <c r="X33" s="1255">
        <f t="shared" si="5"/>
        <v>0.9325</v>
      </c>
    </row>
    <row r="34" spans="1:24" ht="15" customHeight="1" x14ac:dyDescent="0.2">
      <c r="A34" s="303" t="s">
        <v>154</v>
      </c>
      <c r="B34" s="304"/>
      <c r="C34" s="172">
        <v>0.71</v>
      </c>
      <c r="D34" s="304"/>
      <c r="E34" s="172">
        <v>0.33</v>
      </c>
      <c r="F34" s="304"/>
      <c r="G34" s="1239">
        <v>0.78</v>
      </c>
      <c r="H34" s="304"/>
      <c r="I34" s="1239">
        <v>0.67</v>
      </c>
      <c r="J34" s="304"/>
      <c r="K34" s="1239">
        <v>0.73</v>
      </c>
      <c r="L34" s="304"/>
      <c r="M34" s="1239">
        <v>0.69</v>
      </c>
      <c r="N34" s="304"/>
      <c r="O34" s="243">
        <v>0.73</v>
      </c>
      <c r="P34" s="304"/>
      <c r="Q34" s="1241">
        <v>0.73</v>
      </c>
      <c r="R34" s="304"/>
      <c r="S34" s="1239"/>
      <c r="T34" s="1242"/>
      <c r="U34" s="1324"/>
      <c r="V34" s="226"/>
      <c r="W34" s="853"/>
      <c r="X34" s="1255">
        <f t="shared" si="5"/>
        <v>0.72</v>
      </c>
    </row>
    <row r="35" spans="1:24" ht="15" customHeight="1" x14ac:dyDescent="0.2">
      <c r="A35" s="305" t="s">
        <v>155</v>
      </c>
      <c r="B35" s="304"/>
      <c r="C35" s="172">
        <f>(1)/(2+3)</f>
        <v>0.2</v>
      </c>
      <c r="D35" s="304"/>
      <c r="E35" s="172">
        <f>(1+1)/(2+1)</f>
        <v>0.66666666666666663</v>
      </c>
      <c r="F35" s="304"/>
      <c r="G35" s="1239">
        <f>(1+1)/(1+5)</f>
        <v>0.33333333333333331</v>
      </c>
      <c r="H35" s="304"/>
      <c r="I35" s="1239">
        <v>0.56999999999999995</v>
      </c>
      <c r="J35" s="304"/>
      <c r="K35" s="1239">
        <f>(1+1)/(4+1)</f>
        <v>0.4</v>
      </c>
      <c r="L35" s="304"/>
      <c r="M35" s="1239">
        <f>(3+2)/(12+7)</f>
        <v>0.26315789473684209</v>
      </c>
      <c r="N35" s="304"/>
      <c r="O35" s="243">
        <v>0</v>
      </c>
      <c r="P35" s="304"/>
      <c r="Q35" s="1241">
        <v>0.33</v>
      </c>
      <c r="R35" s="304"/>
      <c r="S35" s="1239"/>
      <c r="T35" s="1242"/>
      <c r="U35" s="1324"/>
      <c r="V35" s="226"/>
      <c r="W35" s="853"/>
      <c r="X35" s="1255">
        <f t="shared" si="5"/>
        <v>0.24828947368421056</v>
      </c>
    </row>
    <row r="36" spans="1:24" ht="15" customHeight="1" x14ac:dyDescent="0.2">
      <c r="A36" s="305" t="s">
        <v>156</v>
      </c>
      <c r="B36" s="304"/>
      <c r="C36" s="172">
        <v>0.1</v>
      </c>
      <c r="D36" s="304"/>
      <c r="E36" s="172">
        <v>0.06</v>
      </c>
      <c r="F36" s="304"/>
      <c r="G36" s="1239">
        <v>0.14000000000000001</v>
      </c>
      <c r="H36" s="304"/>
      <c r="I36" s="1239">
        <v>0</v>
      </c>
      <c r="J36" s="304"/>
      <c r="K36" s="1239">
        <v>7.0000000000000007E-2</v>
      </c>
      <c r="L36" s="304"/>
      <c r="M36" s="1239">
        <v>0.06</v>
      </c>
      <c r="N36" s="304"/>
      <c r="O36" s="243">
        <v>0</v>
      </c>
      <c r="P36" s="304"/>
      <c r="Q36" s="1241">
        <v>0.1</v>
      </c>
      <c r="R36" s="304"/>
      <c r="S36" s="1239"/>
      <c r="T36" s="1242"/>
      <c r="U36" s="1324"/>
      <c r="V36" s="226"/>
      <c r="W36" s="853"/>
      <c r="X36" s="1255">
        <f t="shared" si="5"/>
        <v>5.7500000000000002E-2</v>
      </c>
    </row>
    <row r="37" spans="1:24" ht="15" customHeight="1" thickBot="1" x14ac:dyDescent="0.25">
      <c r="A37" s="539" t="s">
        <v>157</v>
      </c>
      <c r="B37" s="546"/>
      <c r="C37" s="547">
        <v>0</v>
      </c>
      <c r="D37" s="546"/>
      <c r="E37" s="547">
        <v>0.25</v>
      </c>
      <c r="F37" s="546"/>
      <c r="G37" s="1240">
        <v>0.11</v>
      </c>
      <c r="H37" s="546"/>
      <c r="I37" s="1240">
        <v>0.33</v>
      </c>
      <c r="J37" s="546"/>
      <c r="K37" s="1240">
        <v>0.18</v>
      </c>
      <c r="L37" s="546"/>
      <c r="M37" s="1240">
        <v>0.19</v>
      </c>
      <c r="N37" s="546"/>
      <c r="O37" s="548">
        <v>0.13</v>
      </c>
      <c r="P37" s="546"/>
      <c r="Q37" s="1243">
        <v>0.18</v>
      </c>
      <c r="R37" s="546"/>
      <c r="S37" s="1240"/>
      <c r="T37" s="1244"/>
      <c r="U37" s="1325"/>
      <c r="V37" s="226"/>
      <c r="W37" s="854"/>
      <c r="X37" s="1255">
        <f t="shared" si="5"/>
        <v>0.16999999999999998</v>
      </c>
    </row>
    <row r="38" spans="1:24" ht="18" customHeight="1" thickTop="1" thickBot="1" x14ac:dyDescent="0.25">
      <c r="A38" s="221" t="s">
        <v>78</v>
      </c>
      <c r="B38" s="1380"/>
      <c r="C38" s="1381"/>
      <c r="D38" s="1380"/>
      <c r="E38" s="1381"/>
      <c r="F38" s="1380"/>
      <c r="G38" s="1381"/>
      <c r="H38" s="1380"/>
      <c r="I38" s="1381"/>
      <c r="J38" s="1380"/>
      <c r="K38" s="1381"/>
      <c r="L38" s="1380"/>
      <c r="M38" s="1381"/>
      <c r="N38" s="1380"/>
      <c r="O38" s="1381"/>
      <c r="P38" s="1380"/>
      <c r="Q38" s="1381"/>
      <c r="R38" s="1380"/>
      <c r="S38" s="1381"/>
      <c r="T38" s="1380"/>
      <c r="U38" s="1383"/>
      <c r="V38" s="226"/>
      <c r="W38" s="1382"/>
      <c r="X38" s="1383"/>
    </row>
    <row r="39" spans="1:24" ht="15" customHeight="1" x14ac:dyDescent="0.2">
      <c r="A39" s="510" t="s">
        <v>149</v>
      </c>
      <c r="B39" s="459"/>
      <c r="C39" s="506">
        <v>25</v>
      </c>
      <c r="D39" s="507"/>
      <c r="E39" s="506">
        <v>24.7</v>
      </c>
      <c r="F39" s="759"/>
      <c r="G39" s="760">
        <v>26.6</v>
      </c>
      <c r="H39" s="759"/>
      <c r="I39" s="760">
        <v>26.9</v>
      </c>
      <c r="J39" s="759"/>
      <c r="K39" s="760">
        <v>27.1</v>
      </c>
      <c r="L39" s="759"/>
      <c r="M39" s="760">
        <v>26.8</v>
      </c>
      <c r="N39" s="759"/>
      <c r="O39" s="760">
        <v>25.9</v>
      </c>
      <c r="P39" s="759"/>
      <c r="Q39" s="760">
        <v>27.2</v>
      </c>
      <c r="R39" s="759"/>
      <c r="S39" s="760">
        <v>27.8</v>
      </c>
      <c r="T39" s="761"/>
      <c r="U39" s="762"/>
      <c r="V39" s="226"/>
      <c r="W39" s="513"/>
      <c r="X39" s="647">
        <f>AVERAGE(O39,M39,U39,S39,Q39)</f>
        <v>26.925000000000001</v>
      </c>
    </row>
    <row r="40" spans="1:24" ht="15" customHeight="1" x14ac:dyDescent="0.2">
      <c r="A40" s="512" t="s">
        <v>150</v>
      </c>
      <c r="B40" s="505"/>
      <c r="C40" s="508">
        <v>25.8</v>
      </c>
      <c r="D40" s="509"/>
      <c r="E40" s="508">
        <v>25.5</v>
      </c>
      <c r="F40" s="763"/>
      <c r="G40" s="764">
        <v>25.2</v>
      </c>
      <c r="H40" s="763"/>
      <c r="I40" s="764">
        <v>24.9</v>
      </c>
      <c r="J40" s="763"/>
      <c r="K40" s="764">
        <v>25</v>
      </c>
      <c r="L40" s="763"/>
      <c r="M40" s="764">
        <v>26</v>
      </c>
      <c r="N40" s="763"/>
      <c r="O40" s="764">
        <v>25.8</v>
      </c>
      <c r="P40" s="763"/>
      <c r="Q40" s="764">
        <v>26.1</v>
      </c>
      <c r="R40" s="763"/>
      <c r="S40" s="764">
        <v>25.1</v>
      </c>
      <c r="T40" s="765"/>
      <c r="U40" s="766"/>
      <c r="V40" s="226"/>
      <c r="W40" s="514"/>
      <c r="X40" s="647">
        <f t="shared" ref="X40:X41" si="6">AVERAGE(O40,M40,U40,S40,Q40)</f>
        <v>25.75</v>
      </c>
    </row>
    <row r="41" spans="1:24" ht="15" customHeight="1" thickBot="1" x14ac:dyDescent="0.25">
      <c r="A41" s="511" t="s">
        <v>151</v>
      </c>
      <c r="B41" s="502"/>
      <c r="C41" s="503">
        <v>23.9</v>
      </c>
      <c r="D41" s="502"/>
      <c r="E41" s="503">
        <v>24.9</v>
      </c>
      <c r="F41" s="767"/>
      <c r="G41" s="768">
        <v>23.3</v>
      </c>
      <c r="H41" s="767"/>
      <c r="I41" s="768">
        <v>23.4</v>
      </c>
      <c r="J41" s="767"/>
      <c r="K41" s="768">
        <v>22.8</v>
      </c>
      <c r="L41" s="767"/>
      <c r="M41" s="768">
        <v>23.9</v>
      </c>
      <c r="N41" s="767"/>
      <c r="O41" s="768">
        <v>22.9</v>
      </c>
      <c r="P41" s="767"/>
      <c r="Q41" s="768">
        <v>24.1</v>
      </c>
      <c r="R41" s="767"/>
      <c r="S41" s="768">
        <v>24.2</v>
      </c>
      <c r="T41" s="767"/>
      <c r="U41" s="769"/>
      <c r="V41" s="226"/>
      <c r="W41" s="515"/>
      <c r="X41" s="647">
        <f t="shared" si="6"/>
        <v>23.774999999999999</v>
      </c>
    </row>
    <row r="42" spans="1:24" ht="18" customHeight="1" thickTop="1" thickBot="1" x14ac:dyDescent="0.25">
      <c r="A42" s="314" t="s">
        <v>22</v>
      </c>
      <c r="B42" s="1380"/>
      <c r="C42" s="1381"/>
      <c r="D42" s="1380"/>
      <c r="E42" s="1381"/>
      <c r="F42" s="1380"/>
      <c r="G42" s="1381"/>
      <c r="H42" s="1380"/>
      <c r="I42" s="1381"/>
      <c r="J42" s="1380"/>
      <c r="K42" s="1381"/>
      <c r="L42" s="1380"/>
      <c r="M42" s="1381"/>
      <c r="N42" s="1380"/>
      <c r="O42" s="1381"/>
      <c r="P42" s="1380"/>
      <c r="Q42" s="1381"/>
      <c r="R42" s="1380"/>
      <c r="S42" s="1381"/>
      <c r="T42" s="1380"/>
      <c r="U42" s="1383"/>
      <c r="V42" s="226"/>
      <c r="W42" s="1382"/>
      <c r="X42" s="1383"/>
    </row>
    <row r="43" spans="1:24" ht="15" customHeight="1" x14ac:dyDescent="0.2">
      <c r="A43" s="305" t="s">
        <v>24</v>
      </c>
      <c r="B43" s="315"/>
      <c r="C43" s="48">
        <f>5587+447+1065</f>
        <v>7099</v>
      </c>
      <c r="D43" s="45"/>
      <c r="E43" s="47">
        <f>5977+603+829</f>
        <v>7409</v>
      </c>
      <c r="F43" s="46"/>
      <c r="G43" s="47">
        <f>5896+380+819</f>
        <v>7095</v>
      </c>
      <c r="H43" s="46"/>
      <c r="I43" s="47">
        <f>511+3482+3528</f>
        <v>7521</v>
      </c>
      <c r="J43" s="46"/>
      <c r="K43" s="47">
        <f>6297+123+132+433+106+458</f>
        <v>7549</v>
      </c>
      <c r="L43" s="46"/>
      <c r="M43" s="47">
        <v>8283</v>
      </c>
      <c r="N43" s="46"/>
      <c r="O43" s="47">
        <v>8645</v>
      </c>
      <c r="P43" s="46"/>
      <c r="Q43" s="47">
        <v>8500</v>
      </c>
      <c r="R43" s="46"/>
      <c r="S43" s="47">
        <v>8579</v>
      </c>
      <c r="T43" s="315"/>
      <c r="U43" s="1273"/>
      <c r="V43" s="226"/>
      <c r="W43" s="50"/>
      <c r="X43" s="51">
        <f>AVERAGE(O43,M43,S43,K43,Q43)</f>
        <v>8311.2000000000007</v>
      </c>
    </row>
    <row r="44" spans="1:24" ht="15" customHeight="1" x14ac:dyDescent="0.2">
      <c r="A44" s="305" t="s">
        <v>25</v>
      </c>
      <c r="B44" s="315"/>
      <c r="C44" s="48">
        <f>2862+648+1224</f>
        <v>4734</v>
      </c>
      <c r="D44" s="45"/>
      <c r="E44" s="47">
        <f>2433+614+1075</f>
        <v>4122</v>
      </c>
      <c r="F44" s="46"/>
      <c r="G44" s="47">
        <f>2757+733+974</f>
        <v>4464</v>
      </c>
      <c r="H44" s="46"/>
      <c r="I44" s="47">
        <f>224+2149+2304</f>
        <v>4677</v>
      </c>
      <c r="J44" s="46"/>
      <c r="K44" s="47">
        <f>3006+57+40+301+382+475+468</f>
        <v>4729</v>
      </c>
      <c r="L44" s="46"/>
      <c r="M44" s="47">
        <v>4761</v>
      </c>
      <c r="N44" s="46"/>
      <c r="O44" s="47">
        <v>4997</v>
      </c>
      <c r="P44" s="46"/>
      <c r="Q44" s="47">
        <v>5084</v>
      </c>
      <c r="R44" s="46"/>
      <c r="S44" s="47">
        <v>4722</v>
      </c>
      <c r="T44" s="315"/>
      <c r="U44" s="1273"/>
      <c r="V44" s="226"/>
      <c r="W44" s="52"/>
      <c r="X44" s="51">
        <f t="shared" ref="X44:X47" si="7">AVERAGE(O44,M44,S44,K44,Q44)</f>
        <v>4858.6000000000004</v>
      </c>
    </row>
    <row r="45" spans="1:24" ht="15" customHeight="1" x14ac:dyDescent="0.2">
      <c r="A45" s="305" t="s">
        <v>26</v>
      </c>
      <c r="B45" s="315"/>
      <c r="C45" s="48">
        <f>631+468</f>
        <v>1099</v>
      </c>
      <c r="D45" s="45"/>
      <c r="E45" s="47">
        <f>523+356</f>
        <v>879</v>
      </c>
      <c r="F45" s="46"/>
      <c r="G45" s="47">
        <f>531+361</f>
        <v>892</v>
      </c>
      <c r="H45" s="46"/>
      <c r="I45" s="47">
        <f>497+359+399</f>
        <v>1255</v>
      </c>
      <c r="J45" s="46"/>
      <c r="K45" s="47">
        <f>576+45+184+222</f>
        <v>1027</v>
      </c>
      <c r="L45" s="46"/>
      <c r="M45" s="47">
        <v>1006</v>
      </c>
      <c r="N45" s="46"/>
      <c r="O45" s="47">
        <v>1100</v>
      </c>
      <c r="P45" s="46"/>
      <c r="Q45" s="47">
        <v>877</v>
      </c>
      <c r="R45" s="46"/>
      <c r="S45" s="47">
        <v>843</v>
      </c>
      <c r="T45" s="315"/>
      <c r="U45" s="1273"/>
      <c r="V45" s="226"/>
      <c r="W45" s="52"/>
      <c r="X45" s="51">
        <f t="shared" si="7"/>
        <v>970.6</v>
      </c>
    </row>
    <row r="46" spans="1:24" ht="15" customHeight="1" thickBot="1" x14ac:dyDescent="0.25">
      <c r="A46" s="1237" t="s">
        <v>27</v>
      </c>
      <c r="B46" s="83"/>
      <c r="C46" s="54">
        <v>0</v>
      </c>
      <c r="D46" s="45"/>
      <c r="E46" s="53">
        <v>0</v>
      </c>
      <c r="F46" s="46"/>
      <c r="G46" s="53">
        <v>0</v>
      </c>
      <c r="H46" s="46"/>
      <c r="I46" s="53">
        <v>0</v>
      </c>
      <c r="J46" s="46"/>
      <c r="K46" s="53">
        <v>0</v>
      </c>
      <c r="L46" s="46"/>
      <c r="M46" s="53">
        <v>0</v>
      </c>
      <c r="N46" s="46"/>
      <c r="O46" s="53">
        <v>0</v>
      </c>
      <c r="P46" s="46"/>
      <c r="Q46" s="53">
        <v>0</v>
      </c>
      <c r="R46" s="46"/>
      <c r="S46" s="53">
        <v>0</v>
      </c>
      <c r="T46" s="83"/>
      <c r="U46" s="1274"/>
      <c r="V46" s="226"/>
      <c r="W46" s="63"/>
      <c r="X46" s="484">
        <f t="shared" si="7"/>
        <v>0</v>
      </c>
    </row>
    <row r="47" spans="1:24" ht="15" customHeight="1" thickBot="1" x14ac:dyDescent="0.25">
      <c r="A47" s="1236" t="s">
        <v>28</v>
      </c>
      <c r="B47" s="328"/>
      <c r="C47" s="329">
        <f>SUM(C43:C46)</f>
        <v>12932</v>
      </c>
      <c r="D47" s="330"/>
      <c r="E47" s="331">
        <f>SUM(E43:E46)</f>
        <v>12410</v>
      </c>
      <c r="F47" s="328"/>
      <c r="G47" s="331">
        <f>SUM(G43:G46)</f>
        <v>12451</v>
      </c>
      <c r="H47" s="328"/>
      <c r="I47" s="331">
        <f>SUM(I43:I46)</f>
        <v>13453</v>
      </c>
      <c r="J47" s="328"/>
      <c r="K47" s="331">
        <f>SUM(K43:K46)</f>
        <v>13305</v>
      </c>
      <c r="L47" s="328"/>
      <c r="M47" s="331">
        <f>SUM(M43:M46)</f>
        <v>14050</v>
      </c>
      <c r="N47" s="328"/>
      <c r="O47" s="331">
        <f>SUM(O43:O46)</f>
        <v>14742</v>
      </c>
      <c r="P47" s="328"/>
      <c r="Q47" s="331">
        <f>SUM(Q43:Q46)</f>
        <v>14461</v>
      </c>
      <c r="R47" s="328"/>
      <c r="S47" s="331">
        <f>SUM(S43:S46)</f>
        <v>14144</v>
      </c>
      <c r="T47" s="328"/>
      <c r="U47" s="1277">
        <f>SUM(U43:U46)</f>
        <v>0</v>
      </c>
      <c r="V47" s="226"/>
      <c r="W47" s="485"/>
      <c r="X47" s="486">
        <f t="shared" si="7"/>
        <v>14140.4</v>
      </c>
    </row>
    <row r="48" spans="1:24" ht="15" customHeight="1" thickTop="1" thickBot="1" x14ac:dyDescent="0.25">
      <c r="A48" s="280"/>
      <c r="B48" s="332"/>
      <c r="C48" s="333"/>
      <c r="D48" s="332"/>
      <c r="E48" s="333"/>
      <c r="F48" s="332"/>
      <c r="G48" s="333"/>
      <c r="H48" s="332"/>
      <c r="I48" s="333"/>
      <c r="J48" s="332"/>
      <c r="K48" s="333"/>
      <c r="L48" s="332"/>
      <c r="M48" s="333"/>
      <c r="N48" s="332"/>
      <c r="O48" s="333"/>
      <c r="P48" s="332"/>
      <c r="Q48" s="333"/>
      <c r="R48" s="332"/>
      <c r="S48" s="333"/>
      <c r="T48" s="332"/>
      <c r="U48" s="333"/>
      <c r="V48" s="334"/>
      <c r="W48" s="335"/>
      <c r="X48" s="333"/>
    </row>
    <row r="49" spans="1:27" ht="18" customHeight="1" thickTop="1" thickBot="1" x14ac:dyDescent="0.25">
      <c r="A49" s="175" t="s">
        <v>29</v>
      </c>
      <c r="B49" s="1385" t="s">
        <v>30</v>
      </c>
      <c r="C49" s="1395"/>
      <c r="D49" s="1385" t="s">
        <v>31</v>
      </c>
      <c r="E49" s="1396"/>
      <c r="F49" s="1385" t="s">
        <v>32</v>
      </c>
      <c r="G49" s="1396"/>
      <c r="H49" s="1385" t="s">
        <v>33</v>
      </c>
      <c r="I49" s="1396"/>
      <c r="J49" s="1385" t="s">
        <v>34</v>
      </c>
      <c r="K49" s="1396"/>
      <c r="L49" s="1385" t="s">
        <v>35</v>
      </c>
      <c r="M49" s="1396"/>
      <c r="N49" s="1385" t="s">
        <v>36</v>
      </c>
      <c r="O49" s="1396"/>
      <c r="P49" s="1385" t="s">
        <v>37</v>
      </c>
      <c r="Q49" s="1396"/>
      <c r="R49" s="1385" t="s">
        <v>38</v>
      </c>
      <c r="S49" s="1396"/>
      <c r="T49" s="1385" t="s">
        <v>302</v>
      </c>
      <c r="U49" s="1386"/>
      <c r="V49" s="869"/>
      <c r="W49" s="1382" t="s">
        <v>9</v>
      </c>
      <c r="X49" s="1383"/>
      <c r="Y49" s="56"/>
      <c r="Z49" s="56"/>
      <c r="AA49" s="57"/>
    </row>
    <row r="50" spans="1:27" ht="15" customHeight="1" x14ac:dyDescent="0.2">
      <c r="A50" s="1070" t="s">
        <v>244</v>
      </c>
      <c r="B50" s="289"/>
      <c r="C50" s="290"/>
      <c r="D50" s="291"/>
      <c r="E50" s="292"/>
      <c r="F50" s="293"/>
      <c r="G50" s="292"/>
      <c r="H50" s="293"/>
      <c r="I50" s="292"/>
      <c r="J50" s="293"/>
      <c r="K50" s="292"/>
      <c r="L50" s="46"/>
      <c r="M50" s="421">
        <v>0.36899999999999999</v>
      </c>
      <c r="N50" s="46"/>
      <c r="O50" s="421">
        <v>0.34899999999999998</v>
      </c>
      <c r="P50" s="46"/>
      <c r="Q50" s="421">
        <v>0.34899999999999998</v>
      </c>
      <c r="R50" s="46"/>
      <c r="S50" s="421">
        <v>0.36199999999999999</v>
      </c>
      <c r="T50" s="181"/>
      <c r="U50" s="182">
        <v>0.38600000000000001</v>
      </c>
      <c r="V50" s="651"/>
      <c r="W50" s="469"/>
      <c r="X50" s="594">
        <f>AVERAGE(Q50,O50,M50,U50,S50)</f>
        <v>0.36299999999999999</v>
      </c>
      <c r="Y50" s="56"/>
      <c r="Z50" s="56"/>
      <c r="AA50" s="57"/>
    </row>
    <row r="51" spans="1:27" ht="15" customHeight="1" x14ac:dyDescent="0.2">
      <c r="A51" s="1069" t="s">
        <v>245</v>
      </c>
      <c r="B51" s="294"/>
      <c r="C51" s="295"/>
      <c r="D51" s="294"/>
      <c r="E51" s="295"/>
      <c r="F51" s="296"/>
      <c r="G51" s="295"/>
      <c r="H51" s="296"/>
      <c r="I51" s="295"/>
      <c r="J51" s="296"/>
      <c r="K51" s="295"/>
      <c r="L51" s="46"/>
      <c r="M51" s="421">
        <v>4.9000000000000002E-2</v>
      </c>
      <c r="N51" s="46"/>
      <c r="O51" s="421">
        <v>4.3999999999999997E-2</v>
      </c>
      <c r="P51" s="46"/>
      <c r="Q51" s="421">
        <v>3.3000000000000002E-2</v>
      </c>
      <c r="R51" s="46"/>
      <c r="S51" s="421">
        <v>3.9E-2</v>
      </c>
      <c r="T51" s="186"/>
      <c r="U51" s="187">
        <v>3.1E-2</v>
      </c>
      <c r="V51" s="651"/>
      <c r="W51" s="469"/>
      <c r="X51" s="594">
        <f>AVERAGE(Q51,O51,M51,U51,S51)</f>
        <v>3.9199999999999999E-2</v>
      </c>
      <c r="Y51" s="56"/>
      <c r="Z51" s="56"/>
      <c r="AA51" s="57"/>
    </row>
    <row r="52" spans="1:27" ht="15" customHeight="1" thickBot="1" x14ac:dyDescent="0.25">
      <c r="A52" s="189" t="s">
        <v>243</v>
      </c>
      <c r="B52" s="1409"/>
      <c r="C52" s="1410"/>
      <c r="D52" s="1409"/>
      <c r="E52" s="1410"/>
      <c r="F52" s="1409"/>
      <c r="G52" s="1410"/>
      <c r="H52" s="1409"/>
      <c r="I52" s="1410"/>
      <c r="J52" s="1409"/>
      <c r="K52" s="1410"/>
      <c r="L52" s="1403">
        <f>1-M50-M51</f>
        <v>0.58199999999999996</v>
      </c>
      <c r="M52" s="1404"/>
      <c r="N52" s="1403">
        <f>1-O50-O51</f>
        <v>0.60699999999999998</v>
      </c>
      <c r="O52" s="1404"/>
      <c r="P52" s="1403">
        <f>1-Q50-Q51</f>
        <v>0.61799999999999999</v>
      </c>
      <c r="Q52" s="1404"/>
      <c r="R52" s="1403">
        <f>1-S50-S51</f>
        <v>0.59899999999999998</v>
      </c>
      <c r="S52" s="1404"/>
      <c r="T52" s="1403">
        <f>1-U50-U51</f>
        <v>0.58299999999999996</v>
      </c>
      <c r="U52" s="1406"/>
      <c r="V52" s="651"/>
      <c r="W52" s="1390">
        <f>1-X50-X51</f>
        <v>0.5978</v>
      </c>
      <c r="X52" s="1391"/>
      <c r="Y52" s="56"/>
      <c r="Z52" s="56"/>
      <c r="AA52" s="57"/>
    </row>
    <row r="53" spans="1:27" s="3" customFormat="1" ht="18" customHeight="1" thickTop="1" thickBot="1" x14ac:dyDescent="0.25">
      <c r="A53" s="194" t="s">
        <v>67</v>
      </c>
      <c r="B53" s="227" t="s">
        <v>39</v>
      </c>
      <c r="C53" s="228" t="s">
        <v>74</v>
      </c>
      <c r="D53" s="227" t="s">
        <v>39</v>
      </c>
      <c r="E53" s="228" t="s">
        <v>74</v>
      </c>
      <c r="F53" s="227" t="s">
        <v>39</v>
      </c>
      <c r="G53" s="228" t="s">
        <v>74</v>
      </c>
      <c r="H53" s="227" t="s">
        <v>39</v>
      </c>
      <c r="I53" s="228" t="s">
        <v>74</v>
      </c>
      <c r="J53" s="227" t="s">
        <v>39</v>
      </c>
      <c r="K53" s="228" t="s">
        <v>74</v>
      </c>
      <c r="L53" s="227" t="s">
        <v>39</v>
      </c>
      <c r="M53" s="228" t="s">
        <v>74</v>
      </c>
      <c r="N53" s="227" t="s">
        <v>39</v>
      </c>
      <c r="O53" s="228" t="s">
        <v>74</v>
      </c>
      <c r="P53" s="227" t="s">
        <v>39</v>
      </c>
      <c r="Q53" s="228" t="s">
        <v>74</v>
      </c>
      <c r="R53" s="227" t="s">
        <v>39</v>
      </c>
      <c r="S53" s="228" t="s">
        <v>74</v>
      </c>
      <c r="T53" s="227" t="s">
        <v>39</v>
      </c>
      <c r="U53" s="229" t="s">
        <v>74</v>
      </c>
      <c r="V53" s="230"/>
      <c r="W53" s="231" t="s">
        <v>39</v>
      </c>
      <c r="X53" s="232" t="s">
        <v>40</v>
      </c>
    </row>
    <row r="54" spans="1:27" ht="15" customHeight="1" x14ac:dyDescent="0.2">
      <c r="A54" s="233" t="s">
        <v>226</v>
      </c>
      <c r="B54" s="234"/>
      <c r="C54" s="235">
        <f>B54/SUM(B18)</f>
        <v>0</v>
      </c>
      <c r="D54" s="234"/>
      <c r="E54" s="235">
        <f>D54/SUM(D18)</f>
        <v>0</v>
      </c>
      <c r="F54" s="234"/>
      <c r="G54" s="235">
        <f>F54/SUM(F18)</f>
        <v>0</v>
      </c>
      <c r="H54" s="234">
        <v>10</v>
      </c>
      <c r="I54" s="235">
        <f>H54/SUM(H18)</f>
        <v>0.35714285714285715</v>
      </c>
      <c r="J54" s="234">
        <v>10</v>
      </c>
      <c r="K54" s="235">
        <f>J54/SUM(J18)</f>
        <v>0.34482758620689657</v>
      </c>
      <c r="L54" s="234">
        <v>8</v>
      </c>
      <c r="M54" s="235">
        <f>L54/SUM(L18)</f>
        <v>0.33333333333333331</v>
      </c>
      <c r="N54" s="234">
        <v>10</v>
      </c>
      <c r="O54" s="235">
        <f>N54/SUM(N18)</f>
        <v>0.5</v>
      </c>
      <c r="P54" s="234">
        <v>9</v>
      </c>
      <c r="Q54" s="235">
        <f>P54/SUM(P18)</f>
        <v>0.45</v>
      </c>
      <c r="R54" s="234">
        <v>9</v>
      </c>
      <c r="S54" s="235">
        <f>R54/SUM(R18)</f>
        <v>0.52941176470588236</v>
      </c>
      <c r="T54" s="234"/>
      <c r="U54" s="236">
        <f>T54/SUM(T18)</f>
        <v>0</v>
      </c>
      <c r="V54" s="643"/>
      <c r="W54" s="237">
        <f>AVERAGE(N54,L54,R54,T54,P54)</f>
        <v>9</v>
      </c>
      <c r="X54" s="480">
        <f>W54/W18</f>
        <v>0.45918367346938771</v>
      </c>
    </row>
    <row r="55" spans="1:27" ht="15" customHeight="1" thickBot="1" x14ac:dyDescent="0.25">
      <c r="A55" s="238" t="s">
        <v>227</v>
      </c>
      <c r="B55" s="239"/>
      <c r="C55" s="240">
        <v>0</v>
      </c>
      <c r="D55" s="239"/>
      <c r="E55" s="240">
        <v>0</v>
      </c>
      <c r="F55" s="239"/>
      <c r="G55" s="240">
        <v>0</v>
      </c>
      <c r="H55" s="239">
        <v>11</v>
      </c>
      <c r="I55" s="240">
        <f>H55/SUM(H29)</f>
        <v>0.6470588235294118</v>
      </c>
      <c r="J55" s="239">
        <v>14</v>
      </c>
      <c r="K55" s="240">
        <f>J55/SUM(J29)</f>
        <v>0.7</v>
      </c>
      <c r="L55" s="239">
        <v>17</v>
      </c>
      <c r="M55" s="240">
        <f>L55/SUM(L29)</f>
        <v>0.73913043478260865</v>
      </c>
      <c r="N55" s="239">
        <v>12</v>
      </c>
      <c r="O55" s="240">
        <f>N55/SUM(N29)</f>
        <v>0.6</v>
      </c>
      <c r="P55" s="239">
        <v>12</v>
      </c>
      <c r="Q55" s="240">
        <f>P55/SUM(P29)</f>
        <v>0.52173913043478259</v>
      </c>
      <c r="R55" s="239">
        <v>13</v>
      </c>
      <c r="S55" s="240">
        <f>R55/SUM(R29)</f>
        <v>0.68421052631578949</v>
      </c>
      <c r="T55" s="239"/>
      <c r="U55" s="241">
        <f>T55/SUM(T29)</f>
        <v>0</v>
      </c>
      <c r="V55" s="644"/>
      <c r="W55" s="242">
        <f>AVERAGE(N55,L55,R55,T55,P55)</f>
        <v>13.5</v>
      </c>
      <c r="X55" s="241">
        <f>W55/W29</f>
        <v>0.66831683168316836</v>
      </c>
    </row>
    <row r="56" spans="1:27" s="85" customFormat="1" ht="15" customHeight="1" thickTop="1" x14ac:dyDescent="0.2">
      <c r="A56" s="37" t="s">
        <v>288</v>
      </c>
      <c r="B56" s="650"/>
      <c r="C56" s="650"/>
      <c r="D56" s="650"/>
      <c r="E56" s="650"/>
      <c r="F56" s="650"/>
      <c r="G56" s="650"/>
      <c r="H56" s="650"/>
      <c r="I56" s="650"/>
      <c r="J56" s="650"/>
      <c r="K56" s="650"/>
      <c r="L56" s="650"/>
      <c r="M56" s="650"/>
      <c r="N56" s="650"/>
      <c r="O56" s="650"/>
      <c r="P56" s="650"/>
      <c r="Q56" s="650"/>
      <c r="R56" s="650"/>
      <c r="S56" s="650"/>
      <c r="T56" s="650"/>
      <c r="U56" s="650"/>
      <c r="V56" s="651"/>
      <c r="W56" s="650"/>
      <c r="X56" s="650"/>
      <c r="Y56" s="56"/>
      <c r="Z56" s="56"/>
      <c r="AA56" s="57"/>
    </row>
    <row r="57" spans="1:27" s="85" customFormat="1" ht="15" customHeight="1" thickBot="1" x14ac:dyDescent="0.25">
      <c r="A57" s="37"/>
      <c r="B57" s="650"/>
      <c r="C57" s="650"/>
      <c r="D57" s="650"/>
      <c r="E57" s="650"/>
      <c r="F57" s="650"/>
      <c r="G57" s="650"/>
      <c r="H57" s="650"/>
      <c r="I57" s="650"/>
      <c r="J57" s="650"/>
      <c r="K57" s="650"/>
      <c r="L57" s="650"/>
      <c r="M57" s="650"/>
      <c r="N57" s="650"/>
      <c r="O57" s="650"/>
      <c r="P57" s="650"/>
      <c r="Q57" s="650"/>
      <c r="R57" s="650"/>
      <c r="S57" s="650"/>
      <c r="T57" s="650"/>
      <c r="U57" s="650"/>
      <c r="V57" s="651"/>
      <c r="W57" s="650"/>
      <c r="X57" s="650"/>
      <c r="Y57" s="56"/>
      <c r="Z57" s="56"/>
      <c r="AA57" s="57"/>
    </row>
    <row r="58" spans="1:27" s="1" customFormat="1" ht="18.75" customHeight="1" thickTop="1" thickBot="1" x14ac:dyDescent="0.25">
      <c r="A58" s="175" t="s">
        <v>247</v>
      </c>
      <c r="B58" s="1385" t="s">
        <v>30</v>
      </c>
      <c r="C58" s="1395"/>
      <c r="D58" s="1385" t="s">
        <v>31</v>
      </c>
      <c r="E58" s="1396"/>
      <c r="F58" s="1385" t="s">
        <v>32</v>
      </c>
      <c r="G58" s="1396"/>
      <c r="H58" s="1385" t="s">
        <v>33</v>
      </c>
      <c r="I58" s="1396"/>
      <c r="J58" s="1385" t="s">
        <v>34</v>
      </c>
      <c r="K58" s="1396"/>
      <c r="L58" s="1385" t="s">
        <v>35</v>
      </c>
      <c r="M58" s="1396"/>
      <c r="N58" s="1385" t="s">
        <v>36</v>
      </c>
      <c r="O58" s="1396"/>
      <c r="P58" s="1385" t="s">
        <v>37</v>
      </c>
      <c r="Q58" s="1396"/>
      <c r="R58" s="1385" t="s">
        <v>38</v>
      </c>
      <c r="S58" s="1396"/>
      <c r="T58" s="1385" t="s">
        <v>302</v>
      </c>
      <c r="U58" s="1386"/>
      <c r="V58" s="195"/>
      <c r="W58" s="1382" t="s">
        <v>9</v>
      </c>
      <c r="X58" s="1383"/>
    </row>
    <row r="59" spans="1:27" s="1" customFormat="1" ht="24" x14ac:dyDescent="0.2">
      <c r="A59" s="715" t="s">
        <v>289</v>
      </c>
      <c r="B59" s="711"/>
      <c r="C59" s="529"/>
      <c r="D59" s="711"/>
      <c r="E59" s="712"/>
      <c r="F59" s="711"/>
      <c r="G59" s="712"/>
      <c r="H59" s="711"/>
      <c r="I59" s="712"/>
      <c r="J59" s="711"/>
      <c r="K59" s="712"/>
      <c r="L59" s="711"/>
      <c r="M59" s="712"/>
      <c r="N59" s="711"/>
      <c r="O59" s="712"/>
      <c r="P59" s="711"/>
      <c r="Q59" s="712"/>
      <c r="R59" s="711"/>
      <c r="S59" s="712"/>
      <c r="T59" s="713"/>
      <c r="U59" s="714"/>
      <c r="V59" s="195"/>
      <c r="W59" s="272"/>
      <c r="X59" s="271"/>
    </row>
    <row r="60" spans="1:27" s="1" customFormat="1" ht="24" x14ac:dyDescent="0.2">
      <c r="A60" s="721" t="s">
        <v>237</v>
      </c>
      <c r="B60" s="296"/>
      <c r="C60" s="656"/>
      <c r="D60" s="296"/>
      <c r="E60" s="656"/>
      <c r="F60" s="296"/>
      <c r="G60" s="656"/>
      <c r="H60" s="296"/>
      <c r="I60" s="656"/>
      <c r="J60" s="296"/>
      <c r="K60" s="656"/>
      <c r="L60" s="186"/>
      <c r="M60" s="653">
        <v>38</v>
      </c>
      <c r="N60" s="186"/>
      <c r="O60" s="653">
        <v>38</v>
      </c>
      <c r="P60" s="186"/>
      <c r="Q60" s="653">
        <v>38</v>
      </c>
      <c r="R60" s="186"/>
      <c r="S60" s="653">
        <v>36</v>
      </c>
      <c r="T60" s="654"/>
      <c r="U60" s="659"/>
      <c r="V60" s="195"/>
      <c r="W60" s="347"/>
      <c r="X60" s="659">
        <f>AVERAGE(O60,M60,S60,U60,Q60)</f>
        <v>37.5</v>
      </c>
    </row>
    <row r="61" spans="1:27" s="1" customFormat="1" ht="24" x14ac:dyDescent="0.2">
      <c r="A61" s="721" t="s">
        <v>239</v>
      </c>
      <c r="B61" s="958"/>
      <c r="C61" s="959"/>
      <c r="D61" s="958"/>
      <c r="E61" s="959"/>
      <c r="F61" s="958"/>
      <c r="G61" s="959"/>
      <c r="H61" s="958"/>
      <c r="I61" s="959"/>
      <c r="J61" s="958"/>
      <c r="K61" s="959"/>
      <c r="L61" s="654"/>
      <c r="M61" s="716">
        <v>38</v>
      </c>
      <c r="N61" s="654"/>
      <c r="O61" s="716">
        <v>37</v>
      </c>
      <c r="P61" s="654"/>
      <c r="Q61" s="716">
        <v>38</v>
      </c>
      <c r="R61" s="654"/>
      <c r="S61" s="716">
        <v>36</v>
      </c>
      <c r="T61" s="654"/>
      <c r="U61" s="659"/>
      <c r="V61" s="195"/>
      <c r="W61" s="1252"/>
      <c r="X61" s="394">
        <f t="shared" ref="X61:X62" si="8">AVERAGE(O61,M61,S61,U61,Q61)</f>
        <v>37.25</v>
      </c>
    </row>
    <row r="62" spans="1:27" s="1" customFormat="1" ht="15" customHeight="1" thickBot="1" x14ac:dyDescent="0.25">
      <c r="A62" s="942" t="s">
        <v>238</v>
      </c>
      <c r="B62" s="960"/>
      <c r="C62" s="961"/>
      <c r="D62" s="960"/>
      <c r="E62" s="961"/>
      <c r="F62" s="960"/>
      <c r="G62" s="961"/>
      <c r="H62" s="960"/>
      <c r="I62" s="961"/>
      <c r="J62" s="960"/>
      <c r="K62" s="961"/>
      <c r="L62" s="943"/>
      <c r="M62" s="944">
        <v>37.799999999999997</v>
      </c>
      <c r="N62" s="943"/>
      <c r="O62" s="944">
        <v>37.799999999999997</v>
      </c>
      <c r="P62" s="943"/>
      <c r="Q62" s="944">
        <v>37.799999999999997</v>
      </c>
      <c r="R62" s="943"/>
      <c r="S62" s="944">
        <v>35.799999999999997</v>
      </c>
      <c r="T62" s="956"/>
      <c r="U62" s="947"/>
      <c r="V62" s="195"/>
      <c r="W62" s="950"/>
      <c r="X62" s="1253">
        <f t="shared" si="8"/>
        <v>37.299999999999997</v>
      </c>
    </row>
    <row r="63" spans="1:27" s="1" customFormat="1" ht="18" customHeight="1" thickBot="1" x14ac:dyDescent="0.25">
      <c r="A63" s="795" t="s">
        <v>264</v>
      </c>
      <c r="B63" s="797" t="s">
        <v>40</v>
      </c>
      <c r="C63" s="800" t="s">
        <v>41</v>
      </c>
      <c r="D63" s="797" t="s">
        <v>40</v>
      </c>
      <c r="E63" s="800" t="s">
        <v>41</v>
      </c>
      <c r="F63" s="797" t="s">
        <v>40</v>
      </c>
      <c r="G63" s="800" t="s">
        <v>41</v>
      </c>
      <c r="H63" s="797" t="s">
        <v>40</v>
      </c>
      <c r="I63" s="800" t="s">
        <v>41</v>
      </c>
      <c r="J63" s="797" t="s">
        <v>40</v>
      </c>
      <c r="K63" s="800" t="s">
        <v>41</v>
      </c>
      <c r="L63" s="799" t="s">
        <v>40</v>
      </c>
      <c r="M63" s="798" t="s">
        <v>41</v>
      </c>
      <c r="N63" s="799" t="s">
        <v>40</v>
      </c>
      <c r="O63" s="798" t="s">
        <v>41</v>
      </c>
      <c r="P63" s="799" t="s">
        <v>40</v>
      </c>
      <c r="Q63" s="798" t="s">
        <v>41</v>
      </c>
      <c r="R63" s="799" t="s">
        <v>40</v>
      </c>
      <c r="S63" s="798" t="s">
        <v>41</v>
      </c>
      <c r="T63" s="799" t="s">
        <v>40</v>
      </c>
      <c r="U63" s="804" t="s">
        <v>41</v>
      </c>
      <c r="V63" s="955"/>
      <c r="W63" s="1254" t="s">
        <v>40</v>
      </c>
      <c r="X63" s="804" t="s">
        <v>41</v>
      </c>
    </row>
    <row r="64" spans="1:27" s="1" customFormat="1" ht="15" customHeight="1" x14ac:dyDescent="0.2">
      <c r="A64" s="680" t="s">
        <v>42</v>
      </c>
      <c r="B64" s="422"/>
      <c r="C64" s="423"/>
      <c r="D64" s="422"/>
      <c r="E64" s="424"/>
      <c r="F64" s="423"/>
      <c r="G64" s="424"/>
      <c r="H64" s="423"/>
      <c r="I64" s="424"/>
      <c r="J64" s="423"/>
      <c r="K64" s="424"/>
      <c r="L64" s="808"/>
      <c r="M64" s="807"/>
      <c r="N64" s="808"/>
      <c r="O64" s="807"/>
      <c r="P64" s="808"/>
      <c r="Q64" s="807"/>
      <c r="R64" s="808"/>
      <c r="S64" s="807"/>
      <c r="T64" s="808"/>
      <c r="U64" s="1013"/>
      <c r="V64" s="195"/>
      <c r="W64" s="1029"/>
      <c r="X64" s="1030"/>
    </row>
    <row r="65" spans="1:24" s="1" customFormat="1" ht="15" customHeight="1" x14ac:dyDescent="0.2">
      <c r="A65" s="678" t="s">
        <v>43</v>
      </c>
      <c r="B65" s="425"/>
      <c r="C65" s="426"/>
      <c r="D65" s="425"/>
      <c r="E65" s="427"/>
      <c r="F65" s="428"/>
      <c r="G65" s="427"/>
      <c r="H65" s="428"/>
      <c r="I65" s="427"/>
      <c r="J65" s="428"/>
      <c r="K65" s="427"/>
      <c r="L65" s="1036">
        <v>46</v>
      </c>
      <c r="M65" s="1044">
        <v>46</v>
      </c>
      <c r="N65" s="1036">
        <v>48</v>
      </c>
      <c r="O65" s="1044">
        <v>48</v>
      </c>
      <c r="P65" s="1036">
        <v>46</v>
      </c>
      <c r="Q65" s="1044">
        <v>46</v>
      </c>
      <c r="R65" s="1036">
        <v>46</v>
      </c>
      <c r="S65" s="1044">
        <v>46</v>
      </c>
      <c r="T65" s="813"/>
      <c r="U65" s="932"/>
      <c r="V65" s="195"/>
      <c r="W65" s="936">
        <f>AVERAGE(T65,L65,N65,P65,R65)</f>
        <v>46.5</v>
      </c>
      <c r="X65" s="1031">
        <f t="shared" ref="X65:X70" si="9">AVERAGE(O65,M65,S65,U65,Q65)</f>
        <v>46.5</v>
      </c>
    </row>
    <row r="66" spans="1:24" s="1" customFormat="1" ht="15" customHeight="1" x14ac:dyDescent="0.2">
      <c r="A66" s="678" t="s">
        <v>44</v>
      </c>
      <c r="B66" s="425"/>
      <c r="C66" s="426"/>
      <c r="D66" s="425"/>
      <c r="E66" s="427"/>
      <c r="F66" s="428"/>
      <c r="G66" s="427"/>
      <c r="H66" s="428"/>
      <c r="I66" s="427"/>
      <c r="J66" s="428"/>
      <c r="K66" s="427"/>
      <c r="L66" s="13">
        <v>4.75</v>
      </c>
      <c r="M66" s="1044">
        <v>10</v>
      </c>
      <c r="N66" s="13">
        <v>3.5</v>
      </c>
      <c r="O66" s="1044">
        <v>9</v>
      </c>
      <c r="P66" s="13">
        <v>3.3</v>
      </c>
      <c r="Q66" s="1044">
        <v>10</v>
      </c>
      <c r="R66" s="13">
        <v>3.2</v>
      </c>
      <c r="S66" s="1044">
        <v>8</v>
      </c>
      <c r="T66" s="345"/>
      <c r="U66" s="932"/>
      <c r="V66" s="195"/>
      <c r="W66" s="936">
        <f t="shared" ref="W66:W70" si="10">AVERAGE(T66,L66,N66,P66,R66)</f>
        <v>3.6875</v>
      </c>
      <c r="X66" s="1031">
        <f t="shared" si="9"/>
        <v>9.25</v>
      </c>
    </row>
    <row r="67" spans="1:24" s="1" customFormat="1" ht="15" customHeight="1" x14ac:dyDescent="0.2">
      <c r="A67" s="676" t="s">
        <v>45</v>
      </c>
      <c r="B67" s="425"/>
      <c r="C67" s="426"/>
      <c r="D67" s="425"/>
      <c r="E67" s="427"/>
      <c r="F67" s="428"/>
      <c r="G67" s="427"/>
      <c r="H67" s="428"/>
      <c r="I67" s="427"/>
      <c r="J67" s="428"/>
      <c r="K67" s="427"/>
      <c r="L67" s="13"/>
      <c r="M67" s="1045"/>
      <c r="N67" s="13"/>
      <c r="O67" s="1045"/>
      <c r="P67" s="13"/>
      <c r="Q67" s="1045"/>
      <c r="R67" s="13"/>
      <c r="S67" s="1045"/>
      <c r="T67" s="345"/>
      <c r="U67" s="933"/>
      <c r="V67" s="195"/>
      <c r="W67" s="936"/>
      <c r="X67" s="1031"/>
    </row>
    <row r="68" spans="1:24" s="1" customFormat="1" ht="15" customHeight="1" x14ac:dyDescent="0.2">
      <c r="A68" s="678" t="s">
        <v>43</v>
      </c>
      <c r="B68" s="425"/>
      <c r="C68" s="429"/>
      <c r="D68" s="425"/>
      <c r="E68" s="430"/>
      <c r="F68" s="428"/>
      <c r="G68" s="430"/>
      <c r="H68" s="428"/>
      <c r="I68" s="430"/>
      <c r="J68" s="428"/>
      <c r="K68" s="430"/>
      <c r="L68" s="1036">
        <v>0</v>
      </c>
      <c r="M68" s="1045">
        <v>0</v>
      </c>
      <c r="N68" s="1036">
        <v>0</v>
      </c>
      <c r="O68" s="1045">
        <v>0</v>
      </c>
      <c r="P68" s="1036">
        <v>0</v>
      </c>
      <c r="Q68" s="1045">
        <v>0</v>
      </c>
      <c r="R68" s="1036">
        <v>0</v>
      </c>
      <c r="S68" s="1045">
        <v>0</v>
      </c>
      <c r="T68" s="1036"/>
      <c r="U68" s="933"/>
      <c r="V68" s="195"/>
      <c r="W68" s="936">
        <f t="shared" si="10"/>
        <v>0</v>
      </c>
      <c r="X68" s="1031">
        <f t="shared" si="9"/>
        <v>0</v>
      </c>
    </row>
    <row r="69" spans="1:24" s="1" customFormat="1" ht="15" customHeight="1" thickBot="1" x14ac:dyDescent="0.25">
      <c r="A69" s="679" t="s">
        <v>44</v>
      </c>
      <c r="B69" s="962"/>
      <c r="C69" s="963"/>
      <c r="D69" s="962"/>
      <c r="E69" s="964"/>
      <c r="F69" s="965"/>
      <c r="G69" s="964"/>
      <c r="H69" s="965"/>
      <c r="I69" s="964"/>
      <c r="J69" s="965"/>
      <c r="K69" s="964"/>
      <c r="L69" s="1039">
        <v>0</v>
      </c>
      <c r="M69" s="1056">
        <v>0</v>
      </c>
      <c r="N69" s="1039">
        <v>0</v>
      </c>
      <c r="O69" s="1056">
        <v>0</v>
      </c>
      <c r="P69" s="1039">
        <v>0</v>
      </c>
      <c r="Q69" s="1056">
        <v>0</v>
      </c>
      <c r="R69" s="1039">
        <v>0</v>
      </c>
      <c r="S69" s="1056">
        <v>0</v>
      </c>
      <c r="T69" s="1039"/>
      <c r="U69" s="934"/>
      <c r="V69" s="195"/>
      <c r="W69" s="1020">
        <f t="shared" si="10"/>
        <v>0</v>
      </c>
      <c r="X69" s="1032">
        <f t="shared" si="9"/>
        <v>0</v>
      </c>
    </row>
    <row r="70" spans="1:24" s="1" customFormat="1" ht="15" customHeight="1" thickBot="1" x14ac:dyDescent="0.25">
      <c r="A70" s="796" t="s">
        <v>28</v>
      </c>
      <c r="B70" s="970"/>
      <c r="C70" s="971"/>
      <c r="D70" s="970"/>
      <c r="E70" s="972"/>
      <c r="F70" s="973"/>
      <c r="G70" s="972"/>
      <c r="H70" s="973"/>
      <c r="I70" s="972"/>
      <c r="J70" s="973"/>
      <c r="K70" s="972"/>
      <c r="L70" s="906">
        <f t="shared" ref="L70:S70" si="11">SUM(L65:L69)</f>
        <v>50.75</v>
      </c>
      <c r="M70" s="826">
        <f t="shared" si="11"/>
        <v>56</v>
      </c>
      <c r="N70" s="906">
        <f t="shared" si="11"/>
        <v>51.5</v>
      </c>
      <c r="O70" s="826">
        <f t="shared" si="11"/>
        <v>57</v>
      </c>
      <c r="P70" s="906">
        <f t="shared" si="11"/>
        <v>49.3</v>
      </c>
      <c r="Q70" s="826">
        <f t="shared" si="11"/>
        <v>56</v>
      </c>
      <c r="R70" s="906">
        <f t="shared" si="11"/>
        <v>49.2</v>
      </c>
      <c r="S70" s="826">
        <f t="shared" si="11"/>
        <v>54</v>
      </c>
      <c r="T70" s="906">
        <f t="shared" ref="T70:U70" si="12">SUM(T65:T69)</f>
        <v>0</v>
      </c>
      <c r="U70" s="1023">
        <f t="shared" si="12"/>
        <v>0</v>
      </c>
      <c r="V70" s="195"/>
      <c r="W70" s="1028">
        <f t="shared" si="10"/>
        <v>40.15</v>
      </c>
      <c r="X70" s="1033">
        <f t="shared" si="9"/>
        <v>44.6</v>
      </c>
    </row>
    <row r="71" spans="1:24" s="1" customFormat="1" ht="18" customHeight="1" thickBot="1" x14ac:dyDescent="0.25">
      <c r="A71" s="795" t="s">
        <v>253</v>
      </c>
      <c r="B71" s="974"/>
      <c r="C71" s="975"/>
      <c r="D71" s="974"/>
      <c r="E71" s="976"/>
      <c r="F71" s="977"/>
      <c r="G71" s="976"/>
      <c r="H71" s="977"/>
      <c r="I71" s="976"/>
      <c r="J71" s="977"/>
      <c r="K71" s="976"/>
      <c r="L71" s="799" t="s">
        <v>39</v>
      </c>
      <c r="M71" s="798" t="s">
        <v>46</v>
      </c>
      <c r="N71" s="799" t="s">
        <v>39</v>
      </c>
      <c r="O71" s="798" t="s">
        <v>46</v>
      </c>
      <c r="P71" s="799" t="s">
        <v>39</v>
      </c>
      <c r="Q71" s="798" t="s">
        <v>46</v>
      </c>
      <c r="R71" s="799" t="s">
        <v>39</v>
      </c>
      <c r="S71" s="798" t="s">
        <v>46</v>
      </c>
      <c r="T71" s="799" t="s">
        <v>39</v>
      </c>
      <c r="U71" s="804" t="s">
        <v>46</v>
      </c>
      <c r="V71" s="195"/>
      <c r="W71" s="832" t="s">
        <v>39</v>
      </c>
      <c r="X71" s="804" t="s">
        <v>46</v>
      </c>
    </row>
    <row r="72" spans="1:24" s="1" customFormat="1" ht="18" customHeight="1" x14ac:dyDescent="0.2">
      <c r="A72" s="680" t="s">
        <v>265</v>
      </c>
      <c r="B72" s="966"/>
      <c r="C72" s="967"/>
      <c r="D72" s="966"/>
      <c r="E72" s="968"/>
      <c r="F72" s="969"/>
      <c r="G72" s="968"/>
      <c r="H72" s="969"/>
      <c r="I72" s="968"/>
      <c r="J72" s="969"/>
      <c r="K72" s="968"/>
      <c r="L72" s="937"/>
      <c r="M72" s="197"/>
      <c r="N72" s="937"/>
      <c r="O72" s="197"/>
      <c r="P72" s="937"/>
      <c r="Q72" s="197"/>
      <c r="R72" s="937"/>
      <c r="S72" s="197"/>
      <c r="T72" s="937"/>
      <c r="U72" s="199"/>
      <c r="V72" s="195"/>
      <c r="W72" s="1026"/>
      <c r="X72" s="199"/>
    </row>
    <row r="73" spans="1:24" s="1" customFormat="1" ht="15" customHeight="1" x14ac:dyDescent="0.2">
      <c r="A73" s="706" t="s">
        <v>47</v>
      </c>
      <c r="B73" s="431"/>
      <c r="C73" s="169"/>
      <c r="D73" s="431"/>
      <c r="E73" s="170"/>
      <c r="F73" s="432"/>
      <c r="G73" s="170"/>
      <c r="H73" s="432"/>
      <c r="I73" s="170"/>
      <c r="J73" s="432"/>
      <c r="K73" s="170"/>
      <c r="L73" s="160">
        <v>51</v>
      </c>
      <c r="M73" s="192">
        <f t="shared" ref="M73:M78" si="13">L73/M$70</f>
        <v>0.9107142857142857</v>
      </c>
      <c r="N73" s="160">
        <f>9+43</f>
        <v>52</v>
      </c>
      <c r="O73" s="192">
        <f t="shared" ref="O73:Q78" si="14">N73/O$70</f>
        <v>0.91228070175438591</v>
      </c>
      <c r="P73" s="160">
        <v>51</v>
      </c>
      <c r="Q73" s="192">
        <f t="shared" si="14"/>
        <v>0.9107142857142857</v>
      </c>
      <c r="R73" s="160">
        <v>47</v>
      </c>
      <c r="S73" s="192">
        <f t="shared" ref="S73:S78" si="15">R73/S$70</f>
        <v>0.87037037037037035</v>
      </c>
      <c r="T73" s="202"/>
      <c r="U73" s="203" t="e">
        <f t="shared" ref="U73:U78" si="16">T73/U$70</f>
        <v>#DIV/0!</v>
      </c>
      <c r="V73" s="320"/>
      <c r="W73" s="205">
        <f>AVERAGE(N73,L73,R73,T73,P73)</f>
        <v>50.25</v>
      </c>
      <c r="X73" s="206" t="e">
        <f>AVERAGE(O73,M73,S73,U73,Q73)</f>
        <v>#DIV/0!</v>
      </c>
    </row>
    <row r="74" spans="1:24" s="1" customFormat="1" ht="15" customHeight="1" x14ac:dyDescent="0.2">
      <c r="A74" s="207" t="s">
        <v>48</v>
      </c>
      <c r="B74" s="431"/>
      <c r="C74" s="169"/>
      <c r="D74" s="431"/>
      <c r="E74" s="170"/>
      <c r="F74" s="432"/>
      <c r="G74" s="170"/>
      <c r="H74" s="432"/>
      <c r="I74" s="170"/>
      <c r="J74" s="432"/>
      <c r="K74" s="170"/>
      <c r="L74" s="160">
        <v>1</v>
      </c>
      <c r="M74" s="192">
        <f t="shared" si="13"/>
        <v>1.7857142857142856E-2</v>
      </c>
      <c r="N74" s="160">
        <v>1</v>
      </c>
      <c r="O74" s="192">
        <f t="shared" si="14"/>
        <v>1.7543859649122806E-2</v>
      </c>
      <c r="P74" s="160">
        <v>1</v>
      </c>
      <c r="Q74" s="192">
        <f t="shared" si="14"/>
        <v>1.7857142857142856E-2</v>
      </c>
      <c r="R74" s="160">
        <v>1</v>
      </c>
      <c r="S74" s="192">
        <f t="shared" si="15"/>
        <v>1.8518518518518517E-2</v>
      </c>
      <c r="T74" s="202"/>
      <c r="U74" s="203" t="e">
        <f t="shared" si="16"/>
        <v>#DIV/0!</v>
      </c>
      <c r="V74" s="320"/>
      <c r="W74" s="205">
        <f t="shared" ref="W74:X92" si="17">AVERAGE(N74,L74,R74,T74,P74)</f>
        <v>1</v>
      </c>
      <c r="X74" s="206" t="e">
        <f t="shared" si="17"/>
        <v>#DIV/0!</v>
      </c>
    </row>
    <row r="75" spans="1:24" s="1" customFormat="1" ht="15" customHeight="1" x14ac:dyDescent="0.2">
      <c r="A75" s="207" t="s">
        <v>49</v>
      </c>
      <c r="B75" s="431"/>
      <c r="C75" s="169"/>
      <c r="D75" s="431"/>
      <c r="E75" s="170"/>
      <c r="F75" s="432"/>
      <c r="G75" s="170"/>
      <c r="H75" s="432"/>
      <c r="I75" s="170"/>
      <c r="J75" s="432"/>
      <c r="K75" s="170"/>
      <c r="L75" s="160">
        <v>0</v>
      </c>
      <c r="M75" s="192">
        <f t="shared" si="13"/>
        <v>0</v>
      </c>
      <c r="N75" s="160">
        <v>0</v>
      </c>
      <c r="O75" s="192">
        <f t="shared" si="14"/>
        <v>0</v>
      </c>
      <c r="P75" s="160">
        <v>0</v>
      </c>
      <c r="Q75" s="192">
        <f t="shared" si="14"/>
        <v>0</v>
      </c>
      <c r="R75" s="160">
        <v>0</v>
      </c>
      <c r="S75" s="192">
        <f t="shared" si="15"/>
        <v>0</v>
      </c>
      <c r="T75" s="202"/>
      <c r="U75" s="203" t="e">
        <f t="shared" si="16"/>
        <v>#DIV/0!</v>
      </c>
      <c r="V75" s="320"/>
      <c r="W75" s="205">
        <f t="shared" si="17"/>
        <v>0</v>
      </c>
      <c r="X75" s="206" t="e">
        <f t="shared" si="17"/>
        <v>#DIV/0!</v>
      </c>
    </row>
    <row r="76" spans="1:24" s="1" customFormat="1" ht="15" customHeight="1" x14ac:dyDescent="0.2">
      <c r="A76" s="207" t="s">
        <v>50</v>
      </c>
      <c r="B76" s="431"/>
      <c r="C76" s="169"/>
      <c r="D76" s="431"/>
      <c r="E76" s="170"/>
      <c r="F76" s="432"/>
      <c r="G76" s="170"/>
      <c r="H76" s="432"/>
      <c r="I76" s="170"/>
      <c r="J76" s="432"/>
      <c r="K76" s="170"/>
      <c r="L76" s="160">
        <v>0</v>
      </c>
      <c r="M76" s="192">
        <f t="shared" si="13"/>
        <v>0</v>
      </c>
      <c r="N76" s="160">
        <v>0</v>
      </c>
      <c r="O76" s="192">
        <f t="shared" si="14"/>
        <v>0</v>
      </c>
      <c r="P76" s="160">
        <v>0</v>
      </c>
      <c r="Q76" s="192">
        <f t="shared" si="14"/>
        <v>0</v>
      </c>
      <c r="R76" s="160">
        <v>0</v>
      </c>
      <c r="S76" s="192">
        <f t="shared" si="15"/>
        <v>0</v>
      </c>
      <c r="T76" s="202"/>
      <c r="U76" s="203" t="e">
        <f t="shared" si="16"/>
        <v>#DIV/0!</v>
      </c>
      <c r="V76" s="320"/>
      <c r="W76" s="205">
        <f t="shared" si="17"/>
        <v>0</v>
      </c>
      <c r="X76" s="206" t="e">
        <f t="shared" si="17"/>
        <v>#DIV/0!</v>
      </c>
    </row>
    <row r="77" spans="1:24" s="1" customFormat="1" ht="15" customHeight="1" x14ac:dyDescent="0.2">
      <c r="A77" s="207" t="s">
        <v>51</v>
      </c>
      <c r="B77" s="431"/>
      <c r="C77" s="169"/>
      <c r="D77" s="431"/>
      <c r="E77" s="170"/>
      <c r="F77" s="432"/>
      <c r="G77" s="170"/>
      <c r="H77" s="432"/>
      <c r="I77" s="170"/>
      <c r="J77" s="432"/>
      <c r="K77" s="170"/>
      <c r="L77" s="160">
        <v>2</v>
      </c>
      <c r="M77" s="192">
        <f t="shared" si="13"/>
        <v>3.5714285714285712E-2</v>
      </c>
      <c r="N77" s="160">
        <v>2</v>
      </c>
      <c r="O77" s="192">
        <f t="shared" si="14"/>
        <v>3.5087719298245612E-2</v>
      </c>
      <c r="P77" s="160">
        <v>2</v>
      </c>
      <c r="Q77" s="192">
        <f t="shared" si="14"/>
        <v>3.5714285714285712E-2</v>
      </c>
      <c r="R77" s="160">
        <v>2</v>
      </c>
      <c r="S77" s="192">
        <f t="shared" si="15"/>
        <v>3.7037037037037035E-2</v>
      </c>
      <c r="T77" s="202"/>
      <c r="U77" s="203" t="e">
        <f t="shared" si="16"/>
        <v>#DIV/0!</v>
      </c>
      <c r="V77" s="320"/>
      <c r="W77" s="205">
        <f t="shared" si="17"/>
        <v>2</v>
      </c>
      <c r="X77" s="206" t="e">
        <f t="shared" si="17"/>
        <v>#DIV/0!</v>
      </c>
    </row>
    <row r="78" spans="1:24" s="1" customFormat="1" ht="15" customHeight="1" x14ac:dyDescent="0.2">
      <c r="A78" s="207" t="s">
        <v>52</v>
      </c>
      <c r="B78" s="168"/>
      <c r="C78" s="169"/>
      <c r="D78" s="168"/>
      <c r="E78" s="170"/>
      <c r="F78" s="171"/>
      <c r="G78" s="170"/>
      <c r="H78" s="171"/>
      <c r="I78" s="170"/>
      <c r="J78" s="171"/>
      <c r="K78" s="170"/>
      <c r="L78" s="160">
        <v>0</v>
      </c>
      <c r="M78" s="192">
        <f t="shared" si="13"/>
        <v>0</v>
      </c>
      <c r="N78" s="160">
        <v>0</v>
      </c>
      <c r="O78" s="192">
        <f t="shared" si="14"/>
        <v>0</v>
      </c>
      <c r="P78" s="160">
        <v>0</v>
      </c>
      <c r="Q78" s="192">
        <f t="shared" si="14"/>
        <v>0</v>
      </c>
      <c r="R78" s="160">
        <v>2</v>
      </c>
      <c r="S78" s="192">
        <f t="shared" si="15"/>
        <v>3.7037037037037035E-2</v>
      </c>
      <c r="T78" s="202"/>
      <c r="U78" s="203" t="e">
        <f t="shared" si="16"/>
        <v>#DIV/0!</v>
      </c>
      <c r="V78" s="320"/>
      <c r="W78" s="205">
        <f t="shared" si="17"/>
        <v>0.5</v>
      </c>
      <c r="X78" s="206" t="e">
        <f t="shared" si="17"/>
        <v>#DIV/0!</v>
      </c>
    </row>
    <row r="79" spans="1:24" s="1" customFormat="1" ht="15" customHeight="1" x14ac:dyDescent="0.2">
      <c r="A79" s="207" t="s">
        <v>53</v>
      </c>
      <c r="B79" s="168"/>
      <c r="C79" s="169"/>
      <c r="D79" s="168"/>
      <c r="E79" s="170"/>
      <c r="F79" s="171"/>
      <c r="G79" s="170"/>
      <c r="H79" s="171"/>
      <c r="I79" s="170"/>
      <c r="J79" s="171"/>
      <c r="K79" s="170"/>
      <c r="L79" s="162">
        <v>1</v>
      </c>
      <c r="M79" s="192">
        <f>L79/M$70</f>
        <v>1.7857142857142856E-2</v>
      </c>
      <c r="N79" s="162">
        <v>1</v>
      </c>
      <c r="O79" s="192">
        <f>N79/O$70</f>
        <v>1.7543859649122806E-2</v>
      </c>
      <c r="P79" s="162">
        <v>1</v>
      </c>
      <c r="Q79" s="192">
        <f>P79/Q$70</f>
        <v>1.7857142857142856E-2</v>
      </c>
      <c r="R79" s="162">
        <v>1</v>
      </c>
      <c r="S79" s="192">
        <f>R79/S$70</f>
        <v>1.8518518518518517E-2</v>
      </c>
      <c r="T79" s="202"/>
      <c r="U79" s="203" t="e">
        <f>T79/U$70</f>
        <v>#DIV/0!</v>
      </c>
      <c r="V79" s="320"/>
      <c r="W79" s="205">
        <f t="shared" si="17"/>
        <v>1</v>
      </c>
      <c r="X79" s="206" t="e">
        <f t="shared" si="17"/>
        <v>#DIV/0!</v>
      </c>
    </row>
    <row r="80" spans="1:24" s="1" customFormat="1" ht="15" customHeight="1" thickBot="1" x14ac:dyDescent="0.25">
      <c r="A80" s="696" t="s">
        <v>54</v>
      </c>
      <c r="B80" s="978"/>
      <c r="C80" s="979"/>
      <c r="D80" s="978"/>
      <c r="E80" s="980"/>
      <c r="F80" s="981"/>
      <c r="G80" s="980"/>
      <c r="H80" s="981"/>
      <c r="I80" s="980"/>
      <c r="J80" s="981"/>
      <c r="K80" s="980"/>
      <c r="L80" s="162">
        <v>1</v>
      </c>
      <c r="M80" s="725">
        <f>L80/M$70</f>
        <v>1.7857142857142856E-2</v>
      </c>
      <c r="N80" s="162">
        <v>1</v>
      </c>
      <c r="O80" s="725">
        <f>N80/O$70</f>
        <v>1.7543859649122806E-2</v>
      </c>
      <c r="P80" s="162">
        <v>1</v>
      </c>
      <c r="Q80" s="725">
        <f>P80/Q$70</f>
        <v>1.7857142857142856E-2</v>
      </c>
      <c r="R80" s="162">
        <v>1</v>
      </c>
      <c r="S80" s="725">
        <f>R80/S$70</f>
        <v>1.8518518518518517E-2</v>
      </c>
      <c r="T80" s="193"/>
      <c r="U80" s="726" t="e">
        <f>T80/U$70</f>
        <v>#DIV/0!</v>
      </c>
      <c r="V80" s="320"/>
      <c r="W80" s="727">
        <f t="shared" si="17"/>
        <v>1</v>
      </c>
      <c r="X80" s="728" t="e">
        <f t="shared" si="17"/>
        <v>#DIV/0!</v>
      </c>
    </row>
    <row r="81" spans="1:24" s="1" customFormat="1" ht="18" customHeight="1" x14ac:dyDescent="0.2">
      <c r="A81" s="680" t="s">
        <v>55</v>
      </c>
      <c r="B81" s="986"/>
      <c r="C81" s="987"/>
      <c r="D81" s="986"/>
      <c r="E81" s="988"/>
      <c r="F81" s="989"/>
      <c r="G81" s="988"/>
      <c r="H81" s="989"/>
      <c r="I81" s="988"/>
      <c r="J81" s="989"/>
      <c r="K81" s="988"/>
      <c r="L81" s="914"/>
      <c r="M81" s="733"/>
      <c r="N81" s="914"/>
      <c r="O81" s="733"/>
      <c r="P81" s="914"/>
      <c r="Q81" s="733"/>
      <c r="R81" s="914"/>
      <c r="S81" s="733"/>
      <c r="T81" s="734"/>
      <c r="U81" s="735"/>
      <c r="V81" s="320"/>
      <c r="W81" s="736"/>
      <c r="X81" s="737"/>
    </row>
    <row r="82" spans="1:24" s="1" customFormat="1" ht="15" customHeight="1" x14ac:dyDescent="0.2">
      <c r="A82" s="200" t="s">
        <v>56</v>
      </c>
      <c r="B82" s="433"/>
      <c r="C82" s="169"/>
      <c r="D82" s="433"/>
      <c r="E82" s="170"/>
      <c r="F82" s="434"/>
      <c r="G82" s="170"/>
      <c r="H82" s="434"/>
      <c r="I82" s="170"/>
      <c r="J82" s="434"/>
      <c r="K82" s="170"/>
      <c r="L82" s="48">
        <v>31</v>
      </c>
      <c r="M82" s="192">
        <f>L82/M$70</f>
        <v>0.5535714285714286</v>
      </c>
      <c r="N82" s="48">
        <f>3+28</f>
        <v>31</v>
      </c>
      <c r="O82" s="192">
        <f>N82/O$70</f>
        <v>0.54385964912280704</v>
      </c>
      <c r="P82" s="48">
        <v>28</v>
      </c>
      <c r="Q82" s="192">
        <f>P82/Q$70</f>
        <v>0.5</v>
      </c>
      <c r="R82" s="48">
        <v>29</v>
      </c>
      <c r="S82" s="192">
        <f>R82/S$70</f>
        <v>0.53703703703703709</v>
      </c>
      <c r="T82" s="209"/>
      <c r="U82" s="203" t="e">
        <f>T82/U$70</f>
        <v>#DIV/0!</v>
      </c>
      <c r="V82" s="320"/>
      <c r="W82" s="205">
        <f t="shared" si="17"/>
        <v>29.75</v>
      </c>
      <c r="X82" s="206" t="e">
        <f t="shared" si="17"/>
        <v>#DIV/0!</v>
      </c>
    </row>
    <row r="83" spans="1:24" s="1" customFormat="1" ht="15" customHeight="1" thickBot="1" x14ac:dyDescent="0.25">
      <c r="A83" s="696" t="s">
        <v>57</v>
      </c>
      <c r="B83" s="982"/>
      <c r="C83" s="983"/>
      <c r="D83" s="982"/>
      <c r="E83" s="984"/>
      <c r="F83" s="985"/>
      <c r="G83" s="984"/>
      <c r="H83" s="985"/>
      <c r="I83" s="984"/>
      <c r="J83" s="985"/>
      <c r="K83" s="984"/>
      <c r="L83" s="911">
        <v>25</v>
      </c>
      <c r="M83" s="725">
        <f>L83/M$70</f>
        <v>0.44642857142857145</v>
      </c>
      <c r="N83" s="911">
        <f>6+20</f>
        <v>26</v>
      </c>
      <c r="O83" s="725">
        <f>N83/O$70</f>
        <v>0.45614035087719296</v>
      </c>
      <c r="P83" s="911">
        <v>28</v>
      </c>
      <c r="Q83" s="725">
        <f>P83/Q$70</f>
        <v>0.5</v>
      </c>
      <c r="R83" s="911">
        <v>25</v>
      </c>
      <c r="S83" s="725">
        <f>R83/S$70</f>
        <v>0.46296296296296297</v>
      </c>
      <c r="T83" s="730"/>
      <c r="U83" s="726" t="e">
        <f>T83/U$70</f>
        <v>#DIV/0!</v>
      </c>
      <c r="V83" s="320"/>
      <c r="W83" s="727">
        <f t="shared" si="17"/>
        <v>26</v>
      </c>
      <c r="X83" s="728" t="e">
        <f t="shared" si="17"/>
        <v>#DIV/0!</v>
      </c>
    </row>
    <row r="84" spans="1:24" s="1" customFormat="1" ht="18" customHeight="1" x14ac:dyDescent="0.2">
      <c r="A84" s="680" t="s">
        <v>58</v>
      </c>
      <c r="B84" s="990"/>
      <c r="C84" s="987"/>
      <c r="D84" s="990"/>
      <c r="E84" s="988"/>
      <c r="F84" s="991"/>
      <c r="G84" s="988"/>
      <c r="H84" s="991"/>
      <c r="I84" s="988"/>
      <c r="J84" s="991"/>
      <c r="K84" s="988"/>
      <c r="L84" s="918"/>
      <c r="M84" s="740"/>
      <c r="N84" s="918"/>
      <c r="O84" s="740"/>
      <c r="P84" s="918"/>
      <c r="Q84" s="740"/>
      <c r="R84" s="918"/>
      <c r="S84" s="740"/>
      <c r="T84" s="741"/>
      <c r="U84" s="742"/>
      <c r="V84" s="320"/>
      <c r="W84" s="736"/>
      <c r="X84" s="737"/>
    </row>
    <row r="85" spans="1:24" s="1" customFormat="1" ht="15" customHeight="1" x14ac:dyDescent="0.2">
      <c r="A85" s="200" t="s">
        <v>59</v>
      </c>
      <c r="B85" s="433"/>
      <c r="C85" s="169"/>
      <c r="D85" s="433"/>
      <c r="E85" s="170"/>
      <c r="F85" s="434"/>
      <c r="G85" s="170"/>
      <c r="H85" s="434"/>
      <c r="I85" s="170"/>
      <c r="J85" s="434"/>
      <c r="K85" s="170"/>
      <c r="L85" s="134">
        <v>27</v>
      </c>
      <c r="M85" s="192">
        <f>L85/M$70</f>
        <v>0.48214285714285715</v>
      </c>
      <c r="N85" s="134">
        <v>28</v>
      </c>
      <c r="O85" s="192">
        <f>N85/O$70</f>
        <v>0.49122807017543857</v>
      </c>
      <c r="P85" s="134">
        <v>30</v>
      </c>
      <c r="Q85" s="192">
        <f>P85/Q$70</f>
        <v>0.5357142857142857</v>
      </c>
      <c r="R85" s="134">
        <v>31</v>
      </c>
      <c r="S85" s="192">
        <f>R85/S$70</f>
        <v>0.57407407407407407</v>
      </c>
      <c r="T85" s="211"/>
      <c r="U85" s="203" t="e">
        <f>T85/U$70</f>
        <v>#DIV/0!</v>
      </c>
      <c r="V85" s="320"/>
      <c r="W85" s="205">
        <f t="shared" si="17"/>
        <v>29</v>
      </c>
      <c r="X85" s="206" t="e">
        <f t="shared" si="17"/>
        <v>#DIV/0!</v>
      </c>
    </row>
    <row r="86" spans="1:24" s="1" customFormat="1" ht="15" customHeight="1" x14ac:dyDescent="0.2">
      <c r="A86" s="200" t="s">
        <v>60</v>
      </c>
      <c r="B86" s="433"/>
      <c r="C86" s="169"/>
      <c r="D86" s="433"/>
      <c r="E86" s="170"/>
      <c r="F86" s="434"/>
      <c r="G86" s="170"/>
      <c r="H86" s="434"/>
      <c r="I86" s="170"/>
      <c r="J86" s="434"/>
      <c r="K86" s="170"/>
      <c r="L86" s="134">
        <v>13</v>
      </c>
      <c r="M86" s="192">
        <f>L86/M$70</f>
        <v>0.23214285714285715</v>
      </c>
      <c r="N86" s="134">
        <v>10</v>
      </c>
      <c r="O86" s="192">
        <f>N86/O$70</f>
        <v>0.17543859649122806</v>
      </c>
      <c r="P86" s="134">
        <v>8</v>
      </c>
      <c r="Q86" s="192">
        <f>P86/Q$70</f>
        <v>0.14285714285714285</v>
      </c>
      <c r="R86" s="134">
        <v>5</v>
      </c>
      <c r="S86" s="192">
        <f>R86/S$70</f>
        <v>9.2592592592592587E-2</v>
      </c>
      <c r="T86" s="211"/>
      <c r="U86" s="203" t="e">
        <f>T86/U$70</f>
        <v>#DIV/0!</v>
      </c>
      <c r="V86" s="320"/>
      <c r="W86" s="205">
        <f t="shared" si="17"/>
        <v>9</v>
      </c>
      <c r="X86" s="206" t="e">
        <f t="shared" si="17"/>
        <v>#DIV/0!</v>
      </c>
    </row>
    <row r="87" spans="1:24" s="1" customFormat="1" ht="15" customHeight="1" thickBot="1" x14ac:dyDescent="0.25">
      <c r="A87" s="696" t="s">
        <v>61</v>
      </c>
      <c r="B87" s="982"/>
      <c r="C87" s="983"/>
      <c r="D87" s="982"/>
      <c r="E87" s="984"/>
      <c r="F87" s="985"/>
      <c r="G87" s="984"/>
      <c r="H87" s="985"/>
      <c r="I87" s="984"/>
      <c r="J87" s="985"/>
      <c r="K87" s="984"/>
      <c r="L87" s="911">
        <v>16</v>
      </c>
      <c r="M87" s="725">
        <f>L87/M$70</f>
        <v>0.2857142857142857</v>
      </c>
      <c r="N87" s="911">
        <v>19</v>
      </c>
      <c r="O87" s="725">
        <f>N87/O$70</f>
        <v>0.33333333333333331</v>
      </c>
      <c r="P87" s="911">
        <v>18</v>
      </c>
      <c r="Q87" s="725">
        <f>P87/Q$70</f>
        <v>0.32142857142857145</v>
      </c>
      <c r="R87" s="911">
        <v>18</v>
      </c>
      <c r="S87" s="725">
        <f>R87/S$70</f>
        <v>0.33333333333333331</v>
      </c>
      <c r="T87" s="730"/>
      <c r="U87" s="726" t="e">
        <f>T87/U$70</f>
        <v>#DIV/0!</v>
      </c>
      <c r="V87" s="320"/>
      <c r="W87" s="727">
        <f t="shared" si="17"/>
        <v>17.75</v>
      </c>
      <c r="X87" s="728" t="e">
        <f t="shared" si="17"/>
        <v>#DIV/0!</v>
      </c>
    </row>
    <row r="88" spans="1:24" s="1" customFormat="1" ht="18" customHeight="1" x14ac:dyDescent="0.2">
      <c r="A88" s="680" t="s">
        <v>62</v>
      </c>
      <c r="B88" s="990"/>
      <c r="C88" s="987"/>
      <c r="D88" s="990"/>
      <c r="E88" s="988"/>
      <c r="F88" s="991"/>
      <c r="G88" s="988"/>
      <c r="H88" s="991"/>
      <c r="I88" s="988"/>
      <c r="J88" s="991"/>
      <c r="K88" s="988"/>
      <c r="L88" s="918"/>
      <c r="M88" s="740"/>
      <c r="N88" s="918"/>
      <c r="O88" s="740"/>
      <c r="P88" s="918"/>
      <c r="Q88" s="740"/>
      <c r="R88" s="918"/>
      <c r="S88" s="740"/>
      <c r="T88" s="741"/>
      <c r="U88" s="742"/>
      <c r="V88" s="320"/>
      <c r="W88" s="736"/>
      <c r="X88" s="737"/>
    </row>
    <row r="89" spans="1:24" s="1" customFormat="1" ht="15" customHeight="1" x14ac:dyDescent="0.2">
      <c r="A89" s="200" t="s">
        <v>63</v>
      </c>
      <c r="B89" s="433"/>
      <c r="C89" s="169"/>
      <c r="D89" s="433"/>
      <c r="E89" s="170"/>
      <c r="F89" s="434"/>
      <c r="G89" s="170"/>
      <c r="H89" s="434"/>
      <c r="I89" s="170"/>
      <c r="J89" s="434"/>
      <c r="K89" s="170"/>
      <c r="L89" s="134">
        <v>27</v>
      </c>
      <c r="M89" s="192">
        <f>L89/M$70</f>
        <v>0.48214285714285715</v>
      </c>
      <c r="N89" s="134">
        <f>3+27</f>
        <v>30</v>
      </c>
      <c r="O89" s="192">
        <f>N89/O$70</f>
        <v>0.52631578947368418</v>
      </c>
      <c r="P89" s="134">
        <v>29</v>
      </c>
      <c r="Q89" s="192">
        <f>P89/Q$70</f>
        <v>0.5178571428571429</v>
      </c>
      <c r="R89" s="134">
        <v>30</v>
      </c>
      <c r="S89" s="192">
        <f>R89/S$70</f>
        <v>0.55555555555555558</v>
      </c>
      <c r="T89" s="211"/>
      <c r="U89" s="203" t="e">
        <f>T89/U$70</f>
        <v>#DIV/0!</v>
      </c>
      <c r="V89" s="320"/>
      <c r="W89" s="205">
        <f t="shared" si="17"/>
        <v>29</v>
      </c>
      <c r="X89" s="206" t="e">
        <f t="shared" si="17"/>
        <v>#DIV/0!</v>
      </c>
    </row>
    <row r="90" spans="1:24" s="1" customFormat="1" ht="15" customHeight="1" x14ac:dyDescent="0.2">
      <c r="A90" s="200" t="s">
        <v>64</v>
      </c>
      <c r="B90" s="433"/>
      <c r="C90" s="169"/>
      <c r="D90" s="433"/>
      <c r="E90" s="170"/>
      <c r="F90" s="434"/>
      <c r="G90" s="170"/>
      <c r="H90" s="434"/>
      <c r="I90" s="170"/>
      <c r="J90" s="434"/>
      <c r="K90" s="170"/>
      <c r="L90" s="134">
        <v>27</v>
      </c>
      <c r="M90" s="192">
        <f>L90/M$70</f>
        <v>0.48214285714285715</v>
      </c>
      <c r="N90" s="134">
        <f>5+20</f>
        <v>25</v>
      </c>
      <c r="O90" s="192">
        <f>N90/O$70</f>
        <v>0.43859649122807015</v>
      </c>
      <c r="P90" s="134">
        <v>27</v>
      </c>
      <c r="Q90" s="192">
        <f>P90/Q$70</f>
        <v>0.48214285714285715</v>
      </c>
      <c r="R90" s="134">
        <f>18+5</f>
        <v>23</v>
      </c>
      <c r="S90" s="192">
        <f>R90/S$70</f>
        <v>0.42592592592592593</v>
      </c>
      <c r="T90" s="211"/>
      <c r="U90" s="203" t="e">
        <f>T90/U$70</f>
        <v>#DIV/0!</v>
      </c>
      <c r="V90" s="320"/>
      <c r="W90" s="205">
        <f t="shared" si="17"/>
        <v>25.5</v>
      </c>
      <c r="X90" s="206" t="e">
        <f t="shared" si="17"/>
        <v>#DIV/0!</v>
      </c>
    </row>
    <row r="91" spans="1:24" s="1" customFormat="1" ht="15" customHeight="1" x14ac:dyDescent="0.2">
      <c r="A91" s="200" t="s">
        <v>65</v>
      </c>
      <c r="B91" s="433"/>
      <c r="C91" s="169"/>
      <c r="D91" s="433"/>
      <c r="E91" s="170"/>
      <c r="F91" s="434"/>
      <c r="G91" s="170"/>
      <c r="H91" s="434"/>
      <c r="I91" s="170"/>
      <c r="J91" s="434"/>
      <c r="K91" s="170"/>
      <c r="L91" s="134">
        <v>2</v>
      </c>
      <c r="M91" s="192">
        <f>L91/M$70</f>
        <v>3.5714285714285712E-2</v>
      </c>
      <c r="N91" s="134">
        <f>1+1</f>
        <v>2</v>
      </c>
      <c r="O91" s="192">
        <f>N91/O$70</f>
        <v>3.5087719298245612E-2</v>
      </c>
      <c r="P91" s="134">
        <v>0</v>
      </c>
      <c r="Q91" s="192">
        <f>P91/Q$70</f>
        <v>0</v>
      </c>
      <c r="R91" s="134">
        <v>1</v>
      </c>
      <c r="S91" s="192">
        <f>R91/S$70</f>
        <v>1.8518518518518517E-2</v>
      </c>
      <c r="T91" s="211"/>
      <c r="U91" s="203" t="e">
        <f>T91/U$70</f>
        <v>#DIV/0!</v>
      </c>
      <c r="V91" s="195"/>
      <c r="W91" s="205">
        <f t="shared" si="17"/>
        <v>1.25</v>
      </c>
      <c r="X91" s="206" t="e">
        <f t="shared" si="17"/>
        <v>#DIV/0!</v>
      </c>
    </row>
    <row r="92" spans="1:24" s="1" customFormat="1" ht="15" customHeight="1" thickBot="1" x14ac:dyDescent="0.25">
      <c r="A92" s="212" t="s">
        <v>66</v>
      </c>
      <c r="B92" s="435">
        <v>0</v>
      </c>
      <c r="C92" s="436" t="e">
        <f>B92/C$70</f>
        <v>#DIV/0!</v>
      </c>
      <c r="D92" s="435">
        <v>0</v>
      </c>
      <c r="E92" s="437" t="e">
        <f>D92/E$70</f>
        <v>#DIV/0!</v>
      </c>
      <c r="F92" s="438"/>
      <c r="G92" s="437"/>
      <c r="H92" s="438"/>
      <c r="I92" s="437"/>
      <c r="J92" s="438"/>
      <c r="K92" s="437"/>
      <c r="L92" s="163">
        <v>0</v>
      </c>
      <c r="M92" s="215">
        <f>L92/M$70</f>
        <v>0</v>
      </c>
      <c r="N92" s="163">
        <v>0</v>
      </c>
      <c r="O92" s="215">
        <f>N92/O$70</f>
        <v>0</v>
      </c>
      <c r="P92" s="163">
        <v>0</v>
      </c>
      <c r="Q92" s="215">
        <f>P92/Q$70</f>
        <v>0</v>
      </c>
      <c r="R92" s="163">
        <v>0</v>
      </c>
      <c r="S92" s="215">
        <f>R92/S$70</f>
        <v>0</v>
      </c>
      <c r="T92" s="217"/>
      <c r="U92" s="218" t="e">
        <f>T92/U$70</f>
        <v>#DIV/0!</v>
      </c>
      <c r="V92" s="195"/>
      <c r="W92" s="219">
        <f t="shared" si="17"/>
        <v>0</v>
      </c>
      <c r="X92" s="220" t="e">
        <f t="shared" si="17"/>
        <v>#DIV/0!</v>
      </c>
    </row>
    <row r="93" spans="1:24" ht="15" customHeight="1" thickTop="1" x14ac:dyDescent="0.2">
      <c r="A93" s="743" t="s">
        <v>248</v>
      </c>
    </row>
    <row r="94" spans="1:24" ht="15" customHeight="1" x14ac:dyDescent="0.2">
      <c r="A94" s="1"/>
      <c r="H94" s="65" t="s">
        <v>19</v>
      </c>
      <c r="J94" s="65" t="s">
        <v>19</v>
      </c>
      <c r="L94" s="65" t="s">
        <v>19</v>
      </c>
      <c r="N94" s="65" t="s">
        <v>19</v>
      </c>
      <c r="P94" s="65" t="s">
        <v>19</v>
      </c>
      <c r="R94" s="65" t="s">
        <v>19</v>
      </c>
      <c r="T94" s="65" t="s">
        <v>19</v>
      </c>
    </row>
    <row r="95" spans="1:24" ht="15" customHeight="1" x14ac:dyDescent="0.2">
      <c r="A95" s="1"/>
    </row>
    <row r="96" spans="1:24" x14ac:dyDescent="0.2">
      <c r="A96" s="1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x14ac:dyDescent="0.2">
      <c r="A100" s="1"/>
    </row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x14ac:dyDescent="0.2">
      <c r="A107" s="1"/>
    </row>
    <row r="108" spans="1:1" x14ac:dyDescent="0.2">
      <c r="A108" s="1"/>
    </row>
    <row r="109" spans="1:1" x14ac:dyDescent="0.2">
      <c r="A109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x14ac:dyDescent="0.2">
      <c r="A120" s="1"/>
    </row>
    <row r="121" spans="1:1" x14ac:dyDescent="0.2">
      <c r="A121" s="1"/>
    </row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x14ac:dyDescent="0.2">
      <c r="A128" s="1"/>
    </row>
    <row r="129" spans="1:1" x14ac:dyDescent="0.2">
      <c r="A129" s="1"/>
    </row>
    <row r="130" spans="1:1" x14ac:dyDescent="0.2">
      <c r="A130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x14ac:dyDescent="0.2">
      <c r="A152" s="1"/>
    </row>
    <row r="153" spans="1:1" x14ac:dyDescent="0.2">
      <c r="A153" s="1"/>
    </row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  <row r="177" spans="1:1" x14ac:dyDescent="0.2">
      <c r="A177" s="1"/>
    </row>
    <row r="178" spans="1:1" x14ac:dyDescent="0.2">
      <c r="A178" s="1"/>
    </row>
    <row r="179" spans="1:1" x14ac:dyDescent="0.2">
      <c r="A179" s="1"/>
    </row>
    <row r="180" spans="1:1" x14ac:dyDescent="0.2">
      <c r="A180" s="1"/>
    </row>
    <row r="181" spans="1:1" x14ac:dyDescent="0.2">
      <c r="A181" s="1"/>
    </row>
    <row r="182" spans="1:1" x14ac:dyDescent="0.2">
      <c r="A182" s="1"/>
    </row>
    <row r="183" spans="1:1" x14ac:dyDescent="0.2">
      <c r="A183" s="1"/>
    </row>
    <row r="184" spans="1:1" x14ac:dyDescent="0.2">
      <c r="A184" s="1"/>
    </row>
    <row r="185" spans="1:1" x14ac:dyDescent="0.2">
      <c r="A185" s="1"/>
    </row>
    <row r="186" spans="1:1" x14ac:dyDescent="0.2">
      <c r="A186" s="1"/>
    </row>
    <row r="187" spans="1:1" x14ac:dyDescent="0.2">
      <c r="A187" s="1"/>
    </row>
    <row r="188" spans="1:1" x14ac:dyDescent="0.2">
      <c r="A188" s="1"/>
    </row>
    <row r="189" spans="1:1" x14ac:dyDescent="0.2">
      <c r="A189" s="1"/>
    </row>
    <row r="190" spans="1:1" x14ac:dyDescent="0.2">
      <c r="A190" s="1"/>
    </row>
    <row r="191" spans="1:1" x14ac:dyDescent="0.2">
      <c r="A191" s="1"/>
    </row>
    <row r="192" spans="1:1" x14ac:dyDescent="0.2">
      <c r="A192" s="1"/>
    </row>
    <row r="193" spans="1:1" x14ac:dyDescent="0.2">
      <c r="A193" s="1"/>
    </row>
    <row r="194" spans="1:1" x14ac:dyDescent="0.2">
      <c r="A194" s="1"/>
    </row>
    <row r="195" spans="1:1" x14ac:dyDescent="0.2">
      <c r="A195" s="1"/>
    </row>
    <row r="196" spans="1:1" x14ac:dyDescent="0.2">
      <c r="A196" s="1"/>
    </row>
    <row r="197" spans="1:1" x14ac:dyDescent="0.2">
      <c r="A197" s="1"/>
    </row>
    <row r="198" spans="1:1" x14ac:dyDescent="0.2">
      <c r="A198" s="1"/>
    </row>
    <row r="199" spans="1:1" x14ac:dyDescent="0.2">
      <c r="A199" s="1"/>
    </row>
    <row r="200" spans="1:1" x14ac:dyDescent="0.2">
      <c r="A200" s="1"/>
    </row>
    <row r="201" spans="1:1" x14ac:dyDescent="0.2">
      <c r="A201" s="1"/>
    </row>
    <row r="202" spans="1:1" x14ac:dyDescent="0.2">
      <c r="A202" s="1"/>
    </row>
    <row r="203" spans="1:1" x14ac:dyDescent="0.2">
      <c r="A203" s="1"/>
    </row>
    <row r="204" spans="1:1" x14ac:dyDescent="0.2">
      <c r="A204" s="1"/>
    </row>
    <row r="205" spans="1:1" x14ac:dyDescent="0.2">
      <c r="A205" s="1"/>
    </row>
    <row r="206" spans="1:1" x14ac:dyDescent="0.2">
      <c r="A206" s="1"/>
    </row>
    <row r="207" spans="1:1" x14ac:dyDescent="0.2">
      <c r="A207" s="1"/>
    </row>
    <row r="208" spans="1:1" x14ac:dyDescent="0.2">
      <c r="A208" s="1"/>
    </row>
    <row r="209" spans="1:1" x14ac:dyDescent="0.2">
      <c r="A209" s="1"/>
    </row>
    <row r="210" spans="1:1" x14ac:dyDescent="0.2">
      <c r="A210" s="1"/>
    </row>
    <row r="211" spans="1:1" x14ac:dyDescent="0.2">
      <c r="A211" s="1"/>
    </row>
    <row r="212" spans="1:1" x14ac:dyDescent="0.2">
      <c r="A212" s="1"/>
    </row>
    <row r="213" spans="1:1" x14ac:dyDescent="0.2">
      <c r="A213" s="1"/>
    </row>
    <row r="214" spans="1:1" x14ac:dyDescent="0.2">
      <c r="A214" s="1"/>
    </row>
    <row r="215" spans="1:1" x14ac:dyDescent="0.2">
      <c r="A215" s="1"/>
    </row>
    <row r="216" spans="1:1" x14ac:dyDescent="0.2">
      <c r="A216" s="1"/>
    </row>
    <row r="217" spans="1:1" x14ac:dyDescent="0.2">
      <c r="A217" s="1"/>
    </row>
    <row r="218" spans="1:1" x14ac:dyDescent="0.2">
      <c r="A218" s="1"/>
    </row>
    <row r="219" spans="1:1" x14ac:dyDescent="0.2">
      <c r="A219" s="1"/>
    </row>
    <row r="220" spans="1:1" x14ac:dyDescent="0.2">
      <c r="A220" s="1"/>
    </row>
    <row r="221" spans="1:1" x14ac:dyDescent="0.2">
      <c r="A221" s="1"/>
    </row>
    <row r="222" spans="1:1" x14ac:dyDescent="0.2">
      <c r="A222" s="1"/>
    </row>
    <row r="223" spans="1:1" x14ac:dyDescent="0.2">
      <c r="A223" s="1"/>
    </row>
    <row r="224" spans="1:1" x14ac:dyDescent="0.2">
      <c r="A224" s="1"/>
    </row>
    <row r="225" spans="1:1" x14ac:dyDescent="0.2">
      <c r="A225" s="1"/>
    </row>
    <row r="226" spans="1:1" x14ac:dyDescent="0.2">
      <c r="A226" s="1"/>
    </row>
    <row r="227" spans="1:1" x14ac:dyDescent="0.2">
      <c r="A227" s="1"/>
    </row>
    <row r="228" spans="1:1" x14ac:dyDescent="0.2">
      <c r="A228" s="1"/>
    </row>
    <row r="229" spans="1:1" x14ac:dyDescent="0.2">
      <c r="A229" s="1"/>
    </row>
    <row r="230" spans="1:1" x14ac:dyDescent="0.2">
      <c r="A230" s="1"/>
    </row>
    <row r="231" spans="1:1" x14ac:dyDescent="0.2">
      <c r="A231" s="1"/>
    </row>
    <row r="232" spans="1:1" x14ac:dyDescent="0.2">
      <c r="A232" s="1"/>
    </row>
    <row r="233" spans="1:1" x14ac:dyDescent="0.2">
      <c r="A233" s="1"/>
    </row>
    <row r="234" spans="1:1" x14ac:dyDescent="0.2">
      <c r="A234" s="1"/>
    </row>
    <row r="235" spans="1:1" x14ac:dyDescent="0.2">
      <c r="A235" s="1"/>
    </row>
    <row r="236" spans="1:1" x14ac:dyDescent="0.2">
      <c r="A236" s="1"/>
    </row>
    <row r="237" spans="1:1" x14ac:dyDescent="0.2">
      <c r="A237" s="1"/>
    </row>
    <row r="238" spans="1:1" x14ac:dyDescent="0.2">
      <c r="A238" s="1"/>
    </row>
    <row r="239" spans="1:1" x14ac:dyDescent="0.2">
      <c r="A239" s="1"/>
    </row>
    <row r="240" spans="1:1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6" spans="1:1" x14ac:dyDescent="0.2">
      <c r="A296" s="1"/>
    </row>
    <row r="297" spans="1:1" x14ac:dyDescent="0.2">
      <c r="A297" s="1"/>
    </row>
    <row r="298" spans="1:1" x14ac:dyDescent="0.2">
      <c r="A298" s="1"/>
    </row>
    <row r="299" spans="1:1" x14ac:dyDescent="0.2">
      <c r="A299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  <row r="303" spans="1:1" x14ac:dyDescent="0.2">
      <c r="A303" s="1"/>
    </row>
    <row r="304" spans="1:1" x14ac:dyDescent="0.2">
      <c r="A304" s="1"/>
    </row>
    <row r="305" spans="1:1" x14ac:dyDescent="0.2">
      <c r="A305" s="1"/>
    </row>
    <row r="306" spans="1:1" x14ac:dyDescent="0.2">
      <c r="A306" s="1"/>
    </row>
    <row r="307" spans="1:1" x14ac:dyDescent="0.2">
      <c r="A307" s="1"/>
    </row>
    <row r="308" spans="1:1" x14ac:dyDescent="0.2">
      <c r="A308" s="1"/>
    </row>
    <row r="309" spans="1:1" x14ac:dyDescent="0.2">
      <c r="A309" s="1"/>
    </row>
    <row r="310" spans="1:1" x14ac:dyDescent="0.2">
      <c r="A310" s="1"/>
    </row>
    <row r="311" spans="1:1" x14ac:dyDescent="0.2">
      <c r="A311" s="1"/>
    </row>
    <row r="312" spans="1:1" x14ac:dyDescent="0.2">
      <c r="A312" s="1"/>
    </row>
    <row r="313" spans="1:1" x14ac:dyDescent="0.2">
      <c r="A313" s="1"/>
    </row>
    <row r="314" spans="1:1" x14ac:dyDescent="0.2">
      <c r="A314" s="1"/>
    </row>
    <row r="315" spans="1:1" x14ac:dyDescent="0.2">
      <c r="A315" s="1"/>
    </row>
    <row r="316" spans="1:1" x14ac:dyDescent="0.2">
      <c r="A316" s="1"/>
    </row>
    <row r="317" spans="1:1" x14ac:dyDescent="0.2">
      <c r="A317" s="1"/>
    </row>
    <row r="318" spans="1:1" x14ac:dyDescent="0.2">
      <c r="A318" s="1"/>
    </row>
    <row r="319" spans="1:1" x14ac:dyDescent="0.2">
      <c r="A319" s="1"/>
    </row>
    <row r="320" spans="1:1" x14ac:dyDescent="0.2">
      <c r="A320" s="1"/>
    </row>
    <row r="321" spans="1:1" x14ac:dyDescent="0.2">
      <c r="A321" s="1"/>
    </row>
    <row r="322" spans="1:1" x14ac:dyDescent="0.2">
      <c r="A322" s="1"/>
    </row>
    <row r="323" spans="1:1" x14ac:dyDescent="0.2">
      <c r="A323" s="1"/>
    </row>
    <row r="324" spans="1:1" x14ac:dyDescent="0.2">
      <c r="A324" s="1"/>
    </row>
    <row r="325" spans="1:1" x14ac:dyDescent="0.2">
      <c r="A325" s="1"/>
    </row>
    <row r="326" spans="1:1" x14ac:dyDescent="0.2">
      <c r="A326" s="1"/>
    </row>
    <row r="327" spans="1:1" x14ac:dyDescent="0.2">
      <c r="A327" s="1"/>
    </row>
    <row r="328" spans="1:1" x14ac:dyDescent="0.2">
      <c r="A328" s="1"/>
    </row>
    <row r="329" spans="1:1" x14ac:dyDescent="0.2">
      <c r="A329" s="1"/>
    </row>
    <row r="330" spans="1:1" x14ac:dyDescent="0.2">
      <c r="A330" s="1"/>
    </row>
    <row r="331" spans="1:1" x14ac:dyDescent="0.2">
      <c r="A331" s="1"/>
    </row>
    <row r="332" spans="1:1" x14ac:dyDescent="0.2">
      <c r="A332" s="1"/>
    </row>
    <row r="333" spans="1:1" x14ac:dyDescent="0.2">
      <c r="A333" s="1"/>
    </row>
    <row r="334" spans="1:1" x14ac:dyDescent="0.2">
      <c r="A334" s="1"/>
    </row>
    <row r="335" spans="1:1" x14ac:dyDescent="0.2">
      <c r="A335" s="1"/>
    </row>
    <row r="336" spans="1:1" x14ac:dyDescent="0.2">
      <c r="A336" s="1"/>
    </row>
    <row r="337" spans="1:1" x14ac:dyDescent="0.2">
      <c r="A337" s="1"/>
    </row>
    <row r="338" spans="1:1" x14ac:dyDescent="0.2">
      <c r="A338" s="1"/>
    </row>
    <row r="339" spans="1:1" x14ac:dyDescent="0.2">
      <c r="A339" s="1"/>
    </row>
    <row r="340" spans="1:1" x14ac:dyDescent="0.2">
      <c r="A340" s="1"/>
    </row>
    <row r="341" spans="1:1" x14ac:dyDescent="0.2">
      <c r="A341" s="1"/>
    </row>
    <row r="342" spans="1:1" x14ac:dyDescent="0.2">
      <c r="A342" s="1"/>
    </row>
    <row r="343" spans="1:1" x14ac:dyDescent="0.2">
      <c r="A343" s="1"/>
    </row>
    <row r="344" spans="1:1" x14ac:dyDescent="0.2">
      <c r="A344" s="1"/>
    </row>
    <row r="345" spans="1:1" x14ac:dyDescent="0.2">
      <c r="A345" s="1"/>
    </row>
    <row r="346" spans="1:1" x14ac:dyDescent="0.2">
      <c r="A346" s="1"/>
    </row>
    <row r="347" spans="1:1" x14ac:dyDescent="0.2">
      <c r="A347" s="1"/>
    </row>
    <row r="348" spans="1:1" x14ac:dyDescent="0.2">
      <c r="A348" s="1"/>
    </row>
    <row r="349" spans="1:1" x14ac:dyDescent="0.2">
      <c r="A349" s="1"/>
    </row>
    <row r="350" spans="1:1" x14ac:dyDescent="0.2">
      <c r="A350" s="1"/>
    </row>
    <row r="351" spans="1:1" x14ac:dyDescent="0.2">
      <c r="A351" s="1"/>
    </row>
    <row r="352" spans="1:1" x14ac:dyDescent="0.2">
      <c r="A352" s="1"/>
    </row>
    <row r="353" spans="1:1" x14ac:dyDescent="0.2">
      <c r="A353" s="1"/>
    </row>
    <row r="354" spans="1:1" x14ac:dyDescent="0.2">
      <c r="A354" s="1"/>
    </row>
    <row r="355" spans="1:1" x14ac:dyDescent="0.2">
      <c r="A355" s="1"/>
    </row>
    <row r="356" spans="1:1" x14ac:dyDescent="0.2">
      <c r="A356" s="1"/>
    </row>
    <row r="357" spans="1:1" x14ac:dyDescent="0.2">
      <c r="A357" s="1"/>
    </row>
    <row r="358" spans="1:1" x14ac:dyDescent="0.2">
      <c r="A358" s="1"/>
    </row>
    <row r="359" spans="1:1" x14ac:dyDescent="0.2">
      <c r="A359" s="1"/>
    </row>
    <row r="360" spans="1:1" x14ac:dyDescent="0.2">
      <c r="A360" s="1"/>
    </row>
    <row r="361" spans="1:1" x14ac:dyDescent="0.2">
      <c r="A361" s="1"/>
    </row>
    <row r="362" spans="1:1" x14ac:dyDescent="0.2">
      <c r="A362" s="1"/>
    </row>
    <row r="363" spans="1:1" x14ac:dyDescent="0.2">
      <c r="A363" s="1"/>
    </row>
    <row r="364" spans="1:1" x14ac:dyDescent="0.2">
      <c r="A364" s="1"/>
    </row>
    <row r="365" spans="1:1" x14ac:dyDescent="0.2">
      <c r="A365" s="1"/>
    </row>
    <row r="366" spans="1:1" x14ac:dyDescent="0.2">
      <c r="A366" s="1"/>
    </row>
    <row r="367" spans="1:1" x14ac:dyDescent="0.2">
      <c r="A367" s="1"/>
    </row>
    <row r="368" spans="1:1" x14ac:dyDescent="0.2">
      <c r="A368" s="1"/>
    </row>
    <row r="369" spans="1:1" x14ac:dyDescent="0.2">
      <c r="A369" s="1"/>
    </row>
    <row r="370" spans="1:1" x14ac:dyDescent="0.2">
      <c r="A370" s="1"/>
    </row>
    <row r="371" spans="1:1" x14ac:dyDescent="0.2">
      <c r="A371" s="1"/>
    </row>
    <row r="372" spans="1:1" x14ac:dyDescent="0.2">
      <c r="A372" s="1"/>
    </row>
    <row r="373" spans="1:1" x14ac:dyDescent="0.2">
      <c r="A373" s="1"/>
    </row>
    <row r="374" spans="1:1" x14ac:dyDescent="0.2">
      <c r="A374" s="1"/>
    </row>
    <row r="375" spans="1:1" x14ac:dyDescent="0.2">
      <c r="A375" s="1"/>
    </row>
    <row r="376" spans="1:1" x14ac:dyDescent="0.2">
      <c r="A376" s="1"/>
    </row>
    <row r="377" spans="1:1" x14ac:dyDescent="0.2">
      <c r="A377" s="1"/>
    </row>
    <row r="378" spans="1:1" x14ac:dyDescent="0.2">
      <c r="A378" s="1"/>
    </row>
    <row r="379" spans="1:1" x14ac:dyDescent="0.2">
      <c r="A379" s="1"/>
    </row>
    <row r="380" spans="1:1" x14ac:dyDescent="0.2">
      <c r="A380" s="1"/>
    </row>
    <row r="381" spans="1:1" x14ac:dyDescent="0.2">
      <c r="A381" s="1"/>
    </row>
    <row r="382" spans="1:1" x14ac:dyDescent="0.2">
      <c r="A382" s="1"/>
    </row>
    <row r="383" spans="1:1" x14ac:dyDescent="0.2">
      <c r="A383" s="1"/>
    </row>
    <row r="384" spans="1:1" x14ac:dyDescent="0.2">
      <c r="A384" s="1"/>
    </row>
    <row r="385" spans="1:1" x14ac:dyDescent="0.2">
      <c r="A385" s="1"/>
    </row>
    <row r="386" spans="1:1" x14ac:dyDescent="0.2">
      <c r="A386" s="1"/>
    </row>
    <row r="387" spans="1:1" x14ac:dyDescent="0.2">
      <c r="A387" s="1"/>
    </row>
    <row r="388" spans="1:1" x14ac:dyDescent="0.2">
      <c r="A388" s="1"/>
    </row>
    <row r="389" spans="1:1" x14ac:dyDescent="0.2">
      <c r="A389" s="1"/>
    </row>
    <row r="390" spans="1:1" x14ac:dyDescent="0.2">
      <c r="A390" s="1"/>
    </row>
    <row r="391" spans="1:1" x14ac:dyDescent="0.2">
      <c r="A391" s="1"/>
    </row>
    <row r="392" spans="1:1" x14ac:dyDescent="0.2">
      <c r="A392" s="1"/>
    </row>
    <row r="393" spans="1:1" x14ac:dyDescent="0.2">
      <c r="A393" s="1"/>
    </row>
    <row r="394" spans="1:1" x14ac:dyDescent="0.2">
      <c r="A394" s="1"/>
    </row>
    <row r="395" spans="1:1" x14ac:dyDescent="0.2">
      <c r="A395" s="1"/>
    </row>
    <row r="396" spans="1:1" x14ac:dyDescent="0.2">
      <c r="A396" s="1"/>
    </row>
    <row r="397" spans="1:1" x14ac:dyDescent="0.2">
      <c r="A397" s="1"/>
    </row>
    <row r="398" spans="1:1" x14ac:dyDescent="0.2">
      <c r="A398" s="1"/>
    </row>
    <row r="399" spans="1:1" x14ac:dyDescent="0.2">
      <c r="A399" s="1"/>
    </row>
    <row r="400" spans="1:1" x14ac:dyDescent="0.2">
      <c r="A400" s="1"/>
    </row>
    <row r="401" spans="1:1" x14ac:dyDescent="0.2">
      <c r="A401" s="1"/>
    </row>
    <row r="402" spans="1:1" x14ac:dyDescent="0.2">
      <c r="A402" s="1"/>
    </row>
    <row r="403" spans="1:1" x14ac:dyDescent="0.2">
      <c r="A403" s="1"/>
    </row>
    <row r="404" spans="1:1" x14ac:dyDescent="0.2">
      <c r="A404" s="1"/>
    </row>
    <row r="405" spans="1:1" x14ac:dyDescent="0.2">
      <c r="A405" s="1"/>
    </row>
    <row r="406" spans="1:1" x14ac:dyDescent="0.2">
      <c r="A406" s="1"/>
    </row>
    <row r="407" spans="1:1" x14ac:dyDescent="0.2">
      <c r="A407" s="1"/>
    </row>
    <row r="408" spans="1:1" x14ac:dyDescent="0.2">
      <c r="A408" s="1"/>
    </row>
    <row r="409" spans="1:1" x14ac:dyDescent="0.2">
      <c r="A409" s="1"/>
    </row>
    <row r="410" spans="1:1" x14ac:dyDescent="0.2">
      <c r="A410" s="1"/>
    </row>
    <row r="411" spans="1:1" x14ac:dyDescent="0.2">
      <c r="A411" s="1"/>
    </row>
    <row r="412" spans="1:1" x14ac:dyDescent="0.2">
      <c r="A412" s="1"/>
    </row>
    <row r="413" spans="1:1" x14ac:dyDescent="0.2">
      <c r="A413" s="1"/>
    </row>
    <row r="414" spans="1:1" x14ac:dyDescent="0.2">
      <c r="A414" s="1"/>
    </row>
    <row r="415" spans="1:1" x14ac:dyDescent="0.2">
      <c r="A415" s="1"/>
    </row>
    <row r="416" spans="1:1" x14ac:dyDescent="0.2">
      <c r="A416" s="1"/>
    </row>
    <row r="417" spans="1:1" x14ac:dyDescent="0.2">
      <c r="A417" s="1"/>
    </row>
    <row r="418" spans="1:1" x14ac:dyDescent="0.2">
      <c r="A418" s="1"/>
    </row>
    <row r="419" spans="1:1" x14ac:dyDescent="0.2">
      <c r="A419" s="1"/>
    </row>
    <row r="420" spans="1:1" x14ac:dyDescent="0.2">
      <c r="A420" s="1"/>
    </row>
    <row r="421" spans="1:1" x14ac:dyDescent="0.2">
      <c r="A421" s="1"/>
    </row>
    <row r="422" spans="1:1" x14ac:dyDescent="0.2">
      <c r="A422" s="1"/>
    </row>
    <row r="423" spans="1:1" x14ac:dyDescent="0.2">
      <c r="A423" s="1"/>
    </row>
    <row r="424" spans="1:1" x14ac:dyDescent="0.2">
      <c r="A424" s="1"/>
    </row>
    <row r="425" spans="1:1" x14ac:dyDescent="0.2">
      <c r="A425" s="1"/>
    </row>
    <row r="426" spans="1:1" x14ac:dyDescent="0.2">
      <c r="A426" s="1"/>
    </row>
    <row r="427" spans="1:1" x14ac:dyDescent="0.2">
      <c r="A427" s="1"/>
    </row>
    <row r="428" spans="1:1" x14ac:dyDescent="0.2">
      <c r="A428" s="1"/>
    </row>
    <row r="429" spans="1:1" x14ac:dyDescent="0.2">
      <c r="A429" s="1"/>
    </row>
    <row r="430" spans="1:1" x14ac:dyDescent="0.2">
      <c r="A430" s="1"/>
    </row>
    <row r="431" spans="1:1" x14ac:dyDescent="0.2">
      <c r="A431" s="1"/>
    </row>
    <row r="432" spans="1:1" x14ac:dyDescent="0.2">
      <c r="A432" s="1"/>
    </row>
    <row r="433" spans="1:1" x14ac:dyDescent="0.2">
      <c r="A433" s="1"/>
    </row>
    <row r="434" spans="1:1" x14ac:dyDescent="0.2">
      <c r="A434" s="1"/>
    </row>
    <row r="435" spans="1:1" x14ac:dyDescent="0.2">
      <c r="A435" s="1"/>
    </row>
    <row r="436" spans="1:1" x14ac:dyDescent="0.2">
      <c r="A436" s="1"/>
    </row>
    <row r="437" spans="1:1" x14ac:dyDescent="0.2">
      <c r="A437" s="1"/>
    </row>
    <row r="438" spans="1:1" x14ac:dyDescent="0.2">
      <c r="A438" s="1"/>
    </row>
    <row r="439" spans="1:1" x14ac:dyDescent="0.2">
      <c r="A439" s="1"/>
    </row>
  </sheetData>
  <mergeCells count="77">
    <mergeCell ref="W9:X9"/>
    <mergeCell ref="P9:Q9"/>
    <mergeCell ref="B9:C9"/>
    <mergeCell ref="D9:E9"/>
    <mergeCell ref="F9:G9"/>
    <mergeCell ref="H9:I9"/>
    <mergeCell ref="J9:K9"/>
    <mergeCell ref="T9:U9"/>
    <mergeCell ref="L30:M30"/>
    <mergeCell ref="N30:O30"/>
    <mergeCell ref="L9:M9"/>
    <mergeCell ref="N9:O9"/>
    <mergeCell ref="R9:S9"/>
    <mergeCell ref="B30:C30"/>
    <mergeCell ref="D30:E30"/>
    <mergeCell ref="F30:G30"/>
    <mergeCell ref="H30:I30"/>
    <mergeCell ref="J30:K30"/>
    <mergeCell ref="P38:Q38"/>
    <mergeCell ref="R38:S38"/>
    <mergeCell ref="W38:X38"/>
    <mergeCell ref="R30:S30"/>
    <mergeCell ref="W30:X30"/>
    <mergeCell ref="P30:Q30"/>
    <mergeCell ref="T30:U30"/>
    <mergeCell ref="T38:U38"/>
    <mergeCell ref="J38:K38"/>
    <mergeCell ref="L38:M38"/>
    <mergeCell ref="N38:O38"/>
    <mergeCell ref="B38:C38"/>
    <mergeCell ref="D38:E38"/>
    <mergeCell ref="F38:G38"/>
    <mergeCell ref="H38:I38"/>
    <mergeCell ref="B49:C49"/>
    <mergeCell ref="D49:E49"/>
    <mergeCell ref="F49:G49"/>
    <mergeCell ref="H49:I49"/>
    <mergeCell ref="P49:Q49"/>
    <mergeCell ref="J49:K49"/>
    <mergeCell ref="L49:M49"/>
    <mergeCell ref="N49:O49"/>
    <mergeCell ref="R42:S42"/>
    <mergeCell ref="W42:X42"/>
    <mergeCell ref="P42:Q42"/>
    <mergeCell ref="B42:C42"/>
    <mergeCell ref="D42:E42"/>
    <mergeCell ref="F42:G42"/>
    <mergeCell ref="H42:I42"/>
    <mergeCell ref="J42:K42"/>
    <mergeCell ref="L42:M42"/>
    <mergeCell ref="N42:O42"/>
    <mergeCell ref="T42:U42"/>
    <mergeCell ref="R49:S49"/>
    <mergeCell ref="W52:X52"/>
    <mergeCell ref="P52:Q52"/>
    <mergeCell ref="R52:S52"/>
    <mergeCell ref="J52:K52"/>
    <mergeCell ref="L52:M52"/>
    <mergeCell ref="N52:O52"/>
    <mergeCell ref="W49:X49"/>
    <mergeCell ref="T49:U49"/>
    <mergeCell ref="T52:U52"/>
    <mergeCell ref="P58:Q58"/>
    <mergeCell ref="R58:S58"/>
    <mergeCell ref="W58:X58"/>
    <mergeCell ref="B58:C58"/>
    <mergeCell ref="D58:E58"/>
    <mergeCell ref="F58:G58"/>
    <mergeCell ref="H58:I58"/>
    <mergeCell ref="J58:K58"/>
    <mergeCell ref="T58:U58"/>
    <mergeCell ref="B52:C52"/>
    <mergeCell ref="D52:E52"/>
    <mergeCell ref="F52:G52"/>
    <mergeCell ref="L58:M58"/>
    <mergeCell ref="N58:O58"/>
    <mergeCell ref="H52:I52"/>
  </mergeCells>
  <printOptions horizontalCentered="1"/>
  <pageMargins left="0.75" right="0.75" top="0.5" bottom="0.5" header="0.5" footer="0.25"/>
  <pageSetup scale="57" orientation="landscape" r:id="rId1"/>
  <headerFooter alignWithMargins="0">
    <oddFooter>&amp;LPrepared by Planning and Analysis&amp;C&amp;P of &amp;N&amp;RUpdated &amp;D</oddFooter>
  </headerFooter>
  <rowBreaks count="1" manualBreakCount="1">
    <brk id="56" max="21" man="1"/>
  </rowBreaks>
  <colBreaks count="1" manualBreakCount="1">
    <brk id="21" min="8" max="92" man="1"/>
  </colBreaks>
  <ignoredErrors>
    <ignoredError sqref="N73:S136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A417"/>
  <sheetViews>
    <sheetView view="pageBreakPreview" zoomScaleNormal="85" zoomScaleSheetLayoutView="100" workbookViewId="0">
      <pane xSplit="1" ySplit="1" topLeftCell="T2" activePane="bottomRight" state="frozen"/>
      <selection activeCell="T36" sqref="T36:U36"/>
      <selection pane="topRight" activeCell="T36" sqref="T36:U36"/>
      <selection pane="bottomLeft" activeCell="T36" sqref="T36:U36"/>
      <selection pane="bottomRight" activeCell="T36" sqref="T36:U36"/>
    </sheetView>
  </sheetViews>
  <sheetFormatPr defaultColWidth="10.28515625" defaultRowHeight="12.75" x14ac:dyDescent="0.2"/>
  <cols>
    <col min="1" max="1" width="33.5703125" customWidth="1"/>
    <col min="2" max="2" width="6.7109375" hidden="1" customWidth="1"/>
    <col min="3" max="3" width="10.7109375" hidden="1" customWidth="1"/>
    <col min="4" max="4" width="6.7109375" hidden="1" customWidth="1"/>
    <col min="5" max="5" width="10.7109375" hidden="1" customWidth="1"/>
    <col min="6" max="6" width="6.7109375" customWidth="1"/>
    <col min="7" max="7" width="10.7109375" customWidth="1"/>
    <col min="8" max="8" width="6.7109375" customWidth="1"/>
    <col min="9" max="9" width="10.7109375" customWidth="1"/>
    <col min="10" max="10" width="6.7109375" customWidth="1"/>
    <col min="11" max="11" width="10.7109375" customWidth="1"/>
    <col min="12" max="12" width="6.7109375" customWidth="1"/>
    <col min="13" max="13" width="10.7109375" customWidth="1"/>
    <col min="14" max="14" width="6.7109375" customWidth="1"/>
    <col min="15" max="15" width="10.7109375" customWidth="1"/>
    <col min="16" max="16" width="6.7109375" customWidth="1"/>
    <col min="17" max="17" width="10.7109375" customWidth="1"/>
    <col min="18" max="18" width="6.7109375" customWidth="1"/>
    <col min="19" max="19" width="10.7109375" customWidth="1"/>
    <col min="20" max="20" width="6.7109375" customWidth="1"/>
    <col min="21" max="21" width="10.7109375" customWidth="1"/>
    <col min="22" max="22" width="3.28515625" customWidth="1"/>
    <col min="23" max="23" width="6.7109375" customWidth="1"/>
    <col min="24" max="24" width="10.7109375" customWidth="1"/>
    <col min="25" max="25" width="1.5703125" customWidth="1"/>
  </cols>
  <sheetData>
    <row r="1" spans="1:26" ht="15.75" x14ac:dyDescent="0.25">
      <c r="A1" s="667" t="s">
        <v>240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</row>
    <row r="2" spans="1:26" ht="15.75" x14ac:dyDescent="0.25">
      <c r="A2" s="667" t="s">
        <v>241</v>
      </c>
    </row>
    <row r="3" spans="1:26" ht="15.75" x14ac:dyDescent="0.25">
      <c r="A3" s="667"/>
    </row>
    <row r="4" spans="1:26" ht="15.75" x14ac:dyDescent="0.25">
      <c r="A4" s="668" t="s">
        <v>261</v>
      </c>
    </row>
    <row r="5" spans="1:26" ht="15.75" x14ac:dyDescent="0.25">
      <c r="A5" s="668"/>
    </row>
    <row r="6" spans="1:26" x14ac:dyDescent="0.2">
      <c r="A6" s="3" t="s">
        <v>283</v>
      </c>
      <c r="U6" s="65" t="s">
        <v>19</v>
      </c>
    </row>
    <row r="7" spans="1:26" x14ac:dyDescent="0.2">
      <c r="A7" s="720">
        <v>3670020200</v>
      </c>
    </row>
    <row r="8" spans="1:26" ht="13.5" thickBot="1" x14ac:dyDescent="0.25">
      <c r="A8" s="1"/>
    </row>
    <row r="9" spans="1:26" ht="15" customHeight="1" thickTop="1" x14ac:dyDescent="0.2">
      <c r="A9" s="4"/>
      <c r="B9" s="1401" t="s">
        <v>0</v>
      </c>
      <c r="C9" s="1398"/>
      <c r="D9" s="1401" t="s">
        <v>1</v>
      </c>
      <c r="E9" s="1398"/>
      <c r="F9" s="1401" t="s">
        <v>2</v>
      </c>
      <c r="G9" s="1398"/>
      <c r="H9" s="1401" t="s">
        <v>3</v>
      </c>
      <c r="I9" s="1398"/>
      <c r="J9" s="1401" t="s">
        <v>4</v>
      </c>
      <c r="K9" s="1398"/>
      <c r="L9" s="1401" t="s">
        <v>5</v>
      </c>
      <c r="M9" s="1398"/>
      <c r="N9" s="1401" t="s">
        <v>6</v>
      </c>
      <c r="O9" s="1398"/>
      <c r="P9" s="1401" t="s">
        <v>7</v>
      </c>
      <c r="Q9" s="1398"/>
      <c r="R9" s="1401" t="s">
        <v>8</v>
      </c>
      <c r="S9" s="1398"/>
      <c r="T9" s="1401" t="s">
        <v>301</v>
      </c>
      <c r="U9" s="1402"/>
      <c r="W9" s="1407" t="s">
        <v>9</v>
      </c>
      <c r="X9" s="1408"/>
    </row>
    <row r="10" spans="1:26" ht="15" customHeight="1" x14ac:dyDescent="0.2">
      <c r="A10" s="5"/>
      <c r="B10" s="68" t="s">
        <v>287</v>
      </c>
      <c r="C10" s="8" t="s">
        <v>10</v>
      </c>
      <c r="D10" s="68" t="s">
        <v>287</v>
      </c>
      <c r="E10" s="8" t="s">
        <v>10</v>
      </c>
      <c r="F10" s="68" t="s">
        <v>287</v>
      </c>
      <c r="G10" s="8" t="s">
        <v>10</v>
      </c>
      <c r="H10" s="68" t="s">
        <v>287</v>
      </c>
      <c r="I10" s="8" t="s">
        <v>10</v>
      </c>
      <c r="J10" s="68" t="s">
        <v>287</v>
      </c>
      <c r="K10" s="8" t="s">
        <v>10</v>
      </c>
      <c r="L10" s="68" t="s">
        <v>287</v>
      </c>
      <c r="M10" s="8" t="s">
        <v>10</v>
      </c>
      <c r="N10" s="68" t="s">
        <v>287</v>
      </c>
      <c r="O10" s="8" t="s">
        <v>10</v>
      </c>
      <c r="P10" s="68" t="s">
        <v>287</v>
      </c>
      <c r="Q10" s="8" t="s">
        <v>10</v>
      </c>
      <c r="R10" s="68" t="s">
        <v>287</v>
      </c>
      <c r="S10" s="8" t="s">
        <v>10</v>
      </c>
      <c r="T10" s="68" t="s">
        <v>287</v>
      </c>
      <c r="U10" s="97" t="s">
        <v>10</v>
      </c>
      <c r="W10" s="6" t="s">
        <v>287</v>
      </c>
      <c r="X10" s="7" t="s">
        <v>11</v>
      </c>
    </row>
    <row r="11" spans="1:26" ht="15" customHeight="1" thickBot="1" x14ac:dyDescent="0.25">
      <c r="A11" s="70" t="s">
        <v>77</v>
      </c>
      <c r="B11" s="69" t="s">
        <v>12</v>
      </c>
      <c r="C11" s="922" t="s">
        <v>13</v>
      </c>
      <c r="D11" s="69" t="s">
        <v>12</v>
      </c>
      <c r="E11" s="922" t="s">
        <v>13</v>
      </c>
      <c r="F11" s="69" t="s">
        <v>12</v>
      </c>
      <c r="G11" s="922" t="s">
        <v>13</v>
      </c>
      <c r="H11" s="69" t="s">
        <v>12</v>
      </c>
      <c r="I11" s="922" t="s">
        <v>13</v>
      </c>
      <c r="J11" s="69" t="s">
        <v>12</v>
      </c>
      <c r="K11" s="922" t="s">
        <v>13</v>
      </c>
      <c r="L11" s="69" t="s">
        <v>12</v>
      </c>
      <c r="M11" s="922" t="s">
        <v>13</v>
      </c>
      <c r="N11" s="69" t="s">
        <v>12</v>
      </c>
      <c r="O11" s="922" t="s">
        <v>13</v>
      </c>
      <c r="P11" s="69" t="s">
        <v>12</v>
      </c>
      <c r="Q11" s="922" t="s">
        <v>13</v>
      </c>
      <c r="R11" s="69" t="s">
        <v>12</v>
      </c>
      <c r="S11" s="922" t="s">
        <v>13</v>
      </c>
      <c r="T11" s="69" t="s">
        <v>12</v>
      </c>
      <c r="U11" s="10" t="s">
        <v>13</v>
      </c>
      <c r="W11" s="9" t="s">
        <v>12</v>
      </c>
      <c r="X11" s="10" t="s">
        <v>13</v>
      </c>
    </row>
    <row r="12" spans="1:26" ht="15" customHeight="1" x14ac:dyDescent="0.2">
      <c r="A12" s="391" t="s">
        <v>129</v>
      </c>
      <c r="B12" s="345"/>
      <c r="C12" s="662"/>
      <c r="D12" s="663"/>
      <c r="E12" s="664"/>
      <c r="F12" s="345"/>
      <c r="G12" s="664"/>
      <c r="H12" s="345"/>
      <c r="I12" s="664"/>
      <c r="J12" s="345"/>
      <c r="K12" s="664"/>
      <c r="L12" s="345"/>
      <c r="M12" s="664"/>
      <c r="N12" s="345"/>
      <c r="O12" s="664"/>
      <c r="P12" s="345"/>
      <c r="Q12" s="664"/>
      <c r="R12" s="345"/>
      <c r="S12" s="664"/>
      <c r="T12" s="345"/>
      <c r="U12" s="346"/>
      <c r="V12" s="226"/>
      <c r="W12" s="347"/>
      <c r="X12" s="348"/>
    </row>
    <row r="13" spans="1:26" s="23" customFormat="1" ht="15" customHeight="1" x14ac:dyDescent="0.2">
      <c r="A13" s="18" t="s">
        <v>15</v>
      </c>
      <c r="B13" s="20">
        <v>18</v>
      </c>
      <c r="C13" s="262"/>
      <c r="D13" s="22">
        <v>10</v>
      </c>
      <c r="E13" s="264"/>
      <c r="F13" s="20">
        <v>17</v>
      </c>
      <c r="G13" s="264"/>
      <c r="H13" s="20">
        <v>8</v>
      </c>
      <c r="I13" s="264"/>
      <c r="J13" s="20">
        <v>13</v>
      </c>
      <c r="K13" s="264"/>
      <c r="L13" s="20">
        <v>21</v>
      </c>
      <c r="M13" s="264"/>
      <c r="N13" s="20">
        <v>15</v>
      </c>
      <c r="O13" s="264"/>
      <c r="P13" s="20">
        <v>17</v>
      </c>
      <c r="Q13" s="264"/>
      <c r="R13" s="20">
        <f>10+15</f>
        <v>25</v>
      </c>
      <c r="S13" s="264"/>
      <c r="T13" s="20">
        <v>18</v>
      </c>
      <c r="U13" s="266"/>
      <c r="W13" s="16">
        <f>AVERAGE(N13,L13,R13,T13,P13)</f>
        <v>19.2</v>
      </c>
      <c r="X13" s="496"/>
    </row>
    <row r="14" spans="1:26" s="23" customFormat="1" ht="15" customHeight="1" thickBot="1" x14ac:dyDescent="0.25">
      <c r="A14" s="27" t="s">
        <v>16</v>
      </c>
      <c r="B14" s="29">
        <v>35</v>
      </c>
      <c r="C14" s="263"/>
      <c r="D14" s="86">
        <v>33</v>
      </c>
      <c r="E14" s="265"/>
      <c r="F14" s="29">
        <v>28</v>
      </c>
      <c r="G14" s="265"/>
      <c r="H14" s="29">
        <v>27</v>
      </c>
      <c r="I14" s="265"/>
      <c r="J14" s="29">
        <v>24</v>
      </c>
      <c r="K14" s="265"/>
      <c r="L14" s="29">
        <v>20</v>
      </c>
      <c r="M14" s="265"/>
      <c r="N14" s="29">
        <v>21</v>
      </c>
      <c r="O14" s="265"/>
      <c r="P14" s="29">
        <v>21</v>
      </c>
      <c r="Q14" s="265"/>
      <c r="R14" s="29">
        <f>14+8</f>
        <v>22</v>
      </c>
      <c r="S14" s="265"/>
      <c r="T14" s="29">
        <v>27</v>
      </c>
      <c r="U14" s="267"/>
      <c r="W14" s="16">
        <f>AVERAGE(N14,L14,R14,T14,P14)</f>
        <v>22.2</v>
      </c>
      <c r="X14" s="497"/>
    </row>
    <row r="15" spans="1:26" s="73" customFormat="1" ht="15" customHeight="1" thickBot="1" x14ac:dyDescent="0.25">
      <c r="A15" s="98" t="s">
        <v>17</v>
      </c>
      <c r="B15" s="89">
        <f t="shared" ref="B15:R15" si="0">SUM(B13:B14)</f>
        <v>53</v>
      </c>
      <c r="C15" s="100">
        <v>8</v>
      </c>
      <c r="D15" s="89">
        <f t="shared" si="0"/>
        <v>43</v>
      </c>
      <c r="E15" s="100">
        <v>8</v>
      </c>
      <c r="F15" s="640">
        <f t="shared" si="0"/>
        <v>45</v>
      </c>
      <c r="G15" s="100">
        <v>8</v>
      </c>
      <c r="H15" s="89">
        <f t="shared" si="0"/>
        <v>35</v>
      </c>
      <c r="I15" s="100">
        <v>7</v>
      </c>
      <c r="J15" s="640">
        <f t="shared" si="0"/>
        <v>37</v>
      </c>
      <c r="K15" s="100">
        <v>9</v>
      </c>
      <c r="L15" s="89">
        <f t="shared" si="0"/>
        <v>41</v>
      </c>
      <c r="M15" s="100">
        <v>12</v>
      </c>
      <c r="N15" s="89">
        <f t="shared" si="0"/>
        <v>36</v>
      </c>
      <c r="O15" s="100">
        <v>4</v>
      </c>
      <c r="P15" s="89">
        <f t="shared" si="0"/>
        <v>38</v>
      </c>
      <c r="Q15" s="1231">
        <v>7</v>
      </c>
      <c r="R15" s="1232">
        <f t="shared" si="0"/>
        <v>47</v>
      </c>
      <c r="S15" s="100">
        <v>7</v>
      </c>
      <c r="T15" s="1232">
        <v>45</v>
      </c>
      <c r="U15" s="1281">
        <f t="shared" ref="U15" si="1">SUM(U13:U14)</f>
        <v>0</v>
      </c>
      <c r="W15" s="471">
        <f>AVERAGE(N15,L15,R15,T15,P15)</f>
        <v>41.4</v>
      </c>
      <c r="X15" s="472">
        <f>AVERAGE(O15,M15,K15,S15,Q15)</f>
        <v>7.8</v>
      </c>
    </row>
    <row r="16" spans="1:26" s="23" customFormat="1" ht="15" customHeight="1" thickBot="1" x14ac:dyDescent="0.25">
      <c r="A16" s="142" t="s">
        <v>18</v>
      </c>
      <c r="B16" s="145">
        <v>17</v>
      </c>
      <c r="C16" s="144">
        <v>5</v>
      </c>
      <c r="D16" s="145">
        <v>7</v>
      </c>
      <c r="E16" s="146">
        <v>5</v>
      </c>
      <c r="F16" s="143">
        <v>5</v>
      </c>
      <c r="G16" s="146">
        <v>1</v>
      </c>
      <c r="H16" s="143">
        <v>9</v>
      </c>
      <c r="I16" s="146">
        <v>0</v>
      </c>
      <c r="J16" s="143">
        <v>10</v>
      </c>
      <c r="K16" s="146">
        <v>1</v>
      </c>
      <c r="L16" s="143">
        <v>17</v>
      </c>
      <c r="M16" s="146">
        <v>3</v>
      </c>
      <c r="N16" s="143">
        <v>20</v>
      </c>
      <c r="O16" s="146">
        <v>5</v>
      </c>
      <c r="P16" s="143">
        <v>21</v>
      </c>
      <c r="Q16" s="146">
        <v>4</v>
      </c>
      <c r="R16" s="143">
        <v>16</v>
      </c>
      <c r="S16" s="146">
        <v>4</v>
      </c>
      <c r="T16" s="143">
        <v>13</v>
      </c>
      <c r="U16" s="1319"/>
      <c r="W16" s="16">
        <f>AVERAGE(N16,L16,R16,T16,P16)</f>
        <v>17.399999999999999</v>
      </c>
      <c r="X16" s="481">
        <f>AVERAGE(O16,M16,K16,S16,Q16)</f>
        <v>3.4</v>
      </c>
      <c r="Z16" s="23" t="s">
        <v>19</v>
      </c>
    </row>
    <row r="17" spans="1:27" ht="18" customHeight="1" thickTop="1" thickBot="1" x14ac:dyDescent="0.25">
      <c r="A17" s="298" t="s">
        <v>71</v>
      </c>
      <c r="B17" s="1380"/>
      <c r="C17" s="1381"/>
      <c r="D17" s="1380"/>
      <c r="E17" s="1381"/>
      <c r="F17" s="1380"/>
      <c r="G17" s="1381"/>
      <c r="H17" s="1380"/>
      <c r="I17" s="1381"/>
      <c r="J17" s="1380"/>
      <c r="K17" s="1381"/>
      <c r="L17" s="1380"/>
      <c r="M17" s="1381"/>
      <c r="N17" s="1380"/>
      <c r="O17" s="1381"/>
      <c r="P17" s="1380"/>
      <c r="Q17" s="1381"/>
      <c r="R17" s="1380"/>
      <c r="S17" s="1381"/>
      <c r="T17" s="1380"/>
      <c r="U17" s="1383"/>
      <c r="V17" s="226"/>
      <c r="W17" s="1382"/>
      <c r="X17" s="1383"/>
    </row>
    <row r="18" spans="1:27" ht="15" customHeight="1" x14ac:dyDescent="0.2">
      <c r="A18" s="1226" t="s">
        <v>79</v>
      </c>
      <c r="B18" s="300"/>
      <c r="C18" s="385"/>
      <c r="D18" s="384"/>
      <c r="E18" s="385"/>
      <c r="F18" s="384"/>
      <c r="G18" s="385"/>
      <c r="H18" s="384"/>
      <c r="I18" s="385"/>
      <c r="J18" s="384"/>
      <c r="K18" s="385"/>
      <c r="L18" s="384"/>
      <c r="M18" s="385"/>
      <c r="N18" s="384"/>
      <c r="O18" s="385"/>
      <c r="P18" s="384"/>
      <c r="Q18" s="385"/>
      <c r="R18" s="384"/>
      <c r="S18" s="385"/>
      <c r="T18" s="384"/>
      <c r="U18" s="386"/>
      <c r="V18" s="226"/>
      <c r="W18" s="851"/>
      <c r="X18" s="852" t="e">
        <f>AVERAGE(O18,M18,I18,K18,Q18)</f>
        <v>#DIV/0!</v>
      </c>
    </row>
    <row r="19" spans="1:27" ht="15" customHeight="1" x14ac:dyDescent="0.2">
      <c r="A19" s="303" t="s">
        <v>72</v>
      </c>
      <c r="B19" s="304"/>
      <c r="C19" s="388">
        <v>0.43</v>
      </c>
      <c r="D19" s="387"/>
      <c r="E19" s="388">
        <v>0.5</v>
      </c>
      <c r="F19" s="387"/>
      <c r="G19" s="388">
        <v>0.75</v>
      </c>
      <c r="H19" s="387"/>
      <c r="I19" s="388">
        <v>0.25</v>
      </c>
      <c r="J19" s="387"/>
      <c r="K19" s="388">
        <v>0.4</v>
      </c>
      <c r="L19" s="387"/>
      <c r="M19" s="388">
        <v>0.36</v>
      </c>
      <c r="N19" s="387"/>
      <c r="O19" s="388">
        <v>0.2</v>
      </c>
      <c r="P19" s="387"/>
      <c r="Q19" s="388">
        <v>0.2</v>
      </c>
      <c r="R19" s="387"/>
      <c r="S19" s="1347"/>
      <c r="T19" s="387"/>
      <c r="U19" s="1271"/>
      <c r="V19" s="226"/>
      <c r="W19" s="853"/>
      <c r="X19" s="1255">
        <f t="shared" ref="X19:X20" si="2">AVERAGE(O19,M19,K19,S19,Q19)</f>
        <v>0.29000000000000004</v>
      </c>
    </row>
    <row r="20" spans="1:27" ht="15" customHeight="1" thickBot="1" x14ac:dyDescent="0.25">
      <c r="A20" s="539" t="s">
        <v>73</v>
      </c>
      <c r="B20" s="546"/>
      <c r="C20" s="541">
        <v>0.43</v>
      </c>
      <c r="D20" s="540"/>
      <c r="E20" s="541">
        <v>0.38</v>
      </c>
      <c r="F20" s="540"/>
      <c r="G20" s="541">
        <v>0.25</v>
      </c>
      <c r="H20" s="540"/>
      <c r="I20" s="541">
        <v>0.5</v>
      </c>
      <c r="J20" s="540"/>
      <c r="K20" s="541">
        <v>0.4</v>
      </c>
      <c r="L20" s="540"/>
      <c r="M20" s="541">
        <v>0.55000000000000004</v>
      </c>
      <c r="N20" s="540"/>
      <c r="O20" s="541">
        <v>0.6</v>
      </c>
      <c r="P20" s="540"/>
      <c r="Q20" s="541">
        <v>0.8</v>
      </c>
      <c r="R20" s="540"/>
      <c r="S20" s="1348"/>
      <c r="T20" s="540"/>
      <c r="U20" s="1272"/>
      <c r="V20" s="226"/>
      <c r="W20" s="854"/>
      <c r="X20" s="1255">
        <f t="shared" si="2"/>
        <v>0.58749999999999991</v>
      </c>
    </row>
    <row r="21" spans="1:27" ht="18" customHeight="1" thickTop="1" thickBot="1" x14ac:dyDescent="0.25">
      <c r="A21" s="221" t="s">
        <v>78</v>
      </c>
      <c r="B21" s="1380"/>
      <c r="C21" s="1381"/>
      <c r="D21" s="1380"/>
      <c r="E21" s="1381"/>
      <c r="F21" s="1380"/>
      <c r="G21" s="1381"/>
      <c r="H21" s="1380"/>
      <c r="I21" s="1381"/>
      <c r="J21" s="1380"/>
      <c r="K21" s="1381"/>
      <c r="L21" s="1380"/>
      <c r="M21" s="1381"/>
      <c r="N21" s="1380"/>
      <c r="O21" s="1381"/>
      <c r="P21" s="1380"/>
      <c r="Q21" s="1381"/>
      <c r="R21" s="1380"/>
      <c r="S21" s="1381"/>
      <c r="T21" s="1380"/>
      <c r="U21" s="1383"/>
      <c r="V21" s="226"/>
      <c r="W21" s="1382"/>
      <c r="X21" s="1383"/>
    </row>
    <row r="22" spans="1:27" ht="15" customHeight="1" thickBot="1" x14ac:dyDescent="0.25">
      <c r="A22" s="222" t="s">
        <v>146</v>
      </c>
      <c r="B22" s="223"/>
      <c r="C22" s="224">
        <v>27.3</v>
      </c>
      <c r="D22" s="223"/>
      <c r="E22" s="224">
        <v>28.9</v>
      </c>
      <c r="F22" s="223"/>
      <c r="G22" s="224">
        <v>28.2</v>
      </c>
      <c r="H22" s="223"/>
      <c r="I22" s="224">
        <v>28.2</v>
      </c>
      <c r="J22" s="223"/>
      <c r="K22" s="755">
        <v>27</v>
      </c>
      <c r="L22" s="223"/>
      <c r="M22" s="224">
        <v>26.8</v>
      </c>
      <c r="N22" s="223"/>
      <c r="O22" s="224">
        <v>28.8</v>
      </c>
      <c r="P22" s="223"/>
      <c r="Q22" s="224">
        <v>28.8</v>
      </c>
      <c r="R22" s="223"/>
      <c r="S22" s="224">
        <v>26.2</v>
      </c>
      <c r="T22" s="223"/>
      <c r="U22" s="225"/>
      <c r="V22" s="226"/>
      <c r="W22" s="247"/>
      <c r="X22" s="757">
        <f>AVERAGE(O22,M22,S22,U22,Q22)</f>
        <v>27.65</v>
      </c>
    </row>
    <row r="23" spans="1:27" ht="18" customHeight="1" thickTop="1" thickBot="1" x14ac:dyDescent="0.25">
      <c r="A23" s="314" t="s">
        <v>22</v>
      </c>
      <c r="B23" s="1380"/>
      <c r="C23" s="1381"/>
      <c r="D23" s="1380"/>
      <c r="E23" s="1381"/>
      <c r="F23" s="1380"/>
      <c r="G23" s="1381"/>
      <c r="H23" s="1380"/>
      <c r="I23" s="1381"/>
      <c r="J23" s="1380"/>
      <c r="K23" s="1381"/>
      <c r="L23" s="1380"/>
      <c r="M23" s="1381"/>
      <c r="N23" s="1380"/>
      <c r="O23" s="1381"/>
      <c r="P23" s="1380"/>
      <c r="Q23" s="1381"/>
      <c r="R23" s="1380"/>
      <c r="S23" s="1381"/>
      <c r="T23" s="1380"/>
      <c r="U23" s="1383"/>
      <c r="V23" s="226"/>
      <c r="W23" s="1382"/>
      <c r="X23" s="1383"/>
    </row>
    <row r="24" spans="1:27" ht="15" customHeight="1" x14ac:dyDescent="0.2">
      <c r="A24" s="305" t="s">
        <v>24</v>
      </c>
      <c r="B24" s="315"/>
      <c r="C24" s="209">
        <v>4320</v>
      </c>
      <c r="D24" s="316"/>
      <c r="E24" s="321">
        <v>4629</v>
      </c>
      <c r="F24" s="315"/>
      <c r="G24" s="321">
        <v>4431</v>
      </c>
      <c r="H24" s="315"/>
      <c r="I24" s="321">
        <v>4413</v>
      </c>
      <c r="J24" s="315"/>
      <c r="K24" s="321">
        <v>4866</v>
      </c>
      <c r="L24" s="315"/>
      <c r="M24" s="321">
        <v>5634</v>
      </c>
      <c r="N24" s="315"/>
      <c r="O24" s="321">
        <v>5634</v>
      </c>
      <c r="P24" s="315"/>
      <c r="Q24" s="321">
        <v>4602</v>
      </c>
      <c r="R24" s="315"/>
      <c r="S24" s="321">
        <v>4461</v>
      </c>
      <c r="T24" s="315"/>
      <c r="U24" s="1273"/>
      <c r="V24" s="226"/>
      <c r="W24" s="50"/>
      <c r="X24" s="51">
        <f>AVERAGE(O24,M24,S24,K24,Q24)</f>
        <v>5039.3999999999996</v>
      </c>
    </row>
    <row r="25" spans="1:27" ht="15" customHeight="1" x14ac:dyDescent="0.2">
      <c r="A25" s="305" t="s">
        <v>25</v>
      </c>
      <c r="B25" s="315"/>
      <c r="C25" s="209">
        <v>993</v>
      </c>
      <c r="D25" s="316"/>
      <c r="E25" s="321">
        <v>1072</v>
      </c>
      <c r="F25" s="315"/>
      <c r="G25" s="321">
        <v>955</v>
      </c>
      <c r="H25" s="315"/>
      <c r="I25" s="321">
        <v>897</v>
      </c>
      <c r="J25" s="315"/>
      <c r="K25" s="321">
        <v>989</v>
      </c>
      <c r="L25" s="315"/>
      <c r="M25" s="321">
        <v>992</v>
      </c>
      <c r="N25" s="315"/>
      <c r="O25" s="321">
        <v>881</v>
      </c>
      <c r="P25" s="315"/>
      <c r="Q25" s="321">
        <v>1134</v>
      </c>
      <c r="R25" s="315"/>
      <c r="S25" s="321">
        <v>1270</v>
      </c>
      <c r="T25" s="315"/>
      <c r="U25" s="1273"/>
      <c r="V25" s="226"/>
      <c r="W25" s="52"/>
      <c r="X25" s="51">
        <f t="shared" ref="X25:X28" si="3">AVERAGE(O25,M25,S25,K25,Q25)</f>
        <v>1053.2</v>
      </c>
    </row>
    <row r="26" spans="1:27" ht="15" customHeight="1" x14ac:dyDescent="0.2">
      <c r="A26" s="305" t="s">
        <v>26</v>
      </c>
      <c r="B26" s="315"/>
      <c r="C26" s="209">
        <v>0</v>
      </c>
      <c r="D26" s="316"/>
      <c r="E26" s="321">
        <v>3</v>
      </c>
      <c r="F26" s="315"/>
      <c r="G26" s="321">
        <v>0</v>
      </c>
      <c r="H26" s="315"/>
      <c r="I26" s="321">
        <v>4</v>
      </c>
      <c r="J26" s="315"/>
      <c r="K26" s="321">
        <v>0</v>
      </c>
      <c r="L26" s="315"/>
      <c r="M26" s="321">
        <v>0</v>
      </c>
      <c r="N26" s="315"/>
      <c r="O26" s="321">
        <v>0</v>
      </c>
      <c r="P26" s="315"/>
      <c r="Q26" s="321">
        <v>0</v>
      </c>
      <c r="R26" s="315"/>
      <c r="S26" s="321">
        <v>0</v>
      </c>
      <c r="T26" s="315"/>
      <c r="U26" s="1273"/>
      <c r="V26" s="226"/>
      <c r="W26" s="52"/>
      <c r="X26" s="51">
        <f t="shared" si="3"/>
        <v>0</v>
      </c>
    </row>
    <row r="27" spans="1:27" ht="15" customHeight="1" thickBot="1" x14ac:dyDescent="0.25">
      <c r="A27" s="1237" t="s">
        <v>27</v>
      </c>
      <c r="B27" s="83"/>
      <c r="C27" s="324">
        <v>0</v>
      </c>
      <c r="D27" s="316"/>
      <c r="E27" s="325">
        <v>0</v>
      </c>
      <c r="F27" s="315"/>
      <c r="G27" s="325">
        <v>0</v>
      </c>
      <c r="H27" s="315"/>
      <c r="I27" s="325">
        <v>0</v>
      </c>
      <c r="J27" s="315"/>
      <c r="K27" s="325">
        <v>0</v>
      </c>
      <c r="L27" s="315"/>
      <c r="M27" s="325">
        <v>0</v>
      </c>
      <c r="N27" s="315"/>
      <c r="O27" s="325">
        <v>0</v>
      </c>
      <c r="P27" s="315"/>
      <c r="Q27" s="325">
        <v>0</v>
      </c>
      <c r="R27" s="315"/>
      <c r="S27" s="325">
        <v>0</v>
      </c>
      <c r="T27" s="83"/>
      <c r="U27" s="1274"/>
      <c r="V27" s="226"/>
      <c r="W27" s="63"/>
      <c r="X27" s="484">
        <f t="shared" si="3"/>
        <v>0</v>
      </c>
    </row>
    <row r="28" spans="1:27" ht="15" customHeight="1" thickBot="1" x14ac:dyDescent="0.25">
      <c r="A28" s="1236" t="s">
        <v>28</v>
      </c>
      <c r="B28" s="328"/>
      <c r="C28" s="329">
        <f>SUM(C24:C27)</f>
        <v>5313</v>
      </c>
      <c r="D28" s="330"/>
      <c r="E28" s="331">
        <f>SUM(E24:E27)</f>
        <v>5704</v>
      </c>
      <c r="F28" s="328"/>
      <c r="G28" s="331">
        <f>SUM(G24:G27)</f>
        <v>5386</v>
      </c>
      <c r="H28" s="328"/>
      <c r="I28" s="331">
        <f>SUM(I24:I27)</f>
        <v>5314</v>
      </c>
      <c r="J28" s="328"/>
      <c r="K28" s="331">
        <f>SUM(K24:K27)</f>
        <v>5855</v>
      </c>
      <c r="L28" s="328"/>
      <c r="M28" s="331">
        <f>SUM(M24:M27)</f>
        <v>6626</v>
      </c>
      <c r="N28" s="328"/>
      <c r="O28" s="331">
        <f>SUM(O24:O27)</f>
        <v>6515</v>
      </c>
      <c r="P28" s="328"/>
      <c r="Q28" s="331">
        <f>SUM(Q24:Q27)</f>
        <v>5736</v>
      </c>
      <c r="R28" s="328"/>
      <c r="S28" s="331">
        <f>SUM(S24:S27)</f>
        <v>5731</v>
      </c>
      <c r="T28" s="328"/>
      <c r="U28" s="1277">
        <f>SUM(U24:U27)</f>
        <v>0</v>
      </c>
      <c r="V28" s="226"/>
      <c r="W28" s="485"/>
      <c r="X28" s="486">
        <f t="shared" si="3"/>
        <v>6092.6</v>
      </c>
    </row>
    <row r="29" spans="1:27" ht="15" customHeight="1" thickTop="1" thickBot="1" x14ac:dyDescent="0.25">
      <c r="A29" s="280"/>
      <c r="B29" s="332"/>
      <c r="C29" s="333"/>
      <c r="D29" s="332"/>
      <c r="E29" s="333"/>
      <c r="F29" s="332"/>
      <c r="G29" s="333"/>
      <c r="H29" s="332"/>
      <c r="I29" s="333"/>
      <c r="J29" s="332"/>
      <c r="K29" s="333"/>
      <c r="L29" s="332"/>
      <c r="M29" s="333"/>
      <c r="N29" s="332"/>
      <c r="O29" s="333"/>
      <c r="P29" s="332"/>
      <c r="Q29" s="333"/>
      <c r="R29" s="332"/>
      <c r="S29" s="333"/>
      <c r="T29" s="332"/>
      <c r="U29" s="333"/>
      <c r="V29" s="334"/>
      <c r="W29" s="335"/>
      <c r="X29" s="333"/>
    </row>
    <row r="30" spans="1:27" ht="18" customHeight="1" thickTop="1" thickBot="1" x14ac:dyDescent="0.25">
      <c r="A30" s="175" t="s">
        <v>29</v>
      </c>
      <c r="B30" s="1385" t="s">
        <v>30</v>
      </c>
      <c r="C30" s="1395"/>
      <c r="D30" s="1385" t="s">
        <v>31</v>
      </c>
      <c r="E30" s="1396"/>
      <c r="F30" s="1385" t="s">
        <v>32</v>
      </c>
      <c r="G30" s="1396"/>
      <c r="H30" s="1385" t="s">
        <v>33</v>
      </c>
      <c r="I30" s="1396"/>
      <c r="J30" s="1385" t="s">
        <v>34</v>
      </c>
      <c r="K30" s="1396"/>
      <c r="L30" s="1385" t="s">
        <v>35</v>
      </c>
      <c r="M30" s="1396"/>
      <c r="N30" s="1385" t="s">
        <v>36</v>
      </c>
      <c r="O30" s="1396"/>
      <c r="P30" s="1385" t="s">
        <v>37</v>
      </c>
      <c r="Q30" s="1396"/>
      <c r="R30" s="1385" t="s">
        <v>38</v>
      </c>
      <c r="S30" s="1396"/>
      <c r="T30" s="1385" t="s">
        <v>302</v>
      </c>
      <c r="U30" s="1386"/>
      <c r="V30" s="176"/>
      <c r="W30" s="1382" t="s">
        <v>9</v>
      </c>
      <c r="X30" s="1383"/>
      <c r="Y30" s="56"/>
      <c r="Z30" s="56"/>
      <c r="AA30" s="57"/>
    </row>
    <row r="31" spans="1:27" ht="15" customHeight="1" x14ac:dyDescent="0.2">
      <c r="A31" s="1070" t="s">
        <v>244</v>
      </c>
      <c r="B31" s="177"/>
      <c r="C31" s="178">
        <v>7.2999999999999995E-2</v>
      </c>
      <c r="D31" s="179"/>
      <c r="E31" s="180">
        <v>7.3999999999999996E-2</v>
      </c>
      <c r="F31" s="181"/>
      <c r="G31" s="180">
        <v>6.3E-2</v>
      </c>
      <c r="H31" s="181"/>
      <c r="I31" s="180">
        <v>5.5E-2</v>
      </c>
      <c r="J31" s="181"/>
      <c r="K31" s="180">
        <v>4.1000000000000002E-2</v>
      </c>
      <c r="L31" s="181"/>
      <c r="M31" s="180">
        <v>2.9000000000000001E-2</v>
      </c>
      <c r="N31" s="181"/>
      <c r="O31" s="180">
        <v>3.5000000000000003E-2</v>
      </c>
      <c r="P31" s="181"/>
      <c r="Q31" s="180">
        <v>4.1000000000000002E-2</v>
      </c>
      <c r="R31" s="181"/>
      <c r="S31" s="180">
        <v>0.06</v>
      </c>
      <c r="T31" s="181"/>
      <c r="U31" s="182">
        <v>6.6000000000000003E-2</v>
      </c>
      <c r="V31" s="183"/>
      <c r="W31" s="469"/>
      <c r="X31" s="594">
        <f>AVERAGE(Q31,O31,M31,U31,S31)</f>
        <v>4.6200000000000005E-2</v>
      </c>
      <c r="Y31" s="56"/>
      <c r="Z31" s="56"/>
      <c r="AA31" s="57"/>
    </row>
    <row r="32" spans="1:27" ht="15" customHeight="1" x14ac:dyDescent="0.2">
      <c r="A32" s="1069" t="s">
        <v>245</v>
      </c>
      <c r="B32" s="184"/>
      <c r="C32" s="185">
        <v>0</v>
      </c>
      <c r="D32" s="184"/>
      <c r="E32" s="185">
        <v>0</v>
      </c>
      <c r="F32" s="186"/>
      <c r="G32" s="185">
        <v>0</v>
      </c>
      <c r="H32" s="186"/>
      <c r="I32" s="185">
        <v>0</v>
      </c>
      <c r="J32" s="186"/>
      <c r="K32" s="185">
        <v>0</v>
      </c>
      <c r="L32" s="186"/>
      <c r="M32" s="185">
        <v>0</v>
      </c>
      <c r="N32" s="186"/>
      <c r="O32" s="185">
        <v>0</v>
      </c>
      <c r="P32" s="186"/>
      <c r="Q32" s="185">
        <v>0</v>
      </c>
      <c r="R32" s="186"/>
      <c r="S32" s="185">
        <v>0</v>
      </c>
      <c r="T32" s="186"/>
      <c r="U32" s="187">
        <v>0</v>
      </c>
      <c r="V32" s="183"/>
      <c r="W32" s="469"/>
      <c r="X32" s="594">
        <f>AVERAGE(Q32,O32,M32,U32,S32)</f>
        <v>0</v>
      </c>
      <c r="Y32" s="56"/>
      <c r="Z32" s="56"/>
      <c r="AA32" s="57"/>
    </row>
    <row r="33" spans="1:27" ht="15" customHeight="1" thickBot="1" x14ac:dyDescent="0.25">
      <c r="A33" s="189" t="s">
        <v>243</v>
      </c>
      <c r="B33" s="1403">
        <f>1-C31-C32</f>
        <v>0.92700000000000005</v>
      </c>
      <c r="C33" s="1404"/>
      <c r="D33" s="1403">
        <f>1-E31-E32</f>
        <v>0.92600000000000005</v>
      </c>
      <c r="E33" s="1404"/>
      <c r="F33" s="1403">
        <f>1-G31-G32</f>
        <v>0.93700000000000006</v>
      </c>
      <c r="G33" s="1404"/>
      <c r="H33" s="1403">
        <f>1-I31-I32</f>
        <v>0.94499999999999995</v>
      </c>
      <c r="I33" s="1404"/>
      <c r="J33" s="1403">
        <f>1-K31-K32</f>
        <v>0.95899999999999996</v>
      </c>
      <c r="K33" s="1404"/>
      <c r="L33" s="1403">
        <f>1-M31-M32</f>
        <v>0.97099999999999997</v>
      </c>
      <c r="M33" s="1404"/>
      <c r="N33" s="1403">
        <f>1-O31-O32</f>
        <v>0.96499999999999997</v>
      </c>
      <c r="O33" s="1404"/>
      <c r="P33" s="1403">
        <f>1-Q31-Q32</f>
        <v>0.95899999999999996</v>
      </c>
      <c r="Q33" s="1404"/>
      <c r="R33" s="1403">
        <f>1-S31-S32</f>
        <v>0.94</v>
      </c>
      <c r="S33" s="1404"/>
      <c r="T33" s="1403">
        <f>1-U31-U32</f>
        <v>0.93399999999999994</v>
      </c>
      <c r="U33" s="1406"/>
      <c r="V33" s="183"/>
      <c r="W33" s="1390">
        <f>1-X31-X32</f>
        <v>0.95379999999999998</v>
      </c>
      <c r="X33" s="1391"/>
      <c r="Y33" s="58"/>
      <c r="Z33" s="56"/>
      <c r="AA33" s="57"/>
    </row>
    <row r="34" spans="1:27" s="85" customFormat="1" ht="15" customHeight="1" thickTop="1" x14ac:dyDescent="0.2">
      <c r="A34" s="37" t="s">
        <v>288</v>
      </c>
      <c r="B34" s="650"/>
      <c r="C34" s="650"/>
      <c r="D34" s="650"/>
      <c r="E34" s="650"/>
      <c r="F34" s="650"/>
      <c r="G34" s="650"/>
      <c r="H34" s="650"/>
      <c r="I34" s="650"/>
      <c r="J34" s="650"/>
      <c r="K34" s="650"/>
      <c r="L34" s="650"/>
      <c r="M34" s="650"/>
      <c r="N34" s="650"/>
      <c r="O34" s="650"/>
      <c r="P34" s="650"/>
      <c r="Q34" s="650"/>
      <c r="R34" s="650"/>
      <c r="S34" s="650"/>
      <c r="T34" s="650"/>
      <c r="U34" s="650"/>
      <c r="V34" s="651"/>
      <c r="W34" s="650"/>
      <c r="X34" s="650"/>
      <c r="Y34" s="56"/>
      <c r="Z34" s="56"/>
      <c r="AA34" s="57"/>
    </row>
    <row r="35" spans="1:27" s="85" customFormat="1" ht="15" customHeight="1" thickBot="1" x14ac:dyDescent="0.25">
      <c r="A35" s="37"/>
      <c r="B35" s="650"/>
      <c r="C35" s="650"/>
      <c r="D35" s="650"/>
      <c r="E35" s="650"/>
      <c r="F35" s="650"/>
      <c r="G35" s="650"/>
      <c r="H35" s="650"/>
      <c r="I35" s="650"/>
      <c r="J35" s="650"/>
      <c r="K35" s="650"/>
      <c r="L35" s="650"/>
      <c r="M35" s="650"/>
      <c r="N35" s="650"/>
      <c r="O35" s="650"/>
      <c r="P35" s="650"/>
      <c r="Q35" s="650"/>
      <c r="R35" s="650"/>
      <c r="S35" s="650"/>
      <c r="T35" s="650"/>
      <c r="U35" s="650"/>
      <c r="V35" s="651"/>
      <c r="W35" s="650"/>
      <c r="X35" s="650"/>
      <c r="Y35" s="56"/>
      <c r="Z35" s="56"/>
      <c r="AA35" s="57"/>
    </row>
    <row r="36" spans="1:27" s="1" customFormat="1" ht="18.75" customHeight="1" thickTop="1" thickBot="1" x14ac:dyDescent="0.25">
      <c r="A36" s="175" t="s">
        <v>247</v>
      </c>
      <c r="B36" s="1385" t="s">
        <v>30</v>
      </c>
      <c r="C36" s="1395"/>
      <c r="D36" s="1385" t="s">
        <v>31</v>
      </c>
      <c r="E36" s="1396"/>
      <c r="F36" s="1385" t="s">
        <v>32</v>
      </c>
      <c r="G36" s="1396"/>
      <c r="H36" s="1385" t="s">
        <v>33</v>
      </c>
      <c r="I36" s="1396"/>
      <c r="J36" s="1385" t="s">
        <v>34</v>
      </c>
      <c r="K36" s="1396"/>
      <c r="L36" s="1385" t="s">
        <v>35</v>
      </c>
      <c r="M36" s="1396"/>
      <c r="N36" s="1385" t="s">
        <v>36</v>
      </c>
      <c r="O36" s="1396"/>
      <c r="P36" s="1385" t="s">
        <v>37</v>
      </c>
      <c r="Q36" s="1396"/>
      <c r="R36" s="1385" t="s">
        <v>38</v>
      </c>
      <c r="S36" s="1396"/>
      <c r="T36" s="1385" t="s">
        <v>302</v>
      </c>
      <c r="U36" s="1386"/>
      <c r="V36" s="195"/>
      <c r="W36" s="1382" t="s">
        <v>9</v>
      </c>
      <c r="X36" s="1383"/>
    </row>
    <row r="37" spans="1:27" s="1" customFormat="1" ht="24" x14ac:dyDescent="0.2">
      <c r="A37" s="715" t="s">
        <v>289</v>
      </c>
      <c r="B37" s="711"/>
      <c r="C37" s="529"/>
      <c r="D37" s="711"/>
      <c r="E37" s="712"/>
      <c r="F37" s="711"/>
      <c r="G37" s="712"/>
      <c r="H37" s="711"/>
      <c r="I37" s="712"/>
      <c r="J37" s="711"/>
      <c r="K37" s="712"/>
      <c r="L37" s="711"/>
      <c r="M37" s="712"/>
      <c r="N37" s="711"/>
      <c r="O37" s="712"/>
      <c r="P37" s="711"/>
      <c r="Q37" s="712"/>
      <c r="R37" s="711"/>
      <c r="S37" s="712"/>
      <c r="T37" s="713"/>
      <c r="U37" s="714"/>
      <c r="V37" s="195"/>
      <c r="W37" s="272"/>
      <c r="X37" s="271"/>
    </row>
    <row r="38" spans="1:27" s="1" customFormat="1" ht="24" x14ac:dyDescent="0.2">
      <c r="A38" s="721" t="s">
        <v>237</v>
      </c>
      <c r="B38" s="186"/>
      <c r="C38" s="653">
        <v>11</v>
      </c>
      <c r="D38" s="186"/>
      <c r="E38" s="653">
        <v>11</v>
      </c>
      <c r="F38" s="186"/>
      <c r="G38" s="653">
        <v>10</v>
      </c>
      <c r="H38" s="186"/>
      <c r="I38" s="653">
        <v>12</v>
      </c>
      <c r="J38" s="186"/>
      <c r="K38" s="653">
        <v>9</v>
      </c>
      <c r="L38" s="186"/>
      <c r="M38" s="653">
        <v>7</v>
      </c>
      <c r="N38" s="186"/>
      <c r="O38" s="653">
        <v>10</v>
      </c>
      <c r="P38" s="186"/>
      <c r="Q38" s="653">
        <v>10</v>
      </c>
      <c r="R38" s="186"/>
      <c r="S38" s="653">
        <v>13</v>
      </c>
      <c r="T38" s="654"/>
      <c r="U38" s="340"/>
      <c r="V38" s="195"/>
      <c r="W38" s="347"/>
      <c r="X38" s="340">
        <f>AVERAGE(O38,M38,S38,U38,Q38)</f>
        <v>10</v>
      </c>
    </row>
    <row r="39" spans="1:27" s="1" customFormat="1" ht="24" x14ac:dyDescent="0.2">
      <c r="A39" s="721" t="s">
        <v>239</v>
      </c>
      <c r="B39" s="654"/>
      <c r="C39" s="716">
        <v>11</v>
      </c>
      <c r="D39" s="654"/>
      <c r="E39" s="716">
        <v>11</v>
      </c>
      <c r="F39" s="654"/>
      <c r="G39" s="716">
        <v>10</v>
      </c>
      <c r="H39" s="654"/>
      <c r="I39" s="716">
        <v>12</v>
      </c>
      <c r="J39" s="654"/>
      <c r="K39" s="716">
        <v>9</v>
      </c>
      <c r="L39" s="654"/>
      <c r="M39" s="716">
        <v>7</v>
      </c>
      <c r="N39" s="654"/>
      <c r="O39" s="716">
        <v>10</v>
      </c>
      <c r="P39" s="654"/>
      <c r="Q39" s="716">
        <v>10</v>
      </c>
      <c r="R39" s="654"/>
      <c r="S39" s="716">
        <v>13</v>
      </c>
      <c r="T39" s="654"/>
      <c r="U39" s="340"/>
      <c r="V39" s="195"/>
      <c r="W39" s="1252"/>
      <c r="X39" s="394">
        <f t="shared" ref="X39:X40" si="4">AVERAGE(O39,M39,S39,U39,Q39)</f>
        <v>10</v>
      </c>
    </row>
    <row r="40" spans="1:27" s="1" customFormat="1" ht="15" customHeight="1" thickBot="1" x14ac:dyDescent="0.25">
      <c r="A40" s="942" t="s">
        <v>238</v>
      </c>
      <c r="B40" s="943"/>
      <c r="C40" s="944">
        <v>11</v>
      </c>
      <c r="D40" s="943"/>
      <c r="E40" s="944">
        <v>11</v>
      </c>
      <c r="F40" s="943"/>
      <c r="G40" s="944">
        <v>10</v>
      </c>
      <c r="H40" s="943"/>
      <c r="I40" s="944">
        <v>12</v>
      </c>
      <c r="J40" s="943"/>
      <c r="K40" s="944">
        <v>9</v>
      </c>
      <c r="L40" s="943"/>
      <c r="M40" s="944">
        <v>7</v>
      </c>
      <c r="N40" s="943"/>
      <c r="O40" s="944">
        <v>10</v>
      </c>
      <c r="P40" s="943"/>
      <c r="Q40" s="944">
        <v>10</v>
      </c>
      <c r="R40" s="943"/>
      <c r="S40" s="944">
        <v>13</v>
      </c>
      <c r="T40" s="956"/>
      <c r="U40" s="957"/>
      <c r="V40" s="195"/>
      <c r="W40" s="950"/>
      <c r="X40" s="1253">
        <f t="shared" si="4"/>
        <v>10</v>
      </c>
    </row>
    <row r="41" spans="1:27" s="1" customFormat="1" ht="18" customHeight="1" thickBot="1" x14ac:dyDescent="0.25">
      <c r="A41" s="872" t="s">
        <v>264</v>
      </c>
      <c r="B41" s="799" t="s">
        <v>40</v>
      </c>
      <c r="C41" s="798" t="s">
        <v>41</v>
      </c>
      <c r="D41" s="799" t="s">
        <v>40</v>
      </c>
      <c r="E41" s="798" t="s">
        <v>41</v>
      </c>
      <c r="F41" s="799" t="s">
        <v>40</v>
      </c>
      <c r="G41" s="798" t="s">
        <v>41</v>
      </c>
      <c r="H41" s="799" t="s">
        <v>40</v>
      </c>
      <c r="I41" s="798" t="s">
        <v>41</v>
      </c>
      <c r="J41" s="799" t="s">
        <v>40</v>
      </c>
      <c r="K41" s="798" t="s">
        <v>41</v>
      </c>
      <c r="L41" s="799" t="s">
        <v>40</v>
      </c>
      <c r="M41" s="798" t="s">
        <v>41</v>
      </c>
      <c r="N41" s="799" t="s">
        <v>40</v>
      </c>
      <c r="O41" s="798" t="s">
        <v>41</v>
      </c>
      <c r="P41" s="799" t="s">
        <v>40</v>
      </c>
      <c r="Q41" s="798" t="s">
        <v>41</v>
      </c>
      <c r="R41" s="799" t="s">
        <v>40</v>
      </c>
      <c r="S41" s="798" t="s">
        <v>41</v>
      </c>
      <c r="T41" s="799" t="s">
        <v>40</v>
      </c>
      <c r="U41" s="804" t="s">
        <v>41</v>
      </c>
      <c r="V41" s="955"/>
      <c r="W41" s="1254" t="s">
        <v>40</v>
      </c>
      <c r="X41" s="804" t="s">
        <v>41</v>
      </c>
    </row>
    <row r="42" spans="1:27" s="1" customFormat="1" ht="15" customHeight="1" x14ac:dyDescent="0.2">
      <c r="A42" s="680" t="s">
        <v>42</v>
      </c>
      <c r="B42" s="808"/>
      <c r="C42" s="805"/>
      <c r="D42" s="806"/>
      <c r="E42" s="807"/>
      <c r="F42" s="808"/>
      <c r="G42" s="807"/>
      <c r="H42" s="808"/>
      <c r="I42" s="807"/>
      <c r="J42" s="808"/>
      <c r="K42" s="807"/>
      <c r="L42" s="808"/>
      <c r="M42" s="807"/>
      <c r="N42" s="808"/>
      <c r="O42" s="807"/>
      <c r="P42" s="808"/>
      <c r="Q42" s="807"/>
      <c r="R42" s="808"/>
      <c r="S42" s="807"/>
      <c r="T42" s="808"/>
      <c r="U42" s="1013"/>
      <c r="V42" s="195"/>
      <c r="W42" s="1029"/>
      <c r="X42" s="1030"/>
    </row>
    <row r="43" spans="1:27" s="1" customFormat="1" ht="15" customHeight="1" x14ac:dyDescent="0.2">
      <c r="A43" s="678" t="s">
        <v>43</v>
      </c>
      <c r="B43" s="258"/>
      <c r="C43" s="810">
        <v>11</v>
      </c>
      <c r="D43" s="260"/>
      <c r="E43" s="811">
        <v>11</v>
      </c>
      <c r="F43" s="258"/>
      <c r="G43" s="811">
        <v>10</v>
      </c>
      <c r="H43" s="258"/>
      <c r="I43" s="811">
        <v>12</v>
      </c>
      <c r="J43" s="813">
        <v>10</v>
      </c>
      <c r="K43" s="811">
        <v>10</v>
      </c>
      <c r="L43" s="813">
        <v>10</v>
      </c>
      <c r="M43" s="811">
        <v>10</v>
      </c>
      <c r="N43" s="813">
        <v>11</v>
      </c>
      <c r="O43" s="811">
        <v>11</v>
      </c>
      <c r="P43" s="813">
        <v>12</v>
      </c>
      <c r="Q43" s="811">
        <v>12</v>
      </c>
      <c r="R43" s="813">
        <v>13</v>
      </c>
      <c r="S43" s="811">
        <v>13</v>
      </c>
      <c r="T43" s="813"/>
      <c r="U43" s="932"/>
      <c r="V43" s="195"/>
      <c r="W43" s="936">
        <f>AVERAGE(T43,L43,N43,P43,R43)</f>
        <v>11.5</v>
      </c>
      <c r="X43" s="1031">
        <f t="shared" ref="X43:X48" si="5">AVERAGE(O43,M43,S43,U43,Q43)</f>
        <v>11.5</v>
      </c>
    </row>
    <row r="44" spans="1:27" s="1" customFormat="1" ht="15" customHeight="1" x14ac:dyDescent="0.2">
      <c r="A44" s="678" t="s">
        <v>44</v>
      </c>
      <c r="B44" s="258"/>
      <c r="C44" s="810">
        <v>0</v>
      </c>
      <c r="D44" s="260"/>
      <c r="E44" s="811">
        <v>0</v>
      </c>
      <c r="F44" s="258"/>
      <c r="G44" s="811">
        <v>0</v>
      </c>
      <c r="H44" s="258"/>
      <c r="I44" s="811">
        <v>1</v>
      </c>
      <c r="J44" s="345">
        <v>0.4</v>
      </c>
      <c r="K44" s="811">
        <v>1</v>
      </c>
      <c r="L44" s="345">
        <v>1.48</v>
      </c>
      <c r="M44" s="811">
        <v>2</v>
      </c>
      <c r="N44" s="813">
        <v>1</v>
      </c>
      <c r="O44" s="811">
        <v>2</v>
      </c>
      <c r="P44" s="813">
        <v>1</v>
      </c>
      <c r="Q44" s="811">
        <v>2</v>
      </c>
      <c r="R44" s="345">
        <v>0.5</v>
      </c>
      <c r="S44" s="811">
        <v>1</v>
      </c>
      <c r="T44" s="345"/>
      <c r="U44" s="932"/>
      <c r="V44" s="195"/>
      <c r="W44" s="936">
        <f t="shared" ref="W44:W48" si="6">AVERAGE(T44,L44,N44,P44,R44)</f>
        <v>0.995</v>
      </c>
      <c r="X44" s="1031">
        <f t="shared" si="5"/>
        <v>1.75</v>
      </c>
    </row>
    <row r="45" spans="1:27" s="1" customFormat="1" ht="15" customHeight="1" x14ac:dyDescent="0.2">
      <c r="A45" s="676" t="s">
        <v>45</v>
      </c>
      <c r="B45" s="345"/>
      <c r="C45" s="815"/>
      <c r="D45" s="663"/>
      <c r="E45" s="816"/>
      <c r="F45" s="345"/>
      <c r="G45" s="816"/>
      <c r="H45" s="345"/>
      <c r="I45" s="816"/>
      <c r="J45" s="345"/>
      <c r="K45" s="816"/>
      <c r="L45" s="345"/>
      <c r="M45" s="816"/>
      <c r="N45" s="345"/>
      <c r="O45" s="816"/>
      <c r="P45" s="345"/>
      <c r="Q45" s="816"/>
      <c r="R45" s="345"/>
      <c r="S45" s="816"/>
      <c r="T45" s="345"/>
      <c r="U45" s="933"/>
      <c r="V45" s="195"/>
      <c r="W45" s="936"/>
      <c r="X45" s="1031"/>
    </row>
    <row r="46" spans="1:27" s="1" customFormat="1" ht="15" customHeight="1" x14ac:dyDescent="0.2">
      <c r="A46" s="678" t="s">
        <v>43</v>
      </c>
      <c r="B46" s="258"/>
      <c r="C46" s="815">
        <v>0</v>
      </c>
      <c r="D46" s="260"/>
      <c r="E46" s="816">
        <v>0</v>
      </c>
      <c r="F46" s="258"/>
      <c r="G46" s="816">
        <v>0</v>
      </c>
      <c r="H46" s="258"/>
      <c r="I46" s="816">
        <v>0</v>
      </c>
      <c r="J46" s="813">
        <v>0</v>
      </c>
      <c r="K46" s="816">
        <v>0</v>
      </c>
      <c r="L46" s="813">
        <v>0</v>
      </c>
      <c r="M46" s="816">
        <v>0</v>
      </c>
      <c r="N46" s="813">
        <v>0</v>
      </c>
      <c r="O46" s="816">
        <v>0</v>
      </c>
      <c r="P46" s="813">
        <v>0</v>
      </c>
      <c r="Q46" s="816">
        <v>0</v>
      </c>
      <c r="R46" s="813">
        <v>0</v>
      </c>
      <c r="S46" s="816">
        <v>0</v>
      </c>
      <c r="T46" s="813"/>
      <c r="U46" s="933"/>
      <c r="V46" s="195"/>
      <c r="W46" s="936">
        <f t="shared" si="6"/>
        <v>0</v>
      </c>
      <c r="X46" s="1031">
        <f t="shared" si="5"/>
        <v>0</v>
      </c>
    </row>
    <row r="47" spans="1:27" s="1" customFormat="1" ht="15" customHeight="1" thickBot="1" x14ac:dyDescent="0.25">
      <c r="A47" s="679" t="s">
        <v>44</v>
      </c>
      <c r="B47" s="1017"/>
      <c r="C47" s="818">
        <v>0</v>
      </c>
      <c r="D47" s="1050"/>
      <c r="E47" s="819">
        <v>0</v>
      </c>
      <c r="F47" s="1017"/>
      <c r="G47" s="819">
        <v>0</v>
      </c>
      <c r="H47" s="1017"/>
      <c r="I47" s="819">
        <v>0</v>
      </c>
      <c r="J47" s="821">
        <v>0</v>
      </c>
      <c r="K47" s="819">
        <v>0</v>
      </c>
      <c r="L47" s="821">
        <v>0</v>
      </c>
      <c r="M47" s="819">
        <v>0</v>
      </c>
      <c r="N47" s="821">
        <v>0</v>
      </c>
      <c r="O47" s="819">
        <v>0</v>
      </c>
      <c r="P47" s="821">
        <v>0</v>
      </c>
      <c r="Q47" s="819">
        <v>0</v>
      </c>
      <c r="R47" s="821">
        <v>0</v>
      </c>
      <c r="S47" s="819">
        <v>0</v>
      </c>
      <c r="T47" s="821"/>
      <c r="U47" s="934"/>
      <c r="V47" s="195"/>
      <c r="W47" s="1020">
        <f t="shared" si="6"/>
        <v>0</v>
      </c>
      <c r="X47" s="1032">
        <f t="shared" si="5"/>
        <v>0</v>
      </c>
    </row>
    <row r="48" spans="1:27" s="1" customFormat="1" ht="15" customHeight="1" thickBot="1" x14ac:dyDescent="0.25">
      <c r="A48" s="796" t="s">
        <v>28</v>
      </c>
      <c r="B48" s="1021"/>
      <c r="C48" s="824">
        <f>SUM(C43:C47)</f>
        <v>11</v>
      </c>
      <c r="D48" s="1022"/>
      <c r="E48" s="826">
        <f>SUM(E43:E47)</f>
        <v>11</v>
      </c>
      <c r="F48" s="1021"/>
      <c r="G48" s="826">
        <f>SUM(G43:G47)</f>
        <v>10</v>
      </c>
      <c r="H48" s="1021"/>
      <c r="I48" s="826">
        <f t="shared" ref="I48:S48" si="7">SUM(I43:I47)</f>
        <v>13</v>
      </c>
      <c r="J48" s="906">
        <f t="shared" si="7"/>
        <v>10.4</v>
      </c>
      <c r="K48" s="826">
        <f t="shared" si="7"/>
        <v>11</v>
      </c>
      <c r="L48" s="906">
        <f t="shared" si="7"/>
        <v>11.48</v>
      </c>
      <c r="M48" s="826">
        <f t="shared" si="7"/>
        <v>12</v>
      </c>
      <c r="N48" s="906">
        <f t="shared" si="7"/>
        <v>12</v>
      </c>
      <c r="O48" s="826">
        <f t="shared" si="7"/>
        <v>13</v>
      </c>
      <c r="P48" s="906">
        <f t="shared" si="7"/>
        <v>13</v>
      </c>
      <c r="Q48" s="826">
        <f t="shared" si="7"/>
        <v>14</v>
      </c>
      <c r="R48" s="906">
        <f t="shared" si="7"/>
        <v>13.5</v>
      </c>
      <c r="S48" s="826">
        <f t="shared" si="7"/>
        <v>14</v>
      </c>
      <c r="T48" s="906">
        <f t="shared" ref="T48:U48" si="8">SUM(T43:T47)</f>
        <v>0</v>
      </c>
      <c r="U48" s="1023">
        <f t="shared" si="8"/>
        <v>0</v>
      </c>
      <c r="V48" s="195"/>
      <c r="W48" s="1028">
        <f t="shared" si="6"/>
        <v>9.9960000000000004</v>
      </c>
      <c r="X48" s="1033">
        <f t="shared" si="5"/>
        <v>10.6</v>
      </c>
    </row>
    <row r="49" spans="1:24" s="1" customFormat="1" ht="18" customHeight="1" thickBot="1" x14ac:dyDescent="0.25">
      <c r="A49" s="795" t="s">
        <v>253</v>
      </c>
      <c r="B49" s="801" t="s">
        <v>39</v>
      </c>
      <c r="C49" s="954" t="s">
        <v>46</v>
      </c>
      <c r="D49" s="801" t="s">
        <v>39</v>
      </c>
      <c r="E49" s="798" t="s">
        <v>46</v>
      </c>
      <c r="F49" s="799" t="s">
        <v>39</v>
      </c>
      <c r="G49" s="798" t="s">
        <v>46</v>
      </c>
      <c r="H49" s="799" t="s">
        <v>39</v>
      </c>
      <c r="I49" s="798" t="s">
        <v>46</v>
      </c>
      <c r="J49" s="799" t="s">
        <v>39</v>
      </c>
      <c r="K49" s="798" t="s">
        <v>46</v>
      </c>
      <c r="L49" s="799" t="s">
        <v>39</v>
      </c>
      <c r="M49" s="798" t="s">
        <v>46</v>
      </c>
      <c r="N49" s="799" t="s">
        <v>39</v>
      </c>
      <c r="O49" s="798" t="s">
        <v>46</v>
      </c>
      <c r="P49" s="799" t="s">
        <v>39</v>
      </c>
      <c r="Q49" s="798" t="s">
        <v>46</v>
      </c>
      <c r="R49" s="799" t="s">
        <v>39</v>
      </c>
      <c r="S49" s="798" t="s">
        <v>46</v>
      </c>
      <c r="T49" s="799" t="s">
        <v>39</v>
      </c>
      <c r="U49" s="804" t="s">
        <v>46</v>
      </c>
      <c r="V49" s="195"/>
      <c r="W49" s="832" t="s">
        <v>39</v>
      </c>
      <c r="X49" s="804" t="s">
        <v>46</v>
      </c>
    </row>
    <row r="50" spans="1:24" s="1" customFormat="1" ht="18" customHeight="1" x14ac:dyDescent="0.2">
      <c r="A50" s="680" t="s">
        <v>265</v>
      </c>
      <c r="B50" s="938"/>
      <c r="C50" s="196"/>
      <c r="D50" s="938"/>
      <c r="E50" s="197"/>
      <c r="F50" s="937"/>
      <c r="G50" s="197"/>
      <c r="H50" s="937"/>
      <c r="I50" s="197"/>
      <c r="J50" s="937"/>
      <c r="K50" s="197"/>
      <c r="L50" s="937"/>
      <c r="M50" s="197"/>
      <c r="N50" s="937"/>
      <c r="O50" s="197"/>
      <c r="P50" s="937"/>
      <c r="Q50" s="197"/>
      <c r="R50" s="937"/>
      <c r="S50" s="197"/>
      <c r="T50" s="937"/>
      <c r="U50" s="199"/>
      <c r="V50" s="195"/>
      <c r="W50" s="1026"/>
      <c r="X50" s="199"/>
    </row>
    <row r="51" spans="1:24" s="1" customFormat="1" ht="15" customHeight="1" x14ac:dyDescent="0.2">
      <c r="A51" s="706" t="s">
        <v>47</v>
      </c>
      <c r="B51" s="201">
        <v>8</v>
      </c>
      <c r="C51" s="191">
        <f t="shared" ref="C51:C58" si="9">B51/C$48</f>
        <v>0.72727272727272729</v>
      </c>
      <c r="D51" s="201">
        <v>8</v>
      </c>
      <c r="E51" s="192">
        <f t="shared" ref="E51:E58" si="10">D51/E$48</f>
        <v>0.72727272727272729</v>
      </c>
      <c r="F51" s="202">
        <v>8</v>
      </c>
      <c r="G51" s="192">
        <f t="shared" ref="G51:G58" si="11">F51/G$48</f>
        <v>0.8</v>
      </c>
      <c r="H51" s="202">
        <v>10</v>
      </c>
      <c r="I51" s="192">
        <f t="shared" ref="I51:I58" si="12">H51/I$48</f>
        <v>0.76923076923076927</v>
      </c>
      <c r="J51" s="202">
        <f>1+5</f>
        <v>6</v>
      </c>
      <c r="K51" s="192">
        <f t="shared" ref="K51:K58" si="13">J51/K$48</f>
        <v>0.54545454545454541</v>
      </c>
      <c r="L51" s="202">
        <v>6</v>
      </c>
      <c r="M51" s="192">
        <f t="shared" ref="M51:M56" si="14">L51/M$48</f>
        <v>0.5</v>
      </c>
      <c r="N51" s="202">
        <f>1+9</f>
        <v>10</v>
      </c>
      <c r="O51" s="192">
        <f t="shared" ref="O51:Q56" si="15">N51/O$48</f>
        <v>0.76923076923076927</v>
      </c>
      <c r="P51" s="202">
        <v>11</v>
      </c>
      <c r="Q51" s="192">
        <f t="shared" si="15"/>
        <v>0.7857142857142857</v>
      </c>
      <c r="R51" s="202">
        <v>12</v>
      </c>
      <c r="S51" s="192">
        <f t="shared" ref="S51:S56" si="16">R51/S$48</f>
        <v>0.8571428571428571</v>
      </c>
      <c r="T51" s="202"/>
      <c r="U51" s="203" t="e">
        <f t="shared" ref="U51:U56" si="17">T51/U$48</f>
        <v>#DIV/0!</v>
      </c>
      <c r="V51" s="204"/>
      <c r="W51" s="205">
        <f>AVERAGE(N51,L51,R51,T51,P51)</f>
        <v>9.75</v>
      </c>
      <c r="X51" s="206" t="e">
        <f>AVERAGE(O51,M51,S51,U51,Q51)</f>
        <v>#DIV/0!</v>
      </c>
    </row>
    <row r="52" spans="1:24" s="1" customFormat="1" ht="15" customHeight="1" x14ac:dyDescent="0.2">
      <c r="A52" s="207" t="s">
        <v>48</v>
      </c>
      <c r="B52" s="201">
        <v>0</v>
      </c>
      <c r="C52" s="191">
        <f t="shared" si="9"/>
        <v>0</v>
      </c>
      <c r="D52" s="201">
        <v>0</v>
      </c>
      <c r="E52" s="192">
        <f t="shared" si="10"/>
        <v>0</v>
      </c>
      <c r="F52" s="202">
        <v>0</v>
      </c>
      <c r="G52" s="192">
        <f t="shared" si="11"/>
        <v>0</v>
      </c>
      <c r="H52" s="202">
        <v>0</v>
      </c>
      <c r="I52" s="192">
        <f t="shared" si="12"/>
        <v>0</v>
      </c>
      <c r="J52" s="202">
        <f>0</f>
        <v>0</v>
      </c>
      <c r="K52" s="192">
        <f t="shared" si="13"/>
        <v>0</v>
      </c>
      <c r="L52" s="202">
        <v>0</v>
      </c>
      <c r="M52" s="192">
        <f t="shared" si="14"/>
        <v>0</v>
      </c>
      <c r="N52" s="202">
        <v>0</v>
      </c>
      <c r="O52" s="192">
        <f t="shared" si="15"/>
        <v>0</v>
      </c>
      <c r="P52" s="202">
        <v>0</v>
      </c>
      <c r="Q52" s="192">
        <f t="shared" si="15"/>
        <v>0</v>
      </c>
      <c r="R52" s="202">
        <v>0</v>
      </c>
      <c r="S52" s="192">
        <f t="shared" si="16"/>
        <v>0</v>
      </c>
      <c r="T52" s="202"/>
      <c r="U52" s="203" t="e">
        <f t="shared" si="17"/>
        <v>#DIV/0!</v>
      </c>
      <c r="V52" s="204"/>
      <c r="W52" s="205">
        <f t="shared" ref="W52:X70" si="18">AVERAGE(N52,L52,R52,T52,P52)</f>
        <v>0</v>
      </c>
      <c r="X52" s="206" t="e">
        <f t="shared" si="18"/>
        <v>#DIV/0!</v>
      </c>
    </row>
    <row r="53" spans="1:24" s="1" customFormat="1" ht="15" customHeight="1" x14ac:dyDescent="0.2">
      <c r="A53" s="207" t="s">
        <v>49</v>
      </c>
      <c r="B53" s="201">
        <v>3</v>
      </c>
      <c r="C53" s="191">
        <f t="shared" si="9"/>
        <v>0.27272727272727271</v>
      </c>
      <c r="D53" s="201">
        <v>3</v>
      </c>
      <c r="E53" s="192">
        <f t="shared" si="10"/>
        <v>0.27272727272727271</v>
      </c>
      <c r="F53" s="202">
        <v>2</v>
      </c>
      <c r="G53" s="192">
        <f t="shared" si="11"/>
        <v>0.2</v>
      </c>
      <c r="H53" s="202">
        <v>3</v>
      </c>
      <c r="I53" s="192">
        <f t="shared" si="12"/>
        <v>0.23076923076923078</v>
      </c>
      <c r="J53" s="202">
        <f>2</f>
        <v>2</v>
      </c>
      <c r="K53" s="192">
        <f t="shared" si="13"/>
        <v>0.18181818181818182</v>
      </c>
      <c r="L53" s="202">
        <v>1</v>
      </c>
      <c r="M53" s="192">
        <f t="shared" si="14"/>
        <v>8.3333333333333329E-2</v>
      </c>
      <c r="N53" s="202">
        <v>1</v>
      </c>
      <c r="O53" s="192">
        <f t="shared" si="15"/>
        <v>7.6923076923076927E-2</v>
      </c>
      <c r="P53" s="202">
        <v>1</v>
      </c>
      <c r="Q53" s="192">
        <f t="shared" si="15"/>
        <v>7.1428571428571425E-2</v>
      </c>
      <c r="R53" s="202">
        <v>1</v>
      </c>
      <c r="S53" s="192">
        <f t="shared" si="16"/>
        <v>7.1428571428571425E-2</v>
      </c>
      <c r="T53" s="202"/>
      <c r="U53" s="203" t="e">
        <f t="shared" si="17"/>
        <v>#DIV/0!</v>
      </c>
      <c r="V53" s="204"/>
      <c r="W53" s="205">
        <f t="shared" si="18"/>
        <v>1</v>
      </c>
      <c r="X53" s="206" t="e">
        <f t="shared" si="18"/>
        <v>#DIV/0!</v>
      </c>
    </row>
    <row r="54" spans="1:24" s="1" customFormat="1" ht="15" customHeight="1" x14ac:dyDescent="0.2">
      <c r="A54" s="207" t="s">
        <v>50</v>
      </c>
      <c r="B54" s="201">
        <v>0</v>
      </c>
      <c r="C54" s="191">
        <f t="shared" si="9"/>
        <v>0</v>
      </c>
      <c r="D54" s="201">
        <v>0</v>
      </c>
      <c r="E54" s="192">
        <f t="shared" si="10"/>
        <v>0</v>
      </c>
      <c r="F54" s="202">
        <v>0</v>
      </c>
      <c r="G54" s="192">
        <f t="shared" si="11"/>
        <v>0</v>
      </c>
      <c r="H54" s="202">
        <v>0</v>
      </c>
      <c r="I54" s="192">
        <f t="shared" si="12"/>
        <v>0</v>
      </c>
      <c r="J54" s="202">
        <f>0</f>
        <v>0</v>
      </c>
      <c r="K54" s="192">
        <f t="shared" si="13"/>
        <v>0</v>
      </c>
      <c r="L54" s="202">
        <v>0</v>
      </c>
      <c r="M54" s="192">
        <f t="shared" si="14"/>
        <v>0</v>
      </c>
      <c r="N54" s="202">
        <v>0</v>
      </c>
      <c r="O54" s="192">
        <f t="shared" si="15"/>
        <v>0</v>
      </c>
      <c r="P54" s="202">
        <v>0</v>
      </c>
      <c r="Q54" s="192">
        <f t="shared" si="15"/>
        <v>0</v>
      </c>
      <c r="R54" s="202">
        <v>0</v>
      </c>
      <c r="S54" s="192">
        <f t="shared" si="16"/>
        <v>0</v>
      </c>
      <c r="T54" s="202"/>
      <c r="U54" s="203" t="e">
        <f t="shared" si="17"/>
        <v>#DIV/0!</v>
      </c>
      <c r="V54" s="204"/>
      <c r="W54" s="205">
        <f t="shared" si="18"/>
        <v>0</v>
      </c>
      <c r="X54" s="206" t="e">
        <f t="shared" si="18"/>
        <v>#DIV/0!</v>
      </c>
    </row>
    <row r="55" spans="1:24" s="1" customFormat="1" ht="15" customHeight="1" x14ac:dyDescent="0.2">
      <c r="A55" s="207" t="s">
        <v>51</v>
      </c>
      <c r="B55" s="201">
        <v>0</v>
      </c>
      <c r="C55" s="191">
        <f t="shared" si="9"/>
        <v>0</v>
      </c>
      <c r="D55" s="201">
        <v>0</v>
      </c>
      <c r="E55" s="192">
        <f t="shared" si="10"/>
        <v>0</v>
      </c>
      <c r="F55" s="202">
        <v>0</v>
      </c>
      <c r="G55" s="192">
        <f t="shared" si="11"/>
        <v>0</v>
      </c>
      <c r="H55" s="202">
        <v>0</v>
      </c>
      <c r="I55" s="192">
        <f t="shared" si="12"/>
        <v>0</v>
      </c>
      <c r="J55" s="202">
        <f>1</f>
        <v>1</v>
      </c>
      <c r="K55" s="192">
        <f t="shared" si="13"/>
        <v>9.0909090909090912E-2</v>
      </c>
      <c r="L55" s="202">
        <v>2</v>
      </c>
      <c r="M55" s="192">
        <f t="shared" si="14"/>
        <v>0.16666666666666666</v>
      </c>
      <c r="N55" s="202">
        <v>0</v>
      </c>
      <c r="O55" s="192">
        <f t="shared" si="15"/>
        <v>0</v>
      </c>
      <c r="P55" s="202">
        <v>0</v>
      </c>
      <c r="Q55" s="192">
        <f t="shared" si="15"/>
        <v>0</v>
      </c>
      <c r="R55" s="202">
        <v>0</v>
      </c>
      <c r="S55" s="192">
        <f t="shared" si="16"/>
        <v>0</v>
      </c>
      <c r="T55" s="202"/>
      <c r="U55" s="203" t="e">
        <f t="shared" si="17"/>
        <v>#DIV/0!</v>
      </c>
      <c r="V55" s="204"/>
      <c r="W55" s="205">
        <f t="shared" si="18"/>
        <v>0.5</v>
      </c>
      <c r="X55" s="206" t="e">
        <f t="shared" si="18"/>
        <v>#DIV/0!</v>
      </c>
    </row>
    <row r="56" spans="1:24" s="1" customFormat="1" ht="15" customHeight="1" x14ac:dyDescent="0.2">
      <c r="A56" s="207" t="s">
        <v>52</v>
      </c>
      <c r="B56" s="201">
        <v>0</v>
      </c>
      <c r="C56" s="191">
        <f t="shared" si="9"/>
        <v>0</v>
      </c>
      <c r="D56" s="201">
        <v>0</v>
      </c>
      <c r="E56" s="192">
        <f t="shared" si="10"/>
        <v>0</v>
      </c>
      <c r="F56" s="202">
        <v>0</v>
      </c>
      <c r="G56" s="192">
        <f t="shared" si="11"/>
        <v>0</v>
      </c>
      <c r="H56" s="202">
        <v>0</v>
      </c>
      <c r="I56" s="192">
        <f t="shared" si="12"/>
        <v>0</v>
      </c>
      <c r="J56" s="202">
        <f>1</f>
        <v>1</v>
      </c>
      <c r="K56" s="192">
        <f t="shared" si="13"/>
        <v>9.0909090909090912E-2</v>
      </c>
      <c r="L56" s="202">
        <v>2</v>
      </c>
      <c r="M56" s="192">
        <f t="shared" si="14"/>
        <v>0.16666666666666666</v>
      </c>
      <c r="N56" s="202">
        <v>1</v>
      </c>
      <c r="O56" s="192">
        <f t="shared" si="15"/>
        <v>7.6923076923076927E-2</v>
      </c>
      <c r="P56" s="202">
        <v>0</v>
      </c>
      <c r="Q56" s="192">
        <f t="shared" si="15"/>
        <v>0</v>
      </c>
      <c r="R56" s="202">
        <v>0</v>
      </c>
      <c r="S56" s="192">
        <f t="shared" si="16"/>
        <v>0</v>
      </c>
      <c r="T56" s="202"/>
      <c r="U56" s="203" t="e">
        <f t="shared" si="17"/>
        <v>#DIV/0!</v>
      </c>
      <c r="V56" s="204"/>
      <c r="W56" s="205">
        <f t="shared" si="18"/>
        <v>0.75</v>
      </c>
      <c r="X56" s="206" t="e">
        <f t="shared" si="18"/>
        <v>#DIV/0!</v>
      </c>
    </row>
    <row r="57" spans="1:24" s="1" customFormat="1" ht="15" customHeight="1" x14ac:dyDescent="0.2">
      <c r="A57" s="207" t="s">
        <v>53</v>
      </c>
      <c r="B57" s="190"/>
      <c r="C57" s="191">
        <f t="shared" si="9"/>
        <v>0</v>
      </c>
      <c r="D57" s="1223"/>
      <c r="E57" s="1224"/>
      <c r="F57" s="1225"/>
      <c r="G57" s="1224"/>
      <c r="H57" s="193">
        <v>0</v>
      </c>
      <c r="I57" s="192">
        <f t="shared" si="12"/>
        <v>0</v>
      </c>
      <c r="J57" s="193">
        <f>0</f>
        <v>0</v>
      </c>
      <c r="K57" s="192">
        <f t="shared" si="13"/>
        <v>0</v>
      </c>
      <c r="L57" s="193">
        <v>0</v>
      </c>
      <c r="M57" s="192">
        <f>L57/M$48</f>
        <v>0</v>
      </c>
      <c r="N57" s="193">
        <v>0</v>
      </c>
      <c r="O57" s="192">
        <f>N57/O$48</f>
        <v>0</v>
      </c>
      <c r="P57" s="193">
        <v>0</v>
      </c>
      <c r="Q57" s="192">
        <f>P57/Q$48</f>
        <v>0</v>
      </c>
      <c r="R57" s="193">
        <v>0</v>
      </c>
      <c r="S57" s="192">
        <f>R57/S$48</f>
        <v>0</v>
      </c>
      <c r="T57" s="202"/>
      <c r="U57" s="203" t="e">
        <f>T57/U$48</f>
        <v>#DIV/0!</v>
      </c>
      <c r="V57" s="204"/>
      <c r="W57" s="205">
        <f t="shared" si="18"/>
        <v>0</v>
      </c>
      <c r="X57" s="206" t="e">
        <f t="shared" si="18"/>
        <v>#DIV/0!</v>
      </c>
    </row>
    <row r="58" spans="1:24" s="1" customFormat="1" ht="15" customHeight="1" thickBot="1" x14ac:dyDescent="0.25">
      <c r="A58" s="696" t="s">
        <v>54</v>
      </c>
      <c r="B58" s="190">
        <v>0</v>
      </c>
      <c r="C58" s="724">
        <f t="shared" si="9"/>
        <v>0</v>
      </c>
      <c r="D58" s="190">
        <v>0</v>
      </c>
      <c r="E58" s="725">
        <f t="shared" si="10"/>
        <v>0</v>
      </c>
      <c r="F58" s="193">
        <v>0</v>
      </c>
      <c r="G58" s="725">
        <f t="shared" si="11"/>
        <v>0</v>
      </c>
      <c r="H58" s="193">
        <v>0</v>
      </c>
      <c r="I58" s="725">
        <f t="shared" si="12"/>
        <v>0</v>
      </c>
      <c r="J58" s="193">
        <f>1</f>
        <v>1</v>
      </c>
      <c r="K58" s="725">
        <f t="shared" si="13"/>
        <v>9.0909090909090912E-2</v>
      </c>
      <c r="L58" s="193">
        <v>1</v>
      </c>
      <c r="M58" s="725">
        <f>L58/M$48</f>
        <v>8.3333333333333329E-2</v>
      </c>
      <c r="N58" s="193">
        <v>1</v>
      </c>
      <c r="O58" s="725">
        <f>N58/O$48</f>
        <v>7.6923076923076927E-2</v>
      </c>
      <c r="P58" s="193">
        <v>2</v>
      </c>
      <c r="Q58" s="725">
        <f>P58/Q$48</f>
        <v>0.14285714285714285</v>
      </c>
      <c r="R58" s="193">
        <v>1</v>
      </c>
      <c r="S58" s="725">
        <f>R58/S$48</f>
        <v>7.1428571428571425E-2</v>
      </c>
      <c r="T58" s="193"/>
      <c r="U58" s="726" t="e">
        <f>T58/U$48</f>
        <v>#DIV/0!</v>
      </c>
      <c r="V58" s="204"/>
      <c r="W58" s="727">
        <f t="shared" si="18"/>
        <v>1.25</v>
      </c>
      <c r="X58" s="728" t="e">
        <f t="shared" si="18"/>
        <v>#DIV/0!</v>
      </c>
    </row>
    <row r="59" spans="1:24" s="1" customFormat="1" ht="18" customHeight="1" x14ac:dyDescent="0.2">
      <c r="A59" s="680" t="s">
        <v>55</v>
      </c>
      <c r="B59" s="731"/>
      <c r="C59" s="732"/>
      <c r="D59" s="731"/>
      <c r="E59" s="733"/>
      <c r="F59" s="734"/>
      <c r="G59" s="733"/>
      <c r="H59" s="734"/>
      <c r="I59" s="733"/>
      <c r="J59" s="734"/>
      <c r="K59" s="733"/>
      <c r="L59" s="734"/>
      <c r="M59" s="733"/>
      <c r="N59" s="734"/>
      <c r="O59" s="733"/>
      <c r="P59" s="734"/>
      <c r="Q59" s="733"/>
      <c r="R59" s="734"/>
      <c r="S59" s="733"/>
      <c r="T59" s="734"/>
      <c r="U59" s="735"/>
      <c r="V59" s="204"/>
      <c r="W59" s="736"/>
      <c r="X59" s="737"/>
    </row>
    <row r="60" spans="1:24" s="1" customFormat="1" ht="15" customHeight="1" x14ac:dyDescent="0.2">
      <c r="A60" s="200" t="s">
        <v>56</v>
      </c>
      <c r="B60" s="208">
        <v>9</v>
      </c>
      <c r="C60" s="191">
        <f>B60/C$48</f>
        <v>0.81818181818181823</v>
      </c>
      <c r="D60" s="208">
        <v>9</v>
      </c>
      <c r="E60" s="192">
        <f>D60/E$48</f>
        <v>0.81818181818181823</v>
      </c>
      <c r="F60" s="209">
        <v>8</v>
      </c>
      <c r="G60" s="192">
        <f>F60/G$48</f>
        <v>0.8</v>
      </c>
      <c r="H60" s="209">
        <v>10</v>
      </c>
      <c r="I60" s="192">
        <f>H60/I$48</f>
        <v>0.76923076923076927</v>
      </c>
      <c r="J60" s="209">
        <f>0+9</f>
        <v>9</v>
      </c>
      <c r="K60" s="192">
        <f>J60/K$48</f>
        <v>0.81818181818181823</v>
      </c>
      <c r="L60" s="209">
        <v>10</v>
      </c>
      <c r="M60" s="192">
        <f>L60/M$48</f>
        <v>0.83333333333333337</v>
      </c>
      <c r="N60" s="209">
        <f>2+8</f>
        <v>10</v>
      </c>
      <c r="O60" s="192">
        <f>N60/O$48</f>
        <v>0.76923076923076927</v>
      </c>
      <c r="P60" s="209">
        <v>11</v>
      </c>
      <c r="Q60" s="192">
        <f>P60/Q$48</f>
        <v>0.7857142857142857</v>
      </c>
      <c r="R60" s="209">
        <v>11</v>
      </c>
      <c r="S60" s="192">
        <f>R60/S$48</f>
        <v>0.7857142857142857</v>
      </c>
      <c r="T60" s="209"/>
      <c r="U60" s="203" t="e">
        <f>T60/U$48</f>
        <v>#DIV/0!</v>
      </c>
      <c r="V60" s="204"/>
      <c r="W60" s="205">
        <f t="shared" si="18"/>
        <v>10.5</v>
      </c>
      <c r="X60" s="206" t="e">
        <f t="shared" si="18"/>
        <v>#DIV/0!</v>
      </c>
    </row>
    <row r="61" spans="1:24" s="1" customFormat="1" ht="15" customHeight="1" thickBot="1" x14ac:dyDescent="0.25">
      <c r="A61" s="696" t="s">
        <v>57</v>
      </c>
      <c r="B61" s="729">
        <v>2</v>
      </c>
      <c r="C61" s="724">
        <f>B61/C$48</f>
        <v>0.18181818181818182</v>
      </c>
      <c r="D61" s="729">
        <v>2</v>
      </c>
      <c r="E61" s="725">
        <f>D61/E$48</f>
        <v>0.18181818181818182</v>
      </c>
      <c r="F61" s="730">
        <v>2</v>
      </c>
      <c r="G61" s="725">
        <f>F61/G$48</f>
        <v>0.2</v>
      </c>
      <c r="H61" s="730">
        <v>3</v>
      </c>
      <c r="I61" s="725">
        <f>H61/I$48</f>
        <v>0.23076923076923078</v>
      </c>
      <c r="J61" s="730">
        <f>1+1</f>
        <v>2</v>
      </c>
      <c r="K61" s="725">
        <f>J61/K$48</f>
        <v>0.18181818181818182</v>
      </c>
      <c r="L61" s="730">
        <v>2</v>
      </c>
      <c r="M61" s="725">
        <f>L61/M$48</f>
        <v>0.16666666666666666</v>
      </c>
      <c r="N61" s="730">
        <v>3</v>
      </c>
      <c r="O61" s="725">
        <f>N61/O$48</f>
        <v>0.23076923076923078</v>
      </c>
      <c r="P61" s="730">
        <v>3</v>
      </c>
      <c r="Q61" s="725">
        <f>P61/Q$48</f>
        <v>0.21428571428571427</v>
      </c>
      <c r="R61" s="730">
        <v>3</v>
      </c>
      <c r="S61" s="725">
        <f>R61/S$48</f>
        <v>0.21428571428571427</v>
      </c>
      <c r="T61" s="730"/>
      <c r="U61" s="726" t="e">
        <f>T61/U$48</f>
        <v>#DIV/0!</v>
      </c>
      <c r="V61" s="204"/>
      <c r="W61" s="727">
        <f t="shared" si="18"/>
        <v>2.75</v>
      </c>
      <c r="X61" s="728" t="e">
        <f t="shared" si="18"/>
        <v>#DIV/0!</v>
      </c>
    </row>
    <row r="62" spans="1:24" s="1" customFormat="1" ht="18" customHeight="1" x14ac:dyDescent="0.2">
      <c r="A62" s="680" t="s">
        <v>58</v>
      </c>
      <c r="B62" s="738"/>
      <c r="C62" s="739"/>
      <c r="D62" s="738"/>
      <c r="E62" s="740"/>
      <c r="F62" s="741"/>
      <c r="G62" s="740"/>
      <c r="H62" s="741"/>
      <c r="I62" s="740"/>
      <c r="J62" s="741"/>
      <c r="K62" s="740"/>
      <c r="L62" s="741"/>
      <c r="M62" s="740"/>
      <c r="N62" s="741"/>
      <c r="O62" s="740"/>
      <c r="P62" s="741"/>
      <c r="Q62" s="740"/>
      <c r="R62" s="741"/>
      <c r="S62" s="740"/>
      <c r="T62" s="741"/>
      <c r="U62" s="742"/>
      <c r="V62" s="204"/>
      <c r="W62" s="736"/>
      <c r="X62" s="737"/>
    </row>
    <row r="63" spans="1:24" s="1" customFormat="1" ht="15" customHeight="1" x14ac:dyDescent="0.2">
      <c r="A63" s="200" t="s">
        <v>59</v>
      </c>
      <c r="B63" s="210">
        <v>6</v>
      </c>
      <c r="C63" s="191">
        <f>B63/C$48</f>
        <v>0.54545454545454541</v>
      </c>
      <c r="D63" s="210">
        <v>5</v>
      </c>
      <c r="E63" s="192">
        <f>D63/E$48</f>
        <v>0.45454545454545453</v>
      </c>
      <c r="F63" s="211">
        <v>8</v>
      </c>
      <c r="G63" s="192">
        <f>F63/G$48</f>
        <v>0.8</v>
      </c>
      <c r="H63" s="211">
        <v>9</v>
      </c>
      <c r="I63" s="192">
        <f>H63/I$48</f>
        <v>0.69230769230769229</v>
      </c>
      <c r="J63" s="211">
        <f>0+5</f>
        <v>5</v>
      </c>
      <c r="K63" s="192">
        <f>J63/K$48</f>
        <v>0.45454545454545453</v>
      </c>
      <c r="L63" s="211">
        <v>8</v>
      </c>
      <c r="M63" s="192">
        <f>L63/M$48</f>
        <v>0.66666666666666663</v>
      </c>
      <c r="N63" s="211">
        <f>2+6</f>
        <v>8</v>
      </c>
      <c r="O63" s="192">
        <f>N63/O$48</f>
        <v>0.61538461538461542</v>
      </c>
      <c r="P63" s="211">
        <v>7</v>
      </c>
      <c r="Q63" s="192">
        <f>P63/Q$48</f>
        <v>0.5</v>
      </c>
      <c r="R63" s="211">
        <v>7</v>
      </c>
      <c r="S63" s="192">
        <f>R63/S$48</f>
        <v>0.5</v>
      </c>
      <c r="T63" s="211"/>
      <c r="U63" s="203" t="e">
        <f>T63/U$48</f>
        <v>#DIV/0!</v>
      </c>
      <c r="V63" s="204"/>
      <c r="W63" s="205">
        <f t="shared" si="18"/>
        <v>7.5</v>
      </c>
      <c r="X63" s="206" t="e">
        <f t="shared" si="18"/>
        <v>#DIV/0!</v>
      </c>
    </row>
    <row r="64" spans="1:24" s="1" customFormat="1" ht="15" customHeight="1" x14ac:dyDescent="0.2">
      <c r="A64" s="200" t="s">
        <v>60</v>
      </c>
      <c r="B64" s="210">
        <v>5</v>
      </c>
      <c r="C64" s="191">
        <f>B64/C$48</f>
        <v>0.45454545454545453</v>
      </c>
      <c r="D64" s="210">
        <v>6</v>
      </c>
      <c r="E64" s="192">
        <f>D64/E$48</f>
        <v>0.54545454545454541</v>
      </c>
      <c r="F64" s="211">
        <v>2</v>
      </c>
      <c r="G64" s="192">
        <f>F64/G$48</f>
        <v>0.2</v>
      </c>
      <c r="H64" s="211">
        <v>3</v>
      </c>
      <c r="I64" s="192">
        <f>H64/I$48</f>
        <v>0.23076923076923078</v>
      </c>
      <c r="J64" s="211">
        <f>0+4</f>
        <v>4</v>
      </c>
      <c r="K64" s="192">
        <f>J64/K$48</f>
        <v>0.36363636363636365</v>
      </c>
      <c r="L64" s="211">
        <v>1</v>
      </c>
      <c r="M64" s="192">
        <f>L64/M$48</f>
        <v>8.3333333333333329E-2</v>
      </c>
      <c r="N64" s="211">
        <v>4</v>
      </c>
      <c r="O64" s="192">
        <f>N64/O$48</f>
        <v>0.30769230769230771</v>
      </c>
      <c r="P64" s="211">
        <v>5</v>
      </c>
      <c r="Q64" s="192">
        <f>P64/Q$48</f>
        <v>0.35714285714285715</v>
      </c>
      <c r="R64" s="211">
        <v>7</v>
      </c>
      <c r="S64" s="192">
        <f>R64/S$48</f>
        <v>0.5</v>
      </c>
      <c r="T64" s="211"/>
      <c r="U64" s="203" t="e">
        <f>T64/U$48</f>
        <v>#DIV/0!</v>
      </c>
      <c r="V64" s="204"/>
      <c r="W64" s="205">
        <f t="shared" si="18"/>
        <v>4.25</v>
      </c>
      <c r="X64" s="206" t="e">
        <f t="shared" si="18"/>
        <v>#DIV/0!</v>
      </c>
    </row>
    <row r="65" spans="1:24" s="1" customFormat="1" ht="15" customHeight="1" thickBot="1" x14ac:dyDescent="0.25">
      <c r="A65" s="696" t="s">
        <v>61</v>
      </c>
      <c r="B65" s="729">
        <v>0</v>
      </c>
      <c r="C65" s="724">
        <f>B65/C$48</f>
        <v>0</v>
      </c>
      <c r="D65" s="729">
        <v>0</v>
      </c>
      <c r="E65" s="725">
        <f>D65/E$48</f>
        <v>0</v>
      </c>
      <c r="F65" s="730">
        <v>0</v>
      </c>
      <c r="G65" s="725">
        <f>F65/G$48</f>
        <v>0</v>
      </c>
      <c r="H65" s="730">
        <v>1</v>
      </c>
      <c r="I65" s="725">
        <f>H65/I$48</f>
        <v>7.6923076923076927E-2</v>
      </c>
      <c r="J65" s="730">
        <f>1+1</f>
        <v>2</v>
      </c>
      <c r="K65" s="725">
        <f>J65/K$48</f>
        <v>0.18181818181818182</v>
      </c>
      <c r="L65" s="730">
        <v>3</v>
      </c>
      <c r="M65" s="725">
        <f>L65/M$48</f>
        <v>0.25</v>
      </c>
      <c r="N65" s="730">
        <v>1</v>
      </c>
      <c r="O65" s="725">
        <f>N65/O$48</f>
        <v>7.6923076923076927E-2</v>
      </c>
      <c r="P65" s="730">
        <v>2</v>
      </c>
      <c r="Q65" s="725">
        <f>P65/Q$48</f>
        <v>0.14285714285714285</v>
      </c>
      <c r="R65" s="730">
        <v>0</v>
      </c>
      <c r="S65" s="725">
        <f>R65/S$48</f>
        <v>0</v>
      </c>
      <c r="T65" s="730"/>
      <c r="U65" s="726" t="e">
        <f>T65/U$48</f>
        <v>#DIV/0!</v>
      </c>
      <c r="V65" s="204"/>
      <c r="W65" s="727">
        <f t="shared" si="18"/>
        <v>1.5</v>
      </c>
      <c r="X65" s="728" t="e">
        <f t="shared" si="18"/>
        <v>#DIV/0!</v>
      </c>
    </row>
    <row r="66" spans="1:24" s="1" customFormat="1" ht="18" customHeight="1" x14ac:dyDescent="0.2">
      <c r="A66" s="680" t="s">
        <v>62</v>
      </c>
      <c r="B66" s="738"/>
      <c r="C66" s="739"/>
      <c r="D66" s="738"/>
      <c r="E66" s="740"/>
      <c r="F66" s="741"/>
      <c r="G66" s="740"/>
      <c r="H66" s="741"/>
      <c r="I66" s="740"/>
      <c r="J66" s="741"/>
      <c r="K66" s="740"/>
      <c r="L66" s="741"/>
      <c r="M66" s="740"/>
      <c r="N66" s="741"/>
      <c r="O66" s="740"/>
      <c r="P66" s="741"/>
      <c r="Q66" s="740"/>
      <c r="R66" s="741"/>
      <c r="S66" s="740"/>
      <c r="T66" s="741"/>
      <c r="U66" s="742"/>
      <c r="V66" s="204"/>
      <c r="W66" s="736"/>
      <c r="X66" s="737"/>
    </row>
    <row r="67" spans="1:24" s="1" customFormat="1" ht="15" customHeight="1" x14ac:dyDescent="0.2">
      <c r="A67" s="200" t="s">
        <v>63</v>
      </c>
      <c r="B67" s="210">
        <v>11</v>
      </c>
      <c r="C67" s="191">
        <f>B67/C$48</f>
        <v>1</v>
      </c>
      <c r="D67" s="210">
        <v>11</v>
      </c>
      <c r="E67" s="192">
        <f>D67/E$48</f>
        <v>1</v>
      </c>
      <c r="F67" s="211">
        <v>10</v>
      </c>
      <c r="G67" s="192">
        <f>F67/G$48</f>
        <v>1</v>
      </c>
      <c r="H67" s="211">
        <v>13</v>
      </c>
      <c r="I67" s="192">
        <f>H67/I$48</f>
        <v>1</v>
      </c>
      <c r="J67" s="211">
        <f>1+10</f>
        <v>11</v>
      </c>
      <c r="K67" s="192">
        <f>J67/K$48</f>
        <v>1</v>
      </c>
      <c r="L67" s="211">
        <v>12</v>
      </c>
      <c r="M67" s="192">
        <f>L67/M$48</f>
        <v>1</v>
      </c>
      <c r="N67" s="211">
        <f>2+11</f>
        <v>13</v>
      </c>
      <c r="O67" s="192">
        <f>N67/O$48</f>
        <v>1</v>
      </c>
      <c r="P67" s="211">
        <v>14</v>
      </c>
      <c r="Q67" s="192">
        <f>P67/Q$48</f>
        <v>1</v>
      </c>
      <c r="R67" s="211">
        <v>14</v>
      </c>
      <c r="S67" s="192">
        <f>R67/S$48</f>
        <v>1</v>
      </c>
      <c r="T67" s="211"/>
      <c r="U67" s="203" t="e">
        <f>T67/U$48</f>
        <v>#DIV/0!</v>
      </c>
      <c r="V67" s="204"/>
      <c r="W67" s="205">
        <f t="shared" si="18"/>
        <v>13.25</v>
      </c>
      <c r="X67" s="206" t="e">
        <f t="shared" si="18"/>
        <v>#DIV/0!</v>
      </c>
    </row>
    <row r="68" spans="1:24" s="1" customFormat="1" ht="15" customHeight="1" x14ac:dyDescent="0.2">
      <c r="A68" s="200" t="s">
        <v>64</v>
      </c>
      <c r="B68" s="210">
        <v>0</v>
      </c>
      <c r="C68" s="191">
        <f>B68/C$48</f>
        <v>0</v>
      </c>
      <c r="D68" s="210">
        <v>0</v>
      </c>
      <c r="E68" s="192">
        <f>D68/E$48</f>
        <v>0</v>
      </c>
      <c r="F68" s="211">
        <v>0</v>
      </c>
      <c r="G68" s="192">
        <f>F68/G$48</f>
        <v>0</v>
      </c>
      <c r="H68" s="211">
        <v>0</v>
      </c>
      <c r="I68" s="192">
        <f>H68/I$48</f>
        <v>0</v>
      </c>
      <c r="J68" s="211">
        <f>0</f>
        <v>0</v>
      </c>
      <c r="K68" s="192">
        <f>J68/K$48</f>
        <v>0</v>
      </c>
      <c r="L68" s="211">
        <v>0</v>
      </c>
      <c r="M68" s="192">
        <f>L68/M$48</f>
        <v>0</v>
      </c>
      <c r="N68" s="211">
        <v>0</v>
      </c>
      <c r="O68" s="192">
        <f>N68/O$48</f>
        <v>0</v>
      </c>
      <c r="P68" s="211">
        <v>0</v>
      </c>
      <c r="Q68" s="192">
        <f>P68/Q$48</f>
        <v>0</v>
      </c>
      <c r="R68" s="211">
        <v>0</v>
      </c>
      <c r="S68" s="192">
        <f>R68/S$48</f>
        <v>0</v>
      </c>
      <c r="T68" s="211"/>
      <c r="U68" s="203" t="e">
        <f>T68/U$48</f>
        <v>#DIV/0!</v>
      </c>
      <c r="V68" s="204"/>
      <c r="W68" s="205">
        <f t="shared" si="18"/>
        <v>0</v>
      </c>
      <c r="X68" s="206" t="e">
        <f t="shared" si="18"/>
        <v>#DIV/0!</v>
      </c>
    </row>
    <row r="69" spans="1:24" s="1" customFormat="1" ht="15" customHeight="1" x14ac:dyDescent="0.2">
      <c r="A69" s="200" t="s">
        <v>65</v>
      </c>
      <c r="B69" s="210">
        <v>0</v>
      </c>
      <c r="C69" s="191">
        <f>B69/C$48</f>
        <v>0</v>
      </c>
      <c r="D69" s="210">
        <v>0</v>
      </c>
      <c r="E69" s="192">
        <f>D69/E$48</f>
        <v>0</v>
      </c>
      <c r="F69" s="211">
        <v>0</v>
      </c>
      <c r="G69" s="192">
        <f>F69/G$48</f>
        <v>0</v>
      </c>
      <c r="H69" s="211">
        <v>0</v>
      </c>
      <c r="I69" s="192">
        <f>H69/I$48</f>
        <v>0</v>
      </c>
      <c r="J69" s="211">
        <f>0</f>
        <v>0</v>
      </c>
      <c r="K69" s="192">
        <f>J69/K$48</f>
        <v>0</v>
      </c>
      <c r="L69" s="211">
        <v>0</v>
      </c>
      <c r="M69" s="192">
        <f>L69/M$48</f>
        <v>0</v>
      </c>
      <c r="N69" s="211">
        <v>0</v>
      </c>
      <c r="O69" s="192">
        <f>N69/O$48</f>
        <v>0</v>
      </c>
      <c r="P69" s="211">
        <v>0</v>
      </c>
      <c r="Q69" s="192">
        <f>P69/Q$48</f>
        <v>0</v>
      </c>
      <c r="R69" s="211">
        <v>0</v>
      </c>
      <c r="S69" s="192">
        <f>R69/S$48</f>
        <v>0</v>
      </c>
      <c r="T69" s="211"/>
      <c r="U69" s="203" t="e">
        <f>T69/U$48</f>
        <v>#DIV/0!</v>
      </c>
      <c r="V69" s="195"/>
      <c r="W69" s="205">
        <f t="shared" si="18"/>
        <v>0</v>
      </c>
      <c r="X69" s="206" t="e">
        <f t="shared" si="18"/>
        <v>#DIV/0!</v>
      </c>
    </row>
    <row r="70" spans="1:24" s="1" customFormat="1" ht="15" customHeight="1" thickBot="1" x14ac:dyDescent="0.25">
      <c r="A70" s="212" t="s">
        <v>66</v>
      </c>
      <c r="B70" s="246">
        <v>0</v>
      </c>
      <c r="C70" s="214">
        <f>B70/C$48</f>
        <v>0</v>
      </c>
      <c r="D70" s="246">
        <v>0</v>
      </c>
      <c r="E70" s="215">
        <f>D70/E$48</f>
        <v>0</v>
      </c>
      <c r="F70" s="217">
        <v>0</v>
      </c>
      <c r="G70" s="215">
        <f>F70/G$48</f>
        <v>0</v>
      </c>
      <c r="H70" s="217">
        <v>0</v>
      </c>
      <c r="I70" s="215">
        <f>H70/I$48</f>
        <v>0</v>
      </c>
      <c r="J70" s="217">
        <f>0</f>
        <v>0</v>
      </c>
      <c r="K70" s="215">
        <f>J70/K$48</f>
        <v>0</v>
      </c>
      <c r="L70" s="217">
        <v>0</v>
      </c>
      <c r="M70" s="215">
        <f>L70/M$48</f>
        <v>0</v>
      </c>
      <c r="N70" s="217">
        <v>0</v>
      </c>
      <c r="O70" s="215">
        <f>N70/O$48</f>
        <v>0</v>
      </c>
      <c r="P70" s="217">
        <v>0</v>
      </c>
      <c r="Q70" s="215">
        <f>P70/Q$48</f>
        <v>0</v>
      </c>
      <c r="R70" s="217">
        <v>0</v>
      </c>
      <c r="S70" s="215">
        <f>R70/S$48</f>
        <v>0</v>
      </c>
      <c r="T70" s="217"/>
      <c r="U70" s="218" t="e">
        <f>T70/U$48</f>
        <v>#DIV/0!</v>
      </c>
      <c r="V70" s="195"/>
      <c r="W70" s="219">
        <f t="shared" si="18"/>
        <v>0</v>
      </c>
      <c r="X70" s="220" t="e">
        <f t="shared" si="18"/>
        <v>#DIV/0!</v>
      </c>
    </row>
    <row r="71" spans="1:24" ht="13.5" thickTop="1" x14ac:dyDescent="0.2">
      <c r="A71" s="743" t="s">
        <v>248</v>
      </c>
    </row>
    <row r="72" spans="1:24" x14ac:dyDescent="0.2">
      <c r="A72" s="1"/>
      <c r="H72" s="65" t="s">
        <v>19</v>
      </c>
      <c r="J72" s="65" t="s">
        <v>19</v>
      </c>
      <c r="L72" s="65" t="s">
        <v>19</v>
      </c>
      <c r="N72" s="65" t="s">
        <v>19</v>
      </c>
      <c r="P72" s="65" t="s">
        <v>19</v>
      </c>
      <c r="R72" s="65" t="s">
        <v>19</v>
      </c>
      <c r="T72" s="65"/>
    </row>
    <row r="73" spans="1:24" x14ac:dyDescent="0.2">
      <c r="A73" s="1"/>
    </row>
    <row r="74" spans="1:24" x14ac:dyDescent="0.2">
      <c r="A74" s="1"/>
    </row>
    <row r="75" spans="1:24" x14ac:dyDescent="0.2">
      <c r="A75" s="1"/>
    </row>
    <row r="76" spans="1:24" x14ac:dyDescent="0.2">
      <c r="A76" s="1"/>
    </row>
    <row r="77" spans="1:24" x14ac:dyDescent="0.2">
      <c r="A77" s="1"/>
    </row>
    <row r="78" spans="1:24" x14ac:dyDescent="0.2">
      <c r="A78" s="1"/>
    </row>
    <row r="79" spans="1:24" x14ac:dyDescent="0.2">
      <c r="A79" s="1"/>
    </row>
    <row r="80" spans="1:24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x14ac:dyDescent="0.2">
      <c r="A84" s="1"/>
    </row>
    <row r="85" spans="1:1" x14ac:dyDescent="0.2">
      <c r="A85" s="1"/>
    </row>
    <row r="86" spans="1:1" x14ac:dyDescent="0.2">
      <c r="A86" s="1"/>
    </row>
    <row r="87" spans="1:1" x14ac:dyDescent="0.2">
      <c r="A87" s="1"/>
    </row>
    <row r="88" spans="1:1" x14ac:dyDescent="0.2">
      <c r="A88" s="1"/>
    </row>
    <row r="89" spans="1:1" x14ac:dyDescent="0.2">
      <c r="A89" s="1"/>
    </row>
    <row r="90" spans="1:1" x14ac:dyDescent="0.2">
      <c r="A90" s="1"/>
    </row>
    <row r="91" spans="1:1" x14ac:dyDescent="0.2">
      <c r="A91" s="1"/>
    </row>
    <row r="92" spans="1:1" x14ac:dyDescent="0.2">
      <c r="A92" s="1"/>
    </row>
    <row r="93" spans="1:1" x14ac:dyDescent="0.2">
      <c r="A93" s="1"/>
    </row>
    <row r="94" spans="1:1" x14ac:dyDescent="0.2">
      <c r="A94" s="1"/>
    </row>
    <row r="95" spans="1:1" x14ac:dyDescent="0.2">
      <c r="A95" s="1"/>
    </row>
    <row r="96" spans="1:1" x14ac:dyDescent="0.2">
      <c r="A96" s="1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x14ac:dyDescent="0.2">
      <c r="A100" s="1"/>
    </row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x14ac:dyDescent="0.2">
      <c r="A107" s="1"/>
    </row>
    <row r="108" spans="1:1" x14ac:dyDescent="0.2">
      <c r="A108" s="1"/>
    </row>
    <row r="109" spans="1:1" x14ac:dyDescent="0.2">
      <c r="A109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x14ac:dyDescent="0.2">
      <c r="A120" s="1"/>
    </row>
    <row r="121" spans="1:1" x14ac:dyDescent="0.2">
      <c r="A121" s="1"/>
    </row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x14ac:dyDescent="0.2">
      <c r="A128" s="1"/>
    </row>
    <row r="129" spans="1:1" x14ac:dyDescent="0.2">
      <c r="A129" s="1"/>
    </row>
    <row r="130" spans="1:1" x14ac:dyDescent="0.2">
      <c r="A130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x14ac:dyDescent="0.2">
      <c r="A152" s="1"/>
    </row>
    <row r="153" spans="1:1" x14ac:dyDescent="0.2">
      <c r="A153" s="1"/>
    </row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  <row r="177" spans="1:1" x14ac:dyDescent="0.2">
      <c r="A177" s="1"/>
    </row>
    <row r="178" spans="1:1" x14ac:dyDescent="0.2">
      <c r="A178" s="1"/>
    </row>
    <row r="179" spans="1:1" x14ac:dyDescent="0.2">
      <c r="A179" s="1"/>
    </row>
    <row r="180" spans="1:1" x14ac:dyDescent="0.2">
      <c r="A180" s="1"/>
    </row>
    <row r="181" spans="1:1" x14ac:dyDescent="0.2">
      <c r="A181" s="1"/>
    </row>
    <row r="182" spans="1:1" x14ac:dyDescent="0.2">
      <c r="A182" s="1"/>
    </row>
    <row r="183" spans="1:1" x14ac:dyDescent="0.2">
      <c r="A183" s="1"/>
    </row>
    <row r="184" spans="1:1" x14ac:dyDescent="0.2">
      <c r="A184" s="1"/>
    </row>
    <row r="185" spans="1:1" x14ac:dyDescent="0.2">
      <c r="A185" s="1"/>
    </row>
    <row r="186" spans="1:1" x14ac:dyDescent="0.2">
      <c r="A186" s="1"/>
    </row>
    <row r="187" spans="1:1" x14ac:dyDescent="0.2">
      <c r="A187" s="1"/>
    </row>
    <row r="188" spans="1:1" x14ac:dyDescent="0.2">
      <c r="A188" s="1"/>
    </row>
    <row r="189" spans="1:1" x14ac:dyDescent="0.2">
      <c r="A189" s="1"/>
    </row>
    <row r="190" spans="1:1" x14ac:dyDescent="0.2">
      <c r="A190" s="1"/>
    </row>
    <row r="191" spans="1:1" x14ac:dyDescent="0.2">
      <c r="A191" s="1"/>
    </row>
    <row r="192" spans="1:1" x14ac:dyDescent="0.2">
      <c r="A192" s="1"/>
    </row>
    <row r="193" spans="1:1" x14ac:dyDescent="0.2">
      <c r="A193" s="1"/>
    </row>
    <row r="194" spans="1:1" x14ac:dyDescent="0.2">
      <c r="A194" s="1"/>
    </row>
    <row r="195" spans="1:1" x14ac:dyDescent="0.2">
      <c r="A195" s="1"/>
    </row>
    <row r="196" spans="1:1" x14ac:dyDescent="0.2">
      <c r="A196" s="1"/>
    </row>
    <row r="197" spans="1:1" x14ac:dyDescent="0.2">
      <c r="A197" s="1"/>
    </row>
    <row r="198" spans="1:1" x14ac:dyDescent="0.2">
      <c r="A198" s="1"/>
    </row>
    <row r="199" spans="1:1" x14ac:dyDescent="0.2">
      <c r="A199" s="1"/>
    </row>
    <row r="200" spans="1:1" x14ac:dyDescent="0.2">
      <c r="A200" s="1"/>
    </row>
    <row r="201" spans="1:1" x14ac:dyDescent="0.2">
      <c r="A201" s="1"/>
    </row>
    <row r="202" spans="1:1" x14ac:dyDescent="0.2">
      <c r="A202" s="1"/>
    </row>
    <row r="203" spans="1:1" x14ac:dyDescent="0.2">
      <c r="A203" s="1"/>
    </row>
    <row r="204" spans="1:1" x14ac:dyDescent="0.2">
      <c r="A204" s="1"/>
    </row>
    <row r="205" spans="1:1" x14ac:dyDescent="0.2">
      <c r="A205" s="1"/>
    </row>
    <row r="206" spans="1:1" x14ac:dyDescent="0.2">
      <c r="A206" s="1"/>
    </row>
    <row r="207" spans="1:1" x14ac:dyDescent="0.2">
      <c r="A207" s="1"/>
    </row>
    <row r="208" spans="1:1" x14ac:dyDescent="0.2">
      <c r="A208" s="1"/>
    </row>
    <row r="209" spans="1:1" x14ac:dyDescent="0.2">
      <c r="A209" s="1"/>
    </row>
    <row r="210" spans="1:1" x14ac:dyDescent="0.2">
      <c r="A210" s="1"/>
    </row>
    <row r="211" spans="1:1" x14ac:dyDescent="0.2">
      <c r="A211" s="1"/>
    </row>
    <row r="212" spans="1:1" x14ac:dyDescent="0.2">
      <c r="A212" s="1"/>
    </row>
    <row r="213" spans="1:1" x14ac:dyDescent="0.2">
      <c r="A213" s="1"/>
    </row>
    <row r="214" spans="1:1" x14ac:dyDescent="0.2">
      <c r="A214" s="1"/>
    </row>
    <row r="215" spans="1:1" x14ac:dyDescent="0.2">
      <c r="A215" s="1"/>
    </row>
    <row r="216" spans="1:1" x14ac:dyDescent="0.2">
      <c r="A216" s="1"/>
    </row>
    <row r="217" spans="1:1" x14ac:dyDescent="0.2">
      <c r="A217" s="1"/>
    </row>
    <row r="218" spans="1:1" x14ac:dyDescent="0.2">
      <c r="A218" s="1"/>
    </row>
    <row r="219" spans="1:1" x14ac:dyDescent="0.2">
      <c r="A219" s="1"/>
    </row>
    <row r="220" spans="1:1" x14ac:dyDescent="0.2">
      <c r="A220" s="1"/>
    </row>
    <row r="221" spans="1:1" x14ac:dyDescent="0.2">
      <c r="A221" s="1"/>
    </row>
    <row r="222" spans="1:1" x14ac:dyDescent="0.2">
      <c r="A222" s="1"/>
    </row>
    <row r="223" spans="1:1" x14ac:dyDescent="0.2">
      <c r="A223" s="1"/>
    </row>
    <row r="224" spans="1:1" x14ac:dyDescent="0.2">
      <c r="A224" s="1"/>
    </row>
    <row r="225" spans="1:1" x14ac:dyDescent="0.2">
      <c r="A225" s="1"/>
    </row>
    <row r="226" spans="1:1" x14ac:dyDescent="0.2">
      <c r="A226" s="1"/>
    </row>
    <row r="227" spans="1:1" x14ac:dyDescent="0.2">
      <c r="A227" s="1"/>
    </row>
    <row r="228" spans="1:1" x14ac:dyDescent="0.2">
      <c r="A228" s="1"/>
    </row>
    <row r="229" spans="1:1" x14ac:dyDescent="0.2">
      <c r="A229" s="1"/>
    </row>
    <row r="230" spans="1:1" x14ac:dyDescent="0.2">
      <c r="A230" s="1"/>
    </row>
    <row r="231" spans="1:1" x14ac:dyDescent="0.2">
      <c r="A231" s="1"/>
    </row>
    <row r="232" spans="1:1" x14ac:dyDescent="0.2">
      <c r="A232" s="1"/>
    </row>
    <row r="233" spans="1:1" x14ac:dyDescent="0.2">
      <c r="A233" s="1"/>
    </row>
    <row r="234" spans="1:1" x14ac:dyDescent="0.2">
      <c r="A234" s="1"/>
    </row>
    <row r="235" spans="1:1" x14ac:dyDescent="0.2">
      <c r="A235" s="1"/>
    </row>
    <row r="236" spans="1:1" x14ac:dyDescent="0.2">
      <c r="A236" s="1"/>
    </row>
    <row r="237" spans="1:1" x14ac:dyDescent="0.2">
      <c r="A237" s="1"/>
    </row>
    <row r="238" spans="1:1" x14ac:dyDescent="0.2">
      <c r="A238" s="1"/>
    </row>
    <row r="239" spans="1:1" x14ac:dyDescent="0.2">
      <c r="A239" s="1"/>
    </row>
    <row r="240" spans="1:1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6" spans="1:1" x14ac:dyDescent="0.2">
      <c r="A296" s="1"/>
    </row>
    <row r="297" spans="1:1" x14ac:dyDescent="0.2">
      <c r="A297" s="1"/>
    </row>
    <row r="298" spans="1:1" x14ac:dyDescent="0.2">
      <c r="A298" s="1"/>
    </row>
    <row r="299" spans="1:1" x14ac:dyDescent="0.2">
      <c r="A299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  <row r="303" spans="1:1" x14ac:dyDescent="0.2">
      <c r="A303" s="1"/>
    </row>
    <row r="304" spans="1:1" x14ac:dyDescent="0.2">
      <c r="A304" s="1"/>
    </row>
    <row r="305" spans="1:1" x14ac:dyDescent="0.2">
      <c r="A305" s="1"/>
    </row>
    <row r="306" spans="1:1" x14ac:dyDescent="0.2">
      <c r="A306" s="1"/>
    </row>
    <row r="307" spans="1:1" x14ac:dyDescent="0.2">
      <c r="A307" s="1"/>
    </row>
    <row r="308" spans="1:1" x14ac:dyDescent="0.2">
      <c r="A308" s="1"/>
    </row>
    <row r="309" spans="1:1" x14ac:dyDescent="0.2">
      <c r="A309" s="1"/>
    </row>
    <row r="310" spans="1:1" x14ac:dyDescent="0.2">
      <c r="A310" s="1"/>
    </row>
    <row r="311" spans="1:1" x14ac:dyDescent="0.2">
      <c r="A311" s="1"/>
    </row>
    <row r="312" spans="1:1" x14ac:dyDescent="0.2">
      <c r="A312" s="1"/>
    </row>
    <row r="313" spans="1:1" x14ac:dyDescent="0.2">
      <c r="A313" s="1"/>
    </row>
    <row r="314" spans="1:1" x14ac:dyDescent="0.2">
      <c r="A314" s="1"/>
    </row>
    <row r="315" spans="1:1" x14ac:dyDescent="0.2">
      <c r="A315" s="1"/>
    </row>
    <row r="316" spans="1:1" x14ac:dyDescent="0.2">
      <c r="A316" s="1"/>
    </row>
    <row r="317" spans="1:1" x14ac:dyDescent="0.2">
      <c r="A317" s="1"/>
    </row>
    <row r="318" spans="1:1" x14ac:dyDescent="0.2">
      <c r="A318" s="1"/>
    </row>
    <row r="319" spans="1:1" x14ac:dyDescent="0.2">
      <c r="A319" s="1"/>
    </row>
    <row r="320" spans="1:1" x14ac:dyDescent="0.2">
      <c r="A320" s="1"/>
    </row>
    <row r="321" spans="1:1" x14ac:dyDescent="0.2">
      <c r="A321" s="1"/>
    </row>
    <row r="322" spans="1:1" x14ac:dyDescent="0.2">
      <c r="A322" s="1"/>
    </row>
    <row r="323" spans="1:1" x14ac:dyDescent="0.2">
      <c r="A323" s="1"/>
    </row>
    <row r="324" spans="1:1" x14ac:dyDescent="0.2">
      <c r="A324" s="1"/>
    </row>
    <row r="325" spans="1:1" x14ac:dyDescent="0.2">
      <c r="A325" s="1"/>
    </row>
    <row r="326" spans="1:1" x14ac:dyDescent="0.2">
      <c r="A326" s="1"/>
    </row>
    <row r="327" spans="1:1" x14ac:dyDescent="0.2">
      <c r="A327" s="1"/>
    </row>
    <row r="328" spans="1:1" x14ac:dyDescent="0.2">
      <c r="A328" s="1"/>
    </row>
    <row r="329" spans="1:1" x14ac:dyDescent="0.2">
      <c r="A329" s="1"/>
    </row>
    <row r="330" spans="1:1" x14ac:dyDescent="0.2">
      <c r="A330" s="1"/>
    </row>
    <row r="331" spans="1:1" x14ac:dyDescent="0.2">
      <c r="A331" s="1"/>
    </row>
    <row r="332" spans="1:1" x14ac:dyDescent="0.2">
      <c r="A332" s="1"/>
    </row>
    <row r="333" spans="1:1" x14ac:dyDescent="0.2">
      <c r="A333" s="1"/>
    </row>
    <row r="334" spans="1:1" x14ac:dyDescent="0.2">
      <c r="A334" s="1"/>
    </row>
    <row r="335" spans="1:1" x14ac:dyDescent="0.2">
      <c r="A335" s="1"/>
    </row>
    <row r="336" spans="1:1" x14ac:dyDescent="0.2">
      <c r="A336" s="1"/>
    </row>
    <row r="337" spans="1:1" x14ac:dyDescent="0.2">
      <c r="A337" s="1"/>
    </row>
    <row r="338" spans="1:1" x14ac:dyDescent="0.2">
      <c r="A338" s="1"/>
    </row>
    <row r="339" spans="1:1" x14ac:dyDescent="0.2">
      <c r="A339" s="1"/>
    </row>
    <row r="340" spans="1:1" x14ac:dyDescent="0.2">
      <c r="A340" s="1"/>
    </row>
    <row r="341" spans="1:1" x14ac:dyDescent="0.2">
      <c r="A341" s="1"/>
    </row>
    <row r="342" spans="1:1" x14ac:dyDescent="0.2">
      <c r="A342" s="1"/>
    </row>
    <row r="343" spans="1:1" x14ac:dyDescent="0.2">
      <c r="A343" s="1"/>
    </row>
    <row r="344" spans="1:1" x14ac:dyDescent="0.2">
      <c r="A344" s="1"/>
    </row>
    <row r="345" spans="1:1" x14ac:dyDescent="0.2">
      <c r="A345" s="1"/>
    </row>
    <row r="346" spans="1:1" x14ac:dyDescent="0.2">
      <c r="A346" s="1"/>
    </row>
    <row r="347" spans="1:1" x14ac:dyDescent="0.2">
      <c r="A347" s="1"/>
    </row>
    <row r="348" spans="1:1" x14ac:dyDescent="0.2">
      <c r="A348" s="1"/>
    </row>
    <row r="349" spans="1:1" x14ac:dyDescent="0.2">
      <c r="A349" s="1"/>
    </row>
    <row r="350" spans="1:1" x14ac:dyDescent="0.2">
      <c r="A350" s="1"/>
    </row>
    <row r="351" spans="1:1" x14ac:dyDescent="0.2">
      <c r="A351" s="1"/>
    </row>
    <row r="352" spans="1:1" x14ac:dyDescent="0.2">
      <c r="A352" s="1"/>
    </row>
    <row r="353" spans="1:1" x14ac:dyDescent="0.2">
      <c r="A353" s="1"/>
    </row>
    <row r="354" spans="1:1" x14ac:dyDescent="0.2">
      <c r="A354" s="1"/>
    </row>
    <row r="355" spans="1:1" x14ac:dyDescent="0.2">
      <c r="A355" s="1"/>
    </row>
    <row r="356" spans="1:1" x14ac:dyDescent="0.2">
      <c r="A356" s="1"/>
    </row>
    <row r="357" spans="1:1" x14ac:dyDescent="0.2">
      <c r="A357" s="1"/>
    </row>
    <row r="358" spans="1:1" x14ac:dyDescent="0.2">
      <c r="A358" s="1"/>
    </row>
    <row r="359" spans="1:1" x14ac:dyDescent="0.2">
      <c r="A359" s="1"/>
    </row>
    <row r="360" spans="1:1" x14ac:dyDescent="0.2">
      <c r="A360" s="1"/>
    </row>
    <row r="361" spans="1:1" x14ac:dyDescent="0.2">
      <c r="A361" s="1"/>
    </row>
    <row r="362" spans="1:1" x14ac:dyDescent="0.2">
      <c r="A362" s="1"/>
    </row>
    <row r="363" spans="1:1" x14ac:dyDescent="0.2">
      <c r="A363" s="1"/>
    </row>
    <row r="364" spans="1:1" x14ac:dyDescent="0.2">
      <c r="A364" s="1"/>
    </row>
    <row r="365" spans="1:1" x14ac:dyDescent="0.2">
      <c r="A365" s="1"/>
    </row>
    <row r="366" spans="1:1" x14ac:dyDescent="0.2">
      <c r="A366" s="1"/>
    </row>
    <row r="367" spans="1:1" x14ac:dyDescent="0.2">
      <c r="A367" s="1"/>
    </row>
    <row r="368" spans="1:1" x14ac:dyDescent="0.2">
      <c r="A368" s="1"/>
    </row>
    <row r="369" spans="1:1" x14ac:dyDescent="0.2">
      <c r="A369" s="1"/>
    </row>
    <row r="370" spans="1:1" x14ac:dyDescent="0.2">
      <c r="A370" s="1"/>
    </row>
    <row r="371" spans="1:1" x14ac:dyDescent="0.2">
      <c r="A371" s="1"/>
    </row>
    <row r="372" spans="1:1" x14ac:dyDescent="0.2">
      <c r="A372" s="1"/>
    </row>
    <row r="373" spans="1:1" x14ac:dyDescent="0.2">
      <c r="A373" s="1"/>
    </row>
    <row r="374" spans="1:1" x14ac:dyDescent="0.2">
      <c r="A374" s="1"/>
    </row>
    <row r="375" spans="1:1" x14ac:dyDescent="0.2">
      <c r="A375" s="1"/>
    </row>
    <row r="376" spans="1:1" x14ac:dyDescent="0.2">
      <c r="A376" s="1"/>
    </row>
    <row r="377" spans="1:1" x14ac:dyDescent="0.2">
      <c r="A377" s="1"/>
    </row>
    <row r="378" spans="1:1" x14ac:dyDescent="0.2">
      <c r="A378" s="1"/>
    </row>
    <row r="379" spans="1:1" x14ac:dyDescent="0.2">
      <c r="A379" s="1"/>
    </row>
    <row r="380" spans="1:1" x14ac:dyDescent="0.2">
      <c r="A380" s="1"/>
    </row>
    <row r="381" spans="1:1" x14ac:dyDescent="0.2">
      <c r="A381" s="1"/>
    </row>
    <row r="382" spans="1:1" x14ac:dyDescent="0.2">
      <c r="A382" s="1"/>
    </row>
    <row r="383" spans="1:1" x14ac:dyDescent="0.2">
      <c r="A383" s="1"/>
    </row>
    <row r="384" spans="1:1" x14ac:dyDescent="0.2">
      <c r="A384" s="1"/>
    </row>
    <row r="385" spans="1:1" x14ac:dyDescent="0.2">
      <c r="A385" s="1"/>
    </row>
    <row r="386" spans="1:1" x14ac:dyDescent="0.2">
      <c r="A386" s="1"/>
    </row>
    <row r="387" spans="1:1" x14ac:dyDescent="0.2">
      <c r="A387" s="1"/>
    </row>
    <row r="388" spans="1:1" x14ac:dyDescent="0.2">
      <c r="A388" s="1"/>
    </row>
    <row r="389" spans="1:1" x14ac:dyDescent="0.2">
      <c r="A389" s="1"/>
    </row>
    <row r="390" spans="1:1" x14ac:dyDescent="0.2">
      <c r="A390" s="1"/>
    </row>
    <row r="391" spans="1:1" x14ac:dyDescent="0.2">
      <c r="A391" s="1"/>
    </row>
    <row r="392" spans="1:1" x14ac:dyDescent="0.2">
      <c r="A392" s="1"/>
    </row>
    <row r="393" spans="1:1" x14ac:dyDescent="0.2">
      <c r="A393" s="1"/>
    </row>
    <row r="394" spans="1:1" x14ac:dyDescent="0.2">
      <c r="A394" s="1"/>
    </row>
    <row r="395" spans="1:1" x14ac:dyDescent="0.2">
      <c r="A395" s="1"/>
    </row>
    <row r="396" spans="1:1" x14ac:dyDescent="0.2">
      <c r="A396" s="1"/>
    </row>
    <row r="397" spans="1:1" x14ac:dyDescent="0.2">
      <c r="A397" s="1"/>
    </row>
    <row r="398" spans="1:1" x14ac:dyDescent="0.2">
      <c r="A398" s="1"/>
    </row>
    <row r="399" spans="1:1" x14ac:dyDescent="0.2">
      <c r="A399" s="1"/>
    </row>
    <row r="400" spans="1:1" x14ac:dyDescent="0.2">
      <c r="A400" s="1"/>
    </row>
    <row r="401" spans="1:1" x14ac:dyDescent="0.2">
      <c r="A401" s="1"/>
    </row>
    <row r="402" spans="1:1" x14ac:dyDescent="0.2">
      <c r="A402" s="1"/>
    </row>
    <row r="403" spans="1:1" x14ac:dyDescent="0.2">
      <c r="A403" s="1"/>
    </row>
    <row r="404" spans="1:1" x14ac:dyDescent="0.2">
      <c r="A404" s="1"/>
    </row>
    <row r="405" spans="1:1" x14ac:dyDescent="0.2">
      <c r="A405" s="1"/>
    </row>
    <row r="406" spans="1:1" x14ac:dyDescent="0.2">
      <c r="A406" s="1"/>
    </row>
    <row r="407" spans="1:1" x14ac:dyDescent="0.2">
      <c r="A407" s="1"/>
    </row>
    <row r="408" spans="1:1" x14ac:dyDescent="0.2">
      <c r="A408" s="1"/>
    </row>
    <row r="409" spans="1:1" x14ac:dyDescent="0.2">
      <c r="A409" s="1"/>
    </row>
    <row r="410" spans="1:1" x14ac:dyDescent="0.2">
      <c r="A410" s="1"/>
    </row>
    <row r="411" spans="1:1" x14ac:dyDescent="0.2">
      <c r="A411" s="1"/>
    </row>
    <row r="412" spans="1:1" x14ac:dyDescent="0.2">
      <c r="A412" s="1"/>
    </row>
    <row r="413" spans="1:1" x14ac:dyDescent="0.2">
      <c r="A413" s="1"/>
    </row>
    <row r="414" spans="1:1" x14ac:dyDescent="0.2">
      <c r="A414" s="1"/>
    </row>
    <row r="415" spans="1:1" x14ac:dyDescent="0.2">
      <c r="A415" s="1"/>
    </row>
    <row r="416" spans="1:1" x14ac:dyDescent="0.2">
      <c r="A416" s="1"/>
    </row>
    <row r="417" spans="1:1" x14ac:dyDescent="0.2">
      <c r="A417" s="1"/>
    </row>
  </sheetData>
  <mergeCells count="77">
    <mergeCell ref="B17:C17"/>
    <mergeCell ref="D17:E17"/>
    <mergeCell ref="R9:S9"/>
    <mergeCell ref="W9:X9"/>
    <mergeCell ref="F9:G9"/>
    <mergeCell ref="H9:I9"/>
    <mergeCell ref="J9:K9"/>
    <mergeCell ref="L9:M9"/>
    <mergeCell ref="N9:O9"/>
    <mergeCell ref="P9:Q9"/>
    <mergeCell ref="B9:C9"/>
    <mergeCell ref="D9:E9"/>
    <mergeCell ref="F17:G17"/>
    <mergeCell ref="H17:I17"/>
    <mergeCell ref="J17:K17"/>
    <mergeCell ref="L17:M17"/>
    <mergeCell ref="N17:O17"/>
    <mergeCell ref="P21:Q21"/>
    <mergeCell ref="R21:S21"/>
    <mergeCell ref="W21:X21"/>
    <mergeCell ref="R17:S17"/>
    <mergeCell ref="W17:X17"/>
    <mergeCell ref="P17:Q17"/>
    <mergeCell ref="J21:K21"/>
    <mergeCell ref="L21:M21"/>
    <mergeCell ref="N21:O21"/>
    <mergeCell ref="B21:C21"/>
    <mergeCell ref="D21:E21"/>
    <mergeCell ref="F21:G21"/>
    <mergeCell ref="H21:I21"/>
    <mergeCell ref="B30:C30"/>
    <mergeCell ref="D30:E30"/>
    <mergeCell ref="F30:G30"/>
    <mergeCell ref="H30:I30"/>
    <mergeCell ref="P30:Q30"/>
    <mergeCell ref="J30:K30"/>
    <mergeCell ref="L30:M30"/>
    <mergeCell ref="N30:O30"/>
    <mergeCell ref="R23:S23"/>
    <mergeCell ref="W23:X23"/>
    <mergeCell ref="P23:Q23"/>
    <mergeCell ref="B23:C23"/>
    <mergeCell ref="D23:E23"/>
    <mergeCell ref="F23:G23"/>
    <mergeCell ref="H23:I23"/>
    <mergeCell ref="J23:K23"/>
    <mergeCell ref="L23:M23"/>
    <mergeCell ref="N23:O23"/>
    <mergeCell ref="R30:S30"/>
    <mergeCell ref="W33:X33"/>
    <mergeCell ref="P33:Q33"/>
    <mergeCell ref="R33:S33"/>
    <mergeCell ref="J33:K33"/>
    <mergeCell ref="L33:M33"/>
    <mergeCell ref="N33:O33"/>
    <mergeCell ref="W30:X30"/>
    <mergeCell ref="T33:U33"/>
    <mergeCell ref="P36:Q36"/>
    <mergeCell ref="R36:S36"/>
    <mergeCell ref="W36:X36"/>
    <mergeCell ref="B36:C36"/>
    <mergeCell ref="D36:E36"/>
    <mergeCell ref="F36:G36"/>
    <mergeCell ref="H36:I36"/>
    <mergeCell ref="J36:K36"/>
    <mergeCell ref="T36:U36"/>
    <mergeCell ref="B33:C33"/>
    <mergeCell ref="D33:E33"/>
    <mergeCell ref="F33:G33"/>
    <mergeCell ref="L36:M36"/>
    <mergeCell ref="N36:O36"/>
    <mergeCell ref="H33:I33"/>
    <mergeCell ref="T9:U9"/>
    <mergeCell ref="T17:U17"/>
    <mergeCell ref="T21:U21"/>
    <mergeCell ref="T23:U23"/>
    <mergeCell ref="T30:U30"/>
  </mergeCells>
  <printOptions horizontalCentered="1"/>
  <pageMargins left="0.75" right="0.75" top="0.5" bottom="0.5" header="0.25" footer="0.25"/>
  <pageSetup scale="70" orientation="landscape" r:id="rId1"/>
  <headerFooter alignWithMargins="0">
    <oddFooter>&amp;LPrepared by Planning and Analysis&amp;C&amp;P of &amp;N&amp;RUpdated &amp;D</oddFooter>
  </headerFooter>
  <rowBreaks count="1" manualBreakCount="1">
    <brk id="34" max="21" man="1"/>
  </rowBreaks>
  <colBreaks count="1" manualBreakCount="1">
    <brk id="21" min="8" max="70" man="1"/>
  </colBreaks>
  <ignoredErrors>
    <ignoredError sqref="I51:N72" 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C422"/>
  <sheetViews>
    <sheetView view="pageBreakPreview" zoomScaleNormal="100" zoomScaleSheetLayoutView="100" workbookViewId="0">
      <pane xSplit="1" ySplit="8" topLeftCell="T9" activePane="bottomRight" state="frozen"/>
      <selection activeCell="T36" sqref="T36:U36"/>
      <selection pane="topRight" activeCell="T36" sqref="T36:U36"/>
      <selection pane="bottomLeft" activeCell="T36" sqref="T36:U36"/>
      <selection pane="bottomRight" activeCell="T36" sqref="T36:U36"/>
    </sheetView>
  </sheetViews>
  <sheetFormatPr defaultColWidth="10.28515625" defaultRowHeight="12.75" x14ac:dyDescent="0.2"/>
  <cols>
    <col min="1" max="1" width="37.5703125" customWidth="1"/>
    <col min="2" max="2" width="6.7109375" hidden="1" customWidth="1"/>
    <col min="3" max="3" width="10.7109375" hidden="1" customWidth="1"/>
    <col min="4" max="4" width="6.7109375" hidden="1" customWidth="1"/>
    <col min="5" max="5" width="10.7109375" hidden="1" customWidth="1"/>
    <col min="6" max="6" width="6.7109375" customWidth="1"/>
    <col min="7" max="7" width="10.7109375" customWidth="1"/>
    <col min="8" max="8" width="6.7109375" customWidth="1"/>
    <col min="9" max="9" width="10.7109375" customWidth="1"/>
    <col min="10" max="10" width="6.7109375" customWidth="1"/>
    <col min="11" max="11" width="10.7109375" customWidth="1"/>
    <col min="12" max="12" width="6.7109375" customWidth="1"/>
    <col min="13" max="13" width="10.7109375" customWidth="1"/>
    <col min="14" max="14" width="6.7109375" customWidth="1"/>
    <col min="15" max="15" width="10.7109375" customWidth="1"/>
    <col min="16" max="16" width="6.7109375" customWidth="1"/>
    <col min="17" max="17" width="10.7109375" customWidth="1"/>
    <col min="18" max="18" width="6.7109375" customWidth="1"/>
    <col min="19" max="19" width="10.7109375" customWidth="1"/>
    <col min="20" max="20" width="6.7109375" customWidth="1"/>
    <col min="21" max="21" width="10.7109375" customWidth="1"/>
    <col min="22" max="22" width="3.28515625" customWidth="1"/>
    <col min="23" max="23" width="6.7109375" customWidth="1"/>
    <col min="24" max="24" width="10.7109375" customWidth="1"/>
    <col min="25" max="25" width="1.5703125" customWidth="1"/>
  </cols>
  <sheetData>
    <row r="1" spans="1:29" s="1" customFormat="1" ht="15.75" x14ac:dyDescent="0.25">
      <c r="A1" s="667" t="s">
        <v>240</v>
      </c>
      <c r="B1"/>
      <c r="C1"/>
      <c r="D1"/>
      <c r="E1"/>
      <c r="F1" s="564"/>
      <c r="G1" s="564"/>
      <c r="H1" s="564"/>
      <c r="I1" s="564"/>
    </row>
    <row r="2" spans="1:29" s="1" customFormat="1" ht="15.75" x14ac:dyDescent="0.25">
      <c r="A2" s="667" t="s">
        <v>241</v>
      </c>
      <c r="B2"/>
      <c r="C2"/>
      <c r="D2"/>
      <c r="E2"/>
      <c r="F2" s="564"/>
      <c r="G2" s="564"/>
      <c r="H2" s="564"/>
      <c r="I2" s="564"/>
    </row>
    <row r="3" spans="1:29" s="1" customFormat="1" ht="5.25" customHeight="1" x14ac:dyDescent="0.25">
      <c r="A3" s="667"/>
      <c r="B3"/>
      <c r="C3"/>
      <c r="D3"/>
      <c r="E3"/>
      <c r="F3" s="564"/>
      <c r="G3" s="564"/>
      <c r="H3" s="564"/>
      <c r="I3" s="564"/>
    </row>
    <row r="4" spans="1:29" s="1" customFormat="1" ht="15.75" x14ac:dyDescent="0.25">
      <c r="A4" s="668" t="s">
        <v>261</v>
      </c>
      <c r="B4"/>
      <c r="C4"/>
      <c r="D4"/>
      <c r="E4"/>
      <c r="F4" s="564"/>
      <c r="G4" s="564"/>
      <c r="H4" s="564"/>
      <c r="I4" s="564"/>
    </row>
    <row r="5" spans="1:29" s="1" customFormat="1" ht="6" customHeight="1" x14ac:dyDescent="0.25">
      <c r="A5" s="668"/>
      <c r="B5"/>
      <c r="C5"/>
      <c r="D5"/>
      <c r="E5"/>
      <c r="F5" s="564"/>
      <c r="G5" s="564"/>
      <c r="H5" s="564"/>
      <c r="I5" s="564"/>
    </row>
    <row r="6" spans="1:29" s="1" customFormat="1" x14ac:dyDescent="0.2">
      <c r="A6" s="669" t="s">
        <v>250</v>
      </c>
      <c r="B6" s="670"/>
      <c r="C6" s="670"/>
      <c r="D6" s="670"/>
      <c r="E6" s="670"/>
      <c r="F6" s="671"/>
      <c r="G6" s="671"/>
      <c r="H6" s="671"/>
      <c r="I6" s="671"/>
      <c r="J6" s="671"/>
      <c r="K6" s="671"/>
      <c r="L6" s="671"/>
      <c r="M6" s="671"/>
      <c r="N6" s="671"/>
      <c r="O6" s="671"/>
      <c r="P6" s="671"/>
      <c r="Q6" s="671"/>
      <c r="R6" s="671"/>
      <c r="S6" s="671"/>
      <c r="T6" s="671"/>
      <c r="U6" s="671"/>
      <c r="V6" s="671"/>
      <c r="W6" s="671"/>
      <c r="X6" s="671"/>
      <c r="Y6" s="671" t="s">
        <v>19</v>
      </c>
      <c r="Z6" s="671"/>
      <c r="AA6" s="671" t="s">
        <v>19</v>
      </c>
      <c r="AB6" s="671"/>
      <c r="AC6" s="671" t="s">
        <v>19</v>
      </c>
    </row>
    <row r="7" spans="1:29" s="1" customFormat="1" x14ac:dyDescent="0.2">
      <c r="A7" s="720">
        <v>3670020220</v>
      </c>
      <c r="B7" s="670"/>
      <c r="C7" s="670"/>
      <c r="D7" s="670"/>
      <c r="E7" s="670"/>
      <c r="F7" s="671"/>
      <c r="G7" s="671"/>
      <c r="H7" s="671"/>
      <c r="I7" s="671"/>
      <c r="J7" s="671"/>
      <c r="K7" s="671"/>
      <c r="L7" s="671"/>
      <c r="M7" s="671"/>
      <c r="N7" s="671"/>
      <c r="O7" s="671"/>
      <c r="P7" s="671"/>
      <c r="Q7" s="671"/>
      <c r="R7" s="671"/>
      <c r="S7" s="671"/>
      <c r="T7" s="671"/>
      <c r="U7" s="671"/>
      <c r="V7" s="671"/>
      <c r="W7" s="671"/>
      <c r="X7" s="671"/>
      <c r="Y7" s="671"/>
      <c r="Z7" s="671"/>
      <c r="AA7" s="671"/>
      <c r="AB7" s="671"/>
      <c r="AC7" s="671"/>
    </row>
    <row r="8" spans="1:29" s="1" customFormat="1" ht="12.75" customHeight="1" thickBot="1" x14ac:dyDescent="0.25">
      <c r="A8" s="673"/>
      <c r="B8" s="670"/>
      <c r="C8" s="670"/>
      <c r="D8" s="670"/>
      <c r="E8" s="670"/>
      <c r="F8" s="671"/>
      <c r="G8" s="671"/>
      <c r="H8" s="671"/>
      <c r="I8" s="671"/>
      <c r="J8" s="671"/>
      <c r="K8" s="671"/>
      <c r="L8" s="671"/>
      <c r="M8" s="671"/>
      <c r="N8" s="671"/>
      <c r="O8" s="671"/>
      <c r="P8" s="671"/>
      <c r="Q8" s="671"/>
      <c r="R8" s="671"/>
      <c r="S8" s="671"/>
      <c r="T8" s="671"/>
      <c r="U8" s="671"/>
      <c r="V8" s="671"/>
      <c r="W8" s="671"/>
      <c r="X8" s="671"/>
      <c r="Y8" s="671"/>
      <c r="Z8" s="671"/>
      <c r="AA8" s="671"/>
      <c r="AB8" s="671"/>
      <c r="AC8" s="671"/>
    </row>
    <row r="9" spans="1:29" ht="15" customHeight="1" thickTop="1" x14ac:dyDescent="0.2">
      <c r="A9" s="4"/>
      <c r="B9" s="1401" t="s">
        <v>0</v>
      </c>
      <c r="C9" s="1398"/>
      <c r="D9" s="1401" t="s">
        <v>1</v>
      </c>
      <c r="E9" s="1398"/>
      <c r="F9" s="1401" t="s">
        <v>2</v>
      </c>
      <c r="G9" s="1398"/>
      <c r="H9" s="1401" t="s">
        <v>3</v>
      </c>
      <c r="I9" s="1398"/>
      <c r="J9" s="1401" t="s">
        <v>4</v>
      </c>
      <c r="K9" s="1398"/>
      <c r="L9" s="1401" t="s">
        <v>5</v>
      </c>
      <c r="M9" s="1398"/>
      <c r="N9" s="1401" t="s">
        <v>6</v>
      </c>
      <c r="O9" s="1398"/>
      <c r="P9" s="1401" t="s">
        <v>7</v>
      </c>
      <c r="Q9" s="1398"/>
      <c r="R9" s="1401" t="s">
        <v>8</v>
      </c>
      <c r="S9" s="1398"/>
      <c r="T9" s="1401" t="s">
        <v>301</v>
      </c>
      <c r="U9" s="1402"/>
      <c r="W9" s="1407" t="s">
        <v>9</v>
      </c>
      <c r="X9" s="1408"/>
    </row>
    <row r="10" spans="1:29" ht="30" customHeight="1" thickBot="1" x14ac:dyDescent="0.25">
      <c r="A10" s="70" t="s">
        <v>246</v>
      </c>
      <c r="B10" s="782" t="s">
        <v>262</v>
      </c>
      <c r="C10" s="783" t="s">
        <v>263</v>
      </c>
      <c r="D10" s="784" t="s">
        <v>262</v>
      </c>
      <c r="E10" s="783" t="s">
        <v>263</v>
      </c>
      <c r="F10" s="782" t="s">
        <v>262</v>
      </c>
      <c r="G10" s="783" t="s">
        <v>263</v>
      </c>
      <c r="H10" s="782" t="s">
        <v>262</v>
      </c>
      <c r="I10" s="783" t="s">
        <v>263</v>
      </c>
      <c r="J10" s="782" t="s">
        <v>262</v>
      </c>
      <c r="K10" s="783" t="s">
        <v>263</v>
      </c>
      <c r="L10" s="782" t="s">
        <v>262</v>
      </c>
      <c r="M10" s="783" t="s">
        <v>263</v>
      </c>
      <c r="N10" s="782" t="s">
        <v>262</v>
      </c>
      <c r="O10" s="783" t="s">
        <v>263</v>
      </c>
      <c r="P10" s="782" t="s">
        <v>262</v>
      </c>
      <c r="Q10" s="783" t="s">
        <v>263</v>
      </c>
      <c r="R10" s="782" t="s">
        <v>262</v>
      </c>
      <c r="S10" s="783" t="s">
        <v>263</v>
      </c>
      <c r="T10" s="782" t="s">
        <v>262</v>
      </c>
      <c r="U10" s="785" t="s">
        <v>263</v>
      </c>
      <c r="W10" s="786" t="s">
        <v>262</v>
      </c>
      <c r="X10" s="1317" t="s">
        <v>263</v>
      </c>
    </row>
    <row r="11" spans="1:29" ht="15" customHeight="1" x14ac:dyDescent="0.2">
      <c r="A11" s="270" t="s">
        <v>130</v>
      </c>
      <c r="B11" s="13"/>
      <c r="C11" s="14"/>
      <c r="D11" s="11"/>
      <c r="E11" s="12"/>
      <c r="F11" s="13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2"/>
      <c r="R11" s="13"/>
      <c r="S11" s="12"/>
      <c r="T11" s="13"/>
      <c r="U11" s="15"/>
      <c r="W11" s="16"/>
      <c r="X11" s="855"/>
    </row>
    <row r="12" spans="1:29" s="23" customFormat="1" ht="15" customHeight="1" x14ac:dyDescent="0.2">
      <c r="A12" s="18" t="s">
        <v>15</v>
      </c>
      <c r="B12" s="20">
        <v>13</v>
      </c>
      <c r="C12" s="262"/>
      <c r="D12" s="22">
        <v>20</v>
      </c>
      <c r="E12" s="264"/>
      <c r="F12" s="20">
        <v>37</v>
      </c>
      <c r="G12" s="264"/>
      <c r="H12" s="20">
        <v>28</v>
      </c>
      <c r="I12" s="264"/>
      <c r="J12" s="20">
        <v>28</v>
      </c>
      <c r="K12" s="264"/>
      <c r="L12" s="20">
        <v>37</v>
      </c>
      <c r="M12" s="264"/>
      <c r="N12" s="20">
        <v>33</v>
      </c>
      <c r="O12" s="264"/>
      <c r="P12" s="20">
        <v>32</v>
      </c>
      <c r="Q12" s="264"/>
      <c r="R12" s="20">
        <f>26+17</f>
        <v>43</v>
      </c>
      <c r="S12" s="264"/>
      <c r="T12" s="20">
        <v>47</v>
      </c>
      <c r="U12" s="266"/>
      <c r="W12" s="16">
        <f t="shared" ref="W12:W17" si="0">AVERAGE(N12,L12,R12,T12,P12)</f>
        <v>38.4</v>
      </c>
      <c r="X12" s="859"/>
    </row>
    <row r="13" spans="1:29" s="23" customFormat="1" ht="15" customHeight="1" thickBot="1" x14ac:dyDescent="0.25">
      <c r="A13" s="27" t="s">
        <v>16</v>
      </c>
      <c r="B13" s="29">
        <v>20</v>
      </c>
      <c r="C13" s="263"/>
      <c r="D13" s="86">
        <v>17</v>
      </c>
      <c r="E13" s="265"/>
      <c r="F13" s="29">
        <v>23</v>
      </c>
      <c r="G13" s="265"/>
      <c r="H13" s="29">
        <v>22</v>
      </c>
      <c r="I13" s="265"/>
      <c r="J13" s="29">
        <v>31</v>
      </c>
      <c r="K13" s="265"/>
      <c r="L13" s="29">
        <v>39</v>
      </c>
      <c r="M13" s="265"/>
      <c r="N13" s="29">
        <v>39</v>
      </c>
      <c r="O13" s="265"/>
      <c r="P13" s="29">
        <v>50</v>
      </c>
      <c r="Q13" s="265"/>
      <c r="R13" s="29">
        <f>23+38</f>
        <v>61</v>
      </c>
      <c r="S13" s="265"/>
      <c r="T13" s="29">
        <v>50</v>
      </c>
      <c r="U13" s="267"/>
      <c r="W13" s="173">
        <f t="shared" si="0"/>
        <v>47.8</v>
      </c>
      <c r="X13" s="860"/>
    </row>
    <row r="14" spans="1:29" s="73" customFormat="1" ht="15" customHeight="1" thickBot="1" x14ac:dyDescent="0.25">
      <c r="A14" s="98" t="s">
        <v>17</v>
      </c>
      <c r="B14" s="89">
        <f t="shared" ref="B14:R14" si="1">SUM(B12:B13)</f>
        <v>33</v>
      </c>
      <c r="C14" s="100">
        <v>8</v>
      </c>
      <c r="D14" s="89">
        <f t="shared" si="1"/>
        <v>37</v>
      </c>
      <c r="E14" s="100">
        <v>6</v>
      </c>
      <c r="F14" s="89">
        <f t="shared" si="1"/>
        <v>60</v>
      </c>
      <c r="G14" s="100">
        <v>5</v>
      </c>
      <c r="H14" s="89">
        <f t="shared" si="1"/>
        <v>50</v>
      </c>
      <c r="I14" s="100">
        <v>3</v>
      </c>
      <c r="J14" s="89">
        <f t="shared" si="1"/>
        <v>59</v>
      </c>
      <c r="K14" s="100">
        <v>6</v>
      </c>
      <c r="L14" s="89">
        <f t="shared" si="1"/>
        <v>76</v>
      </c>
      <c r="M14" s="100">
        <v>8</v>
      </c>
      <c r="N14" s="640">
        <f t="shared" si="1"/>
        <v>72</v>
      </c>
      <c r="O14" s="100">
        <v>6</v>
      </c>
      <c r="P14" s="89">
        <f t="shared" si="1"/>
        <v>82</v>
      </c>
      <c r="Q14" s="100">
        <v>9</v>
      </c>
      <c r="R14" s="640">
        <f t="shared" si="1"/>
        <v>104</v>
      </c>
      <c r="S14" s="100">
        <v>19</v>
      </c>
      <c r="T14" s="89">
        <v>97</v>
      </c>
      <c r="U14" s="1281"/>
      <c r="W14" s="482">
        <f t="shared" si="0"/>
        <v>86.2</v>
      </c>
      <c r="X14" s="857">
        <f>AVERAGE(O14,M14,S14,K14,Q14)</f>
        <v>9.6</v>
      </c>
    </row>
    <row r="15" spans="1:29" s="23" customFormat="1" ht="15" customHeight="1" x14ac:dyDescent="0.2">
      <c r="A15" s="28" t="s">
        <v>18</v>
      </c>
      <c r="B15" s="249">
        <v>14</v>
      </c>
      <c r="C15" s="21">
        <v>4</v>
      </c>
      <c r="D15" s="249">
        <v>10</v>
      </c>
      <c r="E15" s="19">
        <v>3</v>
      </c>
      <c r="F15" s="252">
        <v>11</v>
      </c>
      <c r="G15" s="19">
        <v>3</v>
      </c>
      <c r="H15" s="252">
        <v>19</v>
      </c>
      <c r="I15" s="19">
        <v>11</v>
      </c>
      <c r="J15" s="252">
        <v>24</v>
      </c>
      <c r="K15" s="19">
        <v>2</v>
      </c>
      <c r="L15" s="252">
        <v>29</v>
      </c>
      <c r="M15" s="19">
        <v>6</v>
      </c>
      <c r="N15" s="252">
        <v>24</v>
      </c>
      <c r="O15" s="19">
        <v>4</v>
      </c>
      <c r="P15" s="252">
        <v>20</v>
      </c>
      <c r="Q15" s="19">
        <v>4</v>
      </c>
      <c r="R15" s="252">
        <v>16</v>
      </c>
      <c r="S15" s="19">
        <v>10</v>
      </c>
      <c r="T15" s="20">
        <v>11</v>
      </c>
      <c r="U15" s="152"/>
      <c r="W15" s="16">
        <f t="shared" si="0"/>
        <v>20</v>
      </c>
      <c r="X15" s="565">
        <f t="shared" ref="X15:X17" si="2">AVERAGE(O15,M15,S15,K15,Q15)</f>
        <v>5.2</v>
      </c>
      <c r="Z15" s="23" t="s">
        <v>19</v>
      </c>
    </row>
    <row r="16" spans="1:29" s="23" customFormat="1" ht="15" customHeight="1" x14ac:dyDescent="0.2">
      <c r="A16" s="28" t="s">
        <v>20</v>
      </c>
      <c r="B16" s="22">
        <v>2</v>
      </c>
      <c r="C16" s="21">
        <v>2</v>
      </c>
      <c r="D16" s="22">
        <v>1</v>
      </c>
      <c r="E16" s="19">
        <v>3</v>
      </c>
      <c r="F16" s="20">
        <v>2</v>
      </c>
      <c r="G16" s="19">
        <v>4</v>
      </c>
      <c r="H16" s="20">
        <v>0</v>
      </c>
      <c r="I16" s="19">
        <v>2</v>
      </c>
      <c r="J16" s="20">
        <v>2</v>
      </c>
      <c r="K16" s="19">
        <v>2</v>
      </c>
      <c r="L16" s="20">
        <v>5</v>
      </c>
      <c r="M16" s="19">
        <v>3</v>
      </c>
      <c r="N16" s="20">
        <v>2</v>
      </c>
      <c r="O16" s="19">
        <v>3</v>
      </c>
      <c r="P16" s="20">
        <v>5</v>
      </c>
      <c r="Q16" s="19">
        <v>7</v>
      </c>
      <c r="R16" s="20">
        <v>2</v>
      </c>
      <c r="S16" s="19">
        <v>2</v>
      </c>
      <c r="T16" s="20">
        <v>1</v>
      </c>
      <c r="U16" s="152"/>
      <c r="W16" s="16">
        <f t="shared" si="0"/>
        <v>3</v>
      </c>
      <c r="X16" s="565">
        <f t="shared" si="2"/>
        <v>3.4</v>
      </c>
    </row>
    <row r="17" spans="1:27" s="23" customFormat="1" ht="15" customHeight="1" thickBot="1" x14ac:dyDescent="0.25">
      <c r="A17" s="30" t="s">
        <v>131</v>
      </c>
      <c r="B17" s="31">
        <v>73</v>
      </c>
      <c r="C17" s="34">
        <v>12</v>
      </c>
      <c r="D17" s="31">
        <v>69</v>
      </c>
      <c r="E17" s="32">
        <v>8</v>
      </c>
      <c r="F17" s="33">
        <v>65</v>
      </c>
      <c r="G17" s="32">
        <v>11</v>
      </c>
      <c r="H17" s="33">
        <v>57</v>
      </c>
      <c r="I17" s="32">
        <v>10</v>
      </c>
      <c r="J17" s="33">
        <v>61</v>
      </c>
      <c r="K17" s="32">
        <v>7</v>
      </c>
      <c r="L17" s="33">
        <v>57</v>
      </c>
      <c r="M17" s="32">
        <v>3</v>
      </c>
      <c r="N17" s="33">
        <v>60</v>
      </c>
      <c r="O17" s="32">
        <v>10</v>
      </c>
      <c r="P17" s="33">
        <v>58</v>
      </c>
      <c r="Q17" s="32">
        <v>8</v>
      </c>
      <c r="R17" s="33">
        <v>57</v>
      </c>
      <c r="S17" s="32">
        <v>8</v>
      </c>
      <c r="T17" s="33">
        <v>60</v>
      </c>
      <c r="U17" s="1282"/>
      <c r="W17" s="16">
        <f t="shared" si="0"/>
        <v>58.4</v>
      </c>
      <c r="X17" s="565">
        <f t="shared" si="2"/>
        <v>7.2</v>
      </c>
    </row>
    <row r="18" spans="1:27" ht="18" customHeight="1" thickTop="1" thickBot="1" x14ac:dyDescent="0.25">
      <c r="A18" s="298" t="s">
        <v>71</v>
      </c>
      <c r="B18" s="1380"/>
      <c r="C18" s="1381"/>
      <c r="D18" s="1380"/>
      <c r="E18" s="1381"/>
      <c r="F18" s="1380"/>
      <c r="G18" s="1381"/>
      <c r="H18" s="1380"/>
      <c r="I18" s="1381"/>
      <c r="J18" s="1380"/>
      <c r="K18" s="1381"/>
      <c r="L18" s="1380"/>
      <c r="M18" s="1381"/>
      <c r="N18" s="1380"/>
      <c r="O18" s="1381"/>
      <c r="P18" s="1380"/>
      <c r="Q18" s="1381"/>
      <c r="R18" s="1380" t="s">
        <v>19</v>
      </c>
      <c r="S18" s="1381"/>
      <c r="T18" s="1380"/>
      <c r="U18" s="1383"/>
      <c r="V18" s="226"/>
      <c r="W18" s="1382"/>
      <c r="X18" s="1383"/>
    </row>
    <row r="19" spans="1:27" ht="15" customHeight="1" x14ac:dyDescent="0.2">
      <c r="A19" s="749" t="s">
        <v>266</v>
      </c>
      <c r="B19" s="300"/>
      <c r="C19" s="385"/>
      <c r="D19" s="384"/>
      <c r="E19" s="385"/>
      <c r="F19" s="384"/>
      <c r="G19" s="385"/>
      <c r="H19" s="384"/>
      <c r="I19" s="385"/>
      <c r="J19" s="384"/>
      <c r="K19" s="385"/>
      <c r="L19" s="384"/>
      <c r="M19" s="385"/>
      <c r="N19" s="384"/>
      <c r="O19" s="385"/>
      <c r="P19" s="384"/>
      <c r="Q19" s="385"/>
      <c r="R19" s="384"/>
      <c r="S19" s="385"/>
      <c r="T19" s="384"/>
      <c r="U19" s="302"/>
      <c r="V19" s="226"/>
      <c r="W19" s="851"/>
      <c r="X19" s="852" t="e">
        <f>AVERAGE(O19,M19,I19,K19,Q19)</f>
        <v>#DIV/0!</v>
      </c>
    </row>
    <row r="20" spans="1:27" ht="15" customHeight="1" x14ac:dyDescent="0.2">
      <c r="A20" s="677" t="s">
        <v>72</v>
      </c>
      <c r="B20" s="304"/>
      <c r="C20" s="388">
        <v>0.4</v>
      </c>
      <c r="D20" s="387"/>
      <c r="E20" s="388">
        <v>0.5</v>
      </c>
      <c r="F20" s="387"/>
      <c r="G20" s="388">
        <v>0.2</v>
      </c>
      <c r="H20" s="387"/>
      <c r="I20" s="388">
        <v>0</v>
      </c>
      <c r="J20" s="387"/>
      <c r="K20" s="388">
        <v>0.2</v>
      </c>
      <c r="L20" s="387"/>
      <c r="M20" s="388">
        <v>0.43</v>
      </c>
      <c r="N20" s="387"/>
      <c r="O20" s="388">
        <v>0</v>
      </c>
      <c r="P20" s="387"/>
      <c r="Q20" s="388">
        <v>0.5</v>
      </c>
      <c r="R20" s="387"/>
      <c r="S20" s="388"/>
      <c r="T20" s="387"/>
      <c r="U20" s="1326"/>
      <c r="V20" s="226"/>
      <c r="W20" s="853"/>
      <c r="X20" s="1255">
        <f t="shared" ref="X20:X21" si="3">AVERAGE(O20,M20,S20,K20,Q20)</f>
        <v>0.28249999999999997</v>
      </c>
    </row>
    <row r="21" spans="1:27" ht="15" customHeight="1" x14ac:dyDescent="0.2">
      <c r="A21" s="677" t="s">
        <v>73</v>
      </c>
      <c r="B21" s="306"/>
      <c r="C21" s="390">
        <v>0.6</v>
      </c>
      <c r="D21" s="389"/>
      <c r="E21" s="390">
        <v>0.5</v>
      </c>
      <c r="F21" s="389"/>
      <c r="G21" s="390">
        <v>0.6</v>
      </c>
      <c r="H21" s="389"/>
      <c r="I21" s="390">
        <v>0.75</v>
      </c>
      <c r="J21" s="389"/>
      <c r="K21" s="390">
        <v>0.6</v>
      </c>
      <c r="L21" s="389"/>
      <c r="M21" s="390">
        <v>0.56999999999999995</v>
      </c>
      <c r="N21" s="389"/>
      <c r="O21" s="390">
        <v>0.6</v>
      </c>
      <c r="P21" s="389"/>
      <c r="Q21" s="390">
        <v>0.38</v>
      </c>
      <c r="R21" s="389"/>
      <c r="S21" s="390"/>
      <c r="T21" s="389"/>
      <c r="U21" s="1327"/>
      <c r="V21" s="226"/>
      <c r="W21" s="853"/>
      <c r="X21" s="1255">
        <f t="shared" si="3"/>
        <v>0.53749999999999998</v>
      </c>
    </row>
    <row r="22" spans="1:27" ht="15" customHeight="1" thickBot="1" x14ac:dyDescent="0.25">
      <c r="A22" s="751" t="s">
        <v>75</v>
      </c>
      <c r="B22" s="308"/>
      <c r="C22" s="309"/>
      <c r="D22" s="308"/>
      <c r="E22" s="309"/>
      <c r="F22" s="308"/>
      <c r="G22" s="309"/>
      <c r="H22" s="308"/>
      <c r="I22" s="309"/>
      <c r="J22" s="308"/>
      <c r="K22" s="309"/>
      <c r="L22" s="308"/>
      <c r="M22" s="309"/>
      <c r="N22" s="308"/>
      <c r="O22" s="309"/>
      <c r="P22" s="308"/>
      <c r="Q22" s="309"/>
      <c r="R22" s="308"/>
      <c r="S22" s="309"/>
      <c r="T22" s="308"/>
      <c r="U22" s="310"/>
      <c r="V22" s="226"/>
      <c r="W22" s="854"/>
      <c r="X22" s="543" t="e">
        <f>AVERAGE(O22,M22,S22,U22,Q22)</f>
        <v>#DIV/0!</v>
      </c>
    </row>
    <row r="23" spans="1:27" ht="18" customHeight="1" thickTop="1" thickBot="1" x14ac:dyDescent="0.25">
      <c r="A23" s="221" t="s">
        <v>78</v>
      </c>
      <c r="B23" s="1380"/>
      <c r="C23" s="1381"/>
      <c r="D23" s="1380"/>
      <c r="E23" s="1381"/>
      <c r="F23" s="1380"/>
      <c r="G23" s="1381"/>
      <c r="H23" s="1380"/>
      <c r="I23" s="1381"/>
      <c r="J23" s="1380"/>
      <c r="K23" s="1381"/>
      <c r="L23" s="1380"/>
      <c r="M23" s="1381"/>
      <c r="N23" s="1380"/>
      <c r="O23" s="1381"/>
      <c r="P23" s="1380"/>
      <c r="Q23" s="1381"/>
      <c r="R23" s="1380"/>
      <c r="S23" s="1381"/>
      <c r="T23" s="1380"/>
      <c r="U23" s="1383"/>
      <c r="V23" s="226"/>
      <c r="W23" s="1382"/>
      <c r="X23" s="1383"/>
    </row>
    <row r="24" spans="1:27" ht="15" customHeight="1" thickBot="1" x14ac:dyDescent="0.25">
      <c r="A24" s="847" t="s">
        <v>147</v>
      </c>
      <c r="B24" s="223"/>
      <c r="C24" s="224">
        <v>28.3</v>
      </c>
      <c r="D24" s="223"/>
      <c r="E24" s="224">
        <v>31.1</v>
      </c>
      <c r="F24" s="223"/>
      <c r="G24" s="224">
        <v>29.9</v>
      </c>
      <c r="H24" s="223"/>
      <c r="I24" s="224">
        <v>28.7</v>
      </c>
      <c r="J24" s="223"/>
      <c r="K24" s="224">
        <v>27.6</v>
      </c>
      <c r="L24" s="223"/>
      <c r="M24" s="224">
        <v>28.4</v>
      </c>
      <c r="N24" s="223"/>
      <c r="O24" s="224">
        <v>29</v>
      </c>
      <c r="P24" s="223"/>
      <c r="Q24" s="224">
        <v>29.5</v>
      </c>
      <c r="R24" s="223"/>
      <c r="S24" s="224">
        <v>29.3</v>
      </c>
      <c r="T24" s="223"/>
      <c r="U24" s="225">
        <v>29.3</v>
      </c>
      <c r="V24" s="226"/>
      <c r="W24" s="247"/>
      <c r="X24" s="757">
        <f>AVERAGE(O24,M24,S24,U24,Q24)</f>
        <v>29.1</v>
      </c>
    </row>
    <row r="25" spans="1:27" ht="18" customHeight="1" thickTop="1" thickBot="1" x14ac:dyDescent="0.25">
      <c r="A25" s="314" t="s">
        <v>22</v>
      </c>
      <c r="B25" s="1380"/>
      <c r="C25" s="1381"/>
      <c r="D25" s="1380"/>
      <c r="E25" s="1381"/>
      <c r="F25" s="1380"/>
      <c r="G25" s="1381"/>
      <c r="H25" s="1380"/>
      <c r="I25" s="1381"/>
      <c r="J25" s="1380"/>
      <c r="K25" s="1381"/>
      <c r="L25" s="1380"/>
      <c r="M25" s="1381"/>
      <c r="N25" s="1380"/>
      <c r="O25" s="1381"/>
      <c r="P25" s="1380"/>
      <c r="Q25" s="1381"/>
      <c r="R25" s="1380"/>
      <c r="S25" s="1381"/>
      <c r="T25" s="1380"/>
      <c r="U25" s="1383"/>
      <c r="V25" s="226"/>
      <c r="W25" s="1382"/>
      <c r="X25" s="1383"/>
    </row>
    <row r="26" spans="1:27" ht="15" customHeight="1" x14ac:dyDescent="0.2">
      <c r="A26" s="677" t="s">
        <v>24</v>
      </c>
      <c r="B26" s="315"/>
      <c r="C26" s="209">
        <v>11293</v>
      </c>
      <c r="D26" s="316"/>
      <c r="E26" s="321">
        <v>12601</v>
      </c>
      <c r="F26" s="315"/>
      <c r="G26" s="321">
        <v>12960</v>
      </c>
      <c r="H26" s="315"/>
      <c r="I26" s="321">
        <v>13370</v>
      </c>
      <c r="J26" s="315"/>
      <c r="K26" s="321">
        <v>13215</v>
      </c>
      <c r="L26" s="315"/>
      <c r="M26" s="321">
        <v>12891</v>
      </c>
      <c r="N26" s="315"/>
      <c r="O26" s="321">
        <v>13406</v>
      </c>
      <c r="P26" s="315"/>
      <c r="Q26" s="321">
        <v>14094</v>
      </c>
      <c r="R26" s="315"/>
      <c r="S26" s="321">
        <v>14041</v>
      </c>
      <c r="T26" s="315"/>
      <c r="U26" s="1273"/>
      <c r="V26" s="226"/>
      <c r="W26" s="50"/>
      <c r="X26" s="51">
        <f>AVERAGE(O26,M26,S26,K26,Q26)</f>
        <v>13529.4</v>
      </c>
    </row>
    <row r="27" spans="1:27" ht="15" customHeight="1" x14ac:dyDescent="0.2">
      <c r="A27" s="677" t="s">
        <v>25</v>
      </c>
      <c r="B27" s="315"/>
      <c r="C27" s="209">
        <v>393</v>
      </c>
      <c r="D27" s="316"/>
      <c r="E27" s="321">
        <v>370</v>
      </c>
      <c r="F27" s="315"/>
      <c r="G27" s="321">
        <v>446</v>
      </c>
      <c r="H27" s="315"/>
      <c r="I27" s="321">
        <v>536</v>
      </c>
      <c r="J27" s="315"/>
      <c r="K27" s="321">
        <v>464</v>
      </c>
      <c r="L27" s="315"/>
      <c r="M27" s="321">
        <v>653</v>
      </c>
      <c r="N27" s="315"/>
      <c r="O27" s="321">
        <v>651</v>
      </c>
      <c r="P27" s="315"/>
      <c r="Q27" s="321">
        <v>842</v>
      </c>
      <c r="R27" s="315"/>
      <c r="S27" s="321">
        <v>754</v>
      </c>
      <c r="T27" s="315"/>
      <c r="U27" s="1273"/>
      <c r="V27" s="226"/>
      <c r="W27" s="52"/>
      <c r="X27" s="51">
        <f t="shared" ref="X27:X30" si="4">AVERAGE(O27,M27,S27,K27,Q27)</f>
        <v>672.8</v>
      </c>
    </row>
    <row r="28" spans="1:27" ht="15" customHeight="1" x14ac:dyDescent="0.2">
      <c r="A28" s="677" t="s">
        <v>26</v>
      </c>
      <c r="B28" s="315"/>
      <c r="C28" s="209">
        <v>319</v>
      </c>
      <c r="D28" s="316"/>
      <c r="E28" s="321">
        <v>256</v>
      </c>
      <c r="F28" s="315"/>
      <c r="G28" s="321">
        <v>257</v>
      </c>
      <c r="H28" s="315"/>
      <c r="I28" s="321">
        <v>198</v>
      </c>
      <c r="J28" s="315"/>
      <c r="K28" s="321">
        <v>327</v>
      </c>
      <c r="L28" s="315"/>
      <c r="M28" s="321">
        <v>269</v>
      </c>
      <c r="N28" s="315"/>
      <c r="O28" s="321">
        <v>298</v>
      </c>
      <c r="P28" s="315"/>
      <c r="Q28" s="321">
        <v>347</v>
      </c>
      <c r="R28" s="315"/>
      <c r="S28" s="321">
        <v>308</v>
      </c>
      <c r="T28" s="315"/>
      <c r="U28" s="1273"/>
      <c r="V28" s="226"/>
      <c r="W28" s="52"/>
      <c r="X28" s="51">
        <f t="shared" si="4"/>
        <v>309.8</v>
      </c>
    </row>
    <row r="29" spans="1:27" ht="15" customHeight="1" thickBot="1" x14ac:dyDescent="0.25">
      <c r="A29" s="849" t="s">
        <v>27</v>
      </c>
      <c r="B29" s="83"/>
      <c r="C29" s="324">
        <v>760</v>
      </c>
      <c r="D29" s="316"/>
      <c r="E29" s="325">
        <v>762</v>
      </c>
      <c r="F29" s="315"/>
      <c r="G29" s="325">
        <v>718</v>
      </c>
      <c r="H29" s="315"/>
      <c r="I29" s="325">
        <v>725</v>
      </c>
      <c r="J29" s="315"/>
      <c r="K29" s="325">
        <v>722</v>
      </c>
      <c r="L29" s="315"/>
      <c r="M29" s="325">
        <v>700</v>
      </c>
      <c r="N29" s="315"/>
      <c r="O29" s="325">
        <v>616</v>
      </c>
      <c r="P29" s="315"/>
      <c r="Q29" s="325">
        <v>561</v>
      </c>
      <c r="R29" s="315"/>
      <c r="S29" s="325">
        <v>633</v>
      </c>
      <c r="T29" s="83"/>
      <c r="U29" s="1274"/>
      <c r="V29" s="226"/>
      <c r="W29" s="63"/>
      <c r="X29" s="484">
        <f t="shared" si="4"/>
        <v>646.4</v>
      </c>
    </row>
    <row r="30" spans="1:27" ht="15" customHeight="1" thickBot="1" x14ac:dyDescent="0.25">
      <c r="A30" s="850" t="s">
        <v>28</v>
      </c>
      <c r="B30" s="328"/>
      <c r="C30" s="329">
        <f>SUM(C26:C29)</f>
        <v>12765</v>
      </c>
      <c r="D30" s="330"/>
      <c r="E30" s="331">
        <f>SUM(E26:E29)</f>
        <v>13989</v>
      </c>
      <c r="F30" s="328"/>
      <c r="G30" s="331">
        <f>SUM(G26:G29)</f>
        <v>14381</v>
      </c>
      <c r="H30" s="328"/>
      <c r="I30" s="331">
        <f>SUM(I26:I29)</f>
        <v>14829</v>
      </c>
      <c r="J30" s="328"/>
      <c r="K30" s="331">
        <f>SUM(K26:K29)</f>
        <v>14728</v>
      </c>
      <c r="L30" s="328"/>
      <c r="M30" s="331">
        <f>SUM(M26:M29)</f>
        <v>14513</v>
      </c>
      <c r="N30" s="328"/>
      <c r="O30" s="331">
        <f>SUM(O26:O29)</f>
        <v>14971</v>
      </c>
      <c r="P30" s="328"/>
      <c r="Q30" s="331">
        <f>SUM(Q26:Q29)</f>
        <v>15844</v>
      </c>
      <c r="R30" s="328"/>
      <c r="S30" s="331">
        <f>SUM(S26:S29)</f>
        <v>15736</v>
      </c>
      <c r="T30" s="328"/>
      <c r="U30" s="1277">
        <f>SUM(U26:U29)</f>
        <v>0</v>
      </c>
      <c r="V30" s="226"/>
      <c r="W30" s="485"/>
      <c r="X30" s="486">
        <f t="shared" si="4"/>
        <v>15158.4</v>
      </c>
    </row>
    <row r="31" spans="1:27" ht="15" customHeight="1" thickTop="1" thickBot="1" x14ac:dyDescent="0.25">
      <c r="A31" s="280"/>
      <c r="B31" s="332"/>
      <c r="C31" s="333"/>
      <c r="D31" s="332"/>
      <c r="E31" s="333"/>
      <c r="F31" s="332"/>
      <c r="G31" s="333"/>
      <c r="H31" s="332"/>
      <c r="I31" s="333"/>
      <c r="J31" s="332"/>
      <c r="K31" s="333"/>
      <c r="L31" s="332"/>
      <c r="M31" s="333"/>
      <c r="N31" s="332"/>
      <c r="O31" s="333"/>
      <c r="P31" s="332"/>
      <c r="Q31" s="333"/>
      <c r="R31" s="332"/>
      <c r="S31" s="333"/>
      <c r="T31" s="332"/>
      <c r="U31" s="333"/>
      <c r="V31" s="334"/>
      <c r="W31" s="335"/>
      <c r="X31" s="333"/>
    </row>
    <row r="32" spans="1:27" ht="18" customHeight="1" thickTop="1" thickBot="1" x14ac:dyDescent="0.25">
      <c r="A32" s="175" t="s">
        <v>29</v>
      </c>
      <c r="B32" s="1385" t="s">
        <v>30</v>
      </c>
      <c r="C32" s="1395"/>
      <c r="D32" s="1385" t="s">
        <v>31</v>
      </c>
      <c r="E32" s="1396"/>
      <c r="F32" s="1385" t="s">
        <v>32</v>
      </c>
      <c r="G32" s="1396"/>
      <c r="H32" s="1385" t="s">
        <v>33</v>
      </c>
      <c r="I32" s="1396"/>
      <c r="J32" s="1385" t="s">
        <v>34</v>
      </c>
      <c r="K32" s="1396"/>
      <c r="L32" s="1385" t="s">
        <v>35</v>
      </c>
      <c r="M32" s="1396"/>
      <c r="N32" s="1385" t="s">
        <v>36</v>
      </c>
      <c r="O32" s="1396"/>
      <c r="P32" s="1385" t="s">
        <v>37</v>
      </c>
      <c r="Q32" s="1396"/>
      <c r="R32" s="1385" t="s">
        <v>38</v>
      </c>
      <c r="S32" s="1396"/>
      <c r="T32" s="1385" t="s">
        <v>302</v>
      </c>
      <c r="U32" s="1386"/>
      <c r="V32" s="176"/>
      <c r="W32" s="1382" t="s">
        <v>9</v>
      </c>
      <c r="X32" s="1383"/>
      <c r="Y32" s="56"/>
      <c r="Z32" s="56"/>
      <c r="AA32" s="57"/>
    </row>
    <row r="33" spans="1:27" ht="15" customHeight="1" x14ac:dyDescent="0.2">
      <c r="A33" s="873" t="s">
        <v>267</v>
      </c>
      <c r="B33" s="177"/>
      <c r="C33" s="178">
        <v>1.4999999999999999E-2</v>
      </c>
      <c r="D33" s="179"/>
      <c r="E33" s="180">
        <v>2.1000000000000001E-2</v>
      </c>
      <c r="F33" s="181"/>
      <c r="G33" s="180">
        <v>3.2000000000000001E-2</v>
      </c>
      <c r="H33" s="181"/>
      <c r="I33" s="180">
        <v>2.4E-2</v>
      </c>
      <c r="J33" s="181"/>
      <c r="K33" s="180">
        <v>3.5000000000000003E-2</v>
      </c>
      <c r="L33" s="181"/>
      <c r="M33" s="180">
        <v>4.5999999999999999E-2</v>
      </c>
      <c r="N33" s="181"/>
      <c r="O33" s="180">
        <v>4.1000000000000002E-2</v>
      </c>
      <c r="P33" s="181"/>
      <c r="Q33" s="180">
        <v>4.5999999999999999E-2</v>
      </c>
      <c r="R33" s="181"/>
      <c r="S33" s="180">
        <v>5.2999999999999999E-2</v>
      </c>
      <c r="T33" s="181"/>
      <c r="U33" s="182">
        <v>5.2999999999999999E-2</v>
      </c>
      <c r="V33" s="183"/>
      <c r="W33" s="469"/>
      <c r="X33" s="594">
        <f>AVERAGE(Q33,O33,M33,U33,S33)</f>
        <v>4.7799999999999995E-2</v>
      </c>
      <c r="Y33" s="56"/>
      <c r="Z33" s="56"/>
      <c r="AA33" s="57"/>
    </row>
    <row r="34" spans="1:27" ht="15" customHeight="1" x14ac:dyDescent="0.2">
      <c r="A34" s="874" t="s">
        <v>268</v>
      </c>
      <c r="B34" s="184"/>
      <c r="C34" s="185">
        <v>8.2000000000000003E-2</v>
      </c>
      <c r="D34" s="184"/>
      <c r="E34" s="185">
        <v>7.0000000000000007E-2</v>
      </c>
      <c r="F34" s="186"/>
      <c r="G34" s="185">
        <v>6.5000000000000002E-2</v>
      </c>
      <c r="H34" s="186"/>
      <c r="I34" s="185">
        <v>5.6000000000000001E-2</v>
      </c>
      <c r="J34" s="186"/>
      <c r="K34" s="185">
        <v>0.06</v>
      </c>
      <c r="L34" s="186"/>
      <c r="M34" s="185">
        <v>0.06</v>
      </c>
      <c r="N34" s="186"/>
      <c r="O34" s="185">
        <v>5.6000000000000001E-2</v>
      </c>
      <c r="P34" s="186"/>
      <c r="Q34" s="185">
        <v>0.05</v>
      </c>
      <c r="R34" s="186"/>
      <c r="S34" s="185">
        <v>5.0999999999999997E-2</v>
      </c>
      <c r="T34" s="186"/>
      <c r="U34" s="187">
        <v>5.8999999999999997E-2</v>
      </c>
      <c r="V34" s="183"/>
      <c r="W34" s="469"/>
      <c r="X34" s="594">
        <f>AVERAGE(Q34,O34,M34,U34,S34)</f>
        <v>5.5200000000000006E-2</v>
      </c>
      <c r="Y34" s="56"/>
      <c r="Z34" s="56"/>
      <c r="AA34" s="57"/>
    </row>
    <row r="35" spans="1:27" ht="15" customHeight="1" thickBot="1" x14ac:dyDescent="0.25">
      <c r="A35" s="846" t="s">
        <v>271</v>
      </c>
      <c r="B35" s="1403">
        <f>1-C33-C34</f>
        <v>0.90300000000000002</v>
      </c>
      <c r="C35" s="1404"/>
      <c r="D35" s="1403">
        <f>1-E33-E34</f>
        <v>0.90900000000000003</v>
      </c>
      <c r="E35" s="1404"/>
      <c r="F35" s="1403">
        <f>1-G33-G34</f>
        <v>0.90300000000000002</v>
      </c>
      <c r="G35" s="1404"/>
      <c r="H35" s="1403">
        <f>1-I33-I34</f>
        <v>0.91999999999999993</v>
      </c>
      <c r="I35" s="1404"/>
      <c r="J35" s="1403">
        <f>1-K33-K34</f>
        <v>0.90500000000000003</v>
      </c>
      <c r="K35" s="1404"/>
      <c r="L35" s="1403">
        <f>1-M33-M34</f>
        <v>0.89399999999999991</v>
      </c>
      <c r="M35" s="1404"/>
      <c r="N35" s="1403">
        <f>1-O33-O34</f>
        <v>0.90299999999999991</v>
      </c>
      <c r="O35" s="1404"/>
      <c r="P35" s="1403">
        <f>1-Q33-Q34</f>
        <v>0.90399999999999991</v>
      </c>
      <c r="Q35" s="1404"/>
      <c r="R35" s="1403">
        <f>1-S33-S34</f>
        <v>0.89599999999999991</v>
      </c>
      <c r="S35" s="1404"/>
      <c r="T35" s="1403">
        <f>1-U33-U34</f>
        <v>0.8879999999999999</v>
      </c>
      <c r="U35" s="1406"/>
      <c r="V35" s="183"/>
      <c r="W35" s="1390">
        <f>1-X33-X34</f>
        <v>0.89700000000000002</v>
      </c>
      <c r="X35" s="1391"/>
      <c r="Y35" s="58"/>
      <c r="Z35" s="56"/>
      <c r="AA35" s="57"/>
    </row>
    <row r="36" spans="1:27" s="3" customFormat="1" ht="18" customHeight="1" thickTop="1" thickBot="1" x14ac:dyDescent="0.25">
      <c r="A36" s="194" t="s">
        <v>67</v>
      </c>
      <c r="B36" s="227" t="s">
        <v>39</v>
      </c>
      <c r="C36" s="788" t="s">
        <v>74</v>
      </c>
      <c r="D36" s="789" t="s">
        <v>39</v>
      </c>
      <c r="E36" s="228" t="s">
        <v>74</v>
      </c>
      <c r="F36" s="227" t="s">
        <v>39</v>
      </c>
      <c r="G36" s="788" t="s">
        <v>74</v>
      </c>
      <c r="H36" s="789" t="s">
        <v>39</v>
      </c>
      <c r="I36" s="228" t="s">
        <v>74</v>
      </c>
      <c r="J36" s="227" t="s">
        <v>39</v>
      </c>
      <c r="K36" s="788" t="s">
        <v>74</v>
      </c>
      <c r="L36" s="789" t="s">
        <v>39</v>
      </c>
      <c r="M36" s="228" t="s">
        <v>74</v>
      </c>
      <c r="N36" s="227" t="s">
        <v>39</v>
      </c>
      <c r="O36" s="788" t="s">
        <v>74</v>
      </c>
      <c r="P36" s="789" t="s">
        <v>39</v>
      </c>
      <c r="Q36" s="228" t="s">
        <v>74</v>
      </c>
      <c r="R36" s="227" t="s">
        <v>39</v>
      </c>
      <c r="S36" s="788" t="s">
        <v>74</v>
      </c>
      <c r="T36" s="227" t="s">
        <v>39</v>
      </c>
      <c r="U36" s="790" t="s">
        <v>74</v>
      </c>
      <c r="V36" s="230"/>
      <c r="W36" s="791" t="s">
        <v>39</v>
      </c>
      <c r="X36" s="790" t="s">
        <v>74</v>
      </c>
    </row>
    <row r="37" spans="1:27" ht="15" customHeight="1" x14ac:dyDescent="0.2">
      <c r="A37" s="899" t="s">
        <v>68</v>
      </c>
      <c r="B37" s="834"/>
      <c r="C37" s="835"/>
      <c r="D37" s="834"/>
      <c r="E37" s="835"/>
      <c r="F37" s="834"/>
      <c r="G37" s="835"/>
      <c r="H37" s="234">
        <v>0</v>
      </c>
      <c r="I37" s="235">
        <v>0</v>
      </c>
      <c r="J37" s="234">
        <v>1</v>
      </c>
      <c r="K37" s="235">
        <f>J37/J16</f>
        <v>0.5</v>
      </c>
      <c r="L37" s="234">
        <v>2</v>
      </c>
      <c r="M37" s="235">
        <f>L37/L16</f>
        <v>0.4</v>
      </c>
      <c r="N37" s="234">
        <v>2</v>
      </c>
      <c r="O37" s="235">
        <f>N37/N16</f>
        <v>1</v>
      </c>
      <c r="P37" s="234">
        <v>5</v>
      </c>
      <c r="Q37" s="235">
        <f>P37/P16</f>
        <v>1</v>
      </c>
      <c r="R37" s="234">
        <v>0</v>
      </c>
      <c r="S37" s="235">
        <f>R37/R16</f>
        <v>0</v>
      </c>
      <c r="T37" s="234"/>
      <c r="U37" s="236">
        <f>T37/T16</f>
        <v>0</v>
      </c>
      <c r="V37" s="226"/>
      <c r="W37" s="237">
        <f>AVERAGE(N37,L37,R37,T37,P37)</f>
        <v>2.25</v>
      </c>
      <c r="X37" s="480">
        <f>W37/W16</f>
        <v>0.75</v>
      </c>
    </row>
    <row r="38" spans="1:27" ht="15" customHeight="1" thickBot="1" x14ac:dyDescent="0.25">
      <c r="A38" s="751" t="s">
        <v>69</v>
      </c>
      <c r="B38" s="836"/>
      <c r="C38" s="837"/>
      <c r="D38" s="836"/>
      <c r="E38" s="837"/>
      <c r="F38" s="836"/>
      <c r="G38" s="837"/>
      <c r="H38" s="239">
        <v>55</v>
      </c>
      <c r="I38" s="240">
        <f>H38/H17</f>
        <v>0.96491228070175439</v>
      </c>
      <c r="J38" s="239">
        <v>57</v>
      </c>
      <c r="K38" s="240">
        <f>J38/J17</f>
        <v>0.93442622950819676</v>
      </c>
      <c r="L38" s="239">
        <v>53</v>
      </c>
      <c r="M38" s="240">
        <f>L38/L17</f>
        <v>0.92982456140350878</v>
      </c>
      <c r="N38" s="239">
        <v>55</v>
      </c>
      <c r="O38" s="240">
        <f>N38/N17</f>
        <v>0.91666666666666663</v>
      </c>
      <c r="P38" s="239">
        <v>54</v>
      </c>
      <c r="Q38" s="240">
        <f>P38/P17</f>
        <v>0.93103448275862066</v>
      </c>
      <c r="R38" s="239">
        <v>52</v>
      </c>
      <c r="S38" s="240">
        <f>R38/R17</f>
        <v>0.91228070175438591</v>
      </c>
      <c r="T38" s="239"/>
      <c r="U38" s="241">
        <f>T38/T17</f>
        <v>0</v>
      </c>
      <c r="V38" s="226"/>
      <c r="W38" s="242">
        <f>AVERAGE(N38,L38,R38,T38,P38)</f>
        <v>53.5</v>
      </c>
      <c r="X38" s="241">
        <f>W38/W17</f>
        <v>0.91609589041095896</v>
      </c>
    </row>
    <row r="39" spans="1:27" ht="15" customHeight="1" thickTop="1" x14ac:dyDescent="0.2">
      <c r="A39" s="37" t="s">
        <v>272</v>
      </c>
      <c r="B39" s="38"/>
      <c r="C39" s="39"/>
      <c r="D39" s="38"/>
      <c r="E39" s="39"/>
      <c r="F39" s="38"/>
      <c r="G39" s="39"/>
      <c r="H39" s="38"/>
      <c r="I39" s="39"/>
      <c r="J39" s="38"/>
      <c r="K39" s="39"/>
      <c r="L39" s="38"/>
      <c r="M39" s="39"/>
      <c r="N39" s="38"/>
      <c r="O39" s="39"/>
      <c r="P39" s="38"/>
      <c r="Q39" s="39"/>
      <c r="R39" s="38"/>
      <c r="S39" s="39"/>
      <c r="T39" s="38"/>
      <c r="U39" s="39"/>
      <c r="W39" s="40"/>
      <c r="X39" s="41"/>
    </row>
    <row r="40" spans="1:27" s="85" customFormat="1" ht="15" customHeight="1" thickBot="1" x14ac:dyDescent="0.25">
      <c r="A40" s="649"/>
      <c r="B40" s="650"/>
      <c r="C40" s="650"/>
      <c r="D40" s="650"/>
      <c r="E40" s="650"/>
      <c r="F40" s="650"/>
      <c r="G40" s="650"/>
      <c r="H40" s="650"/>
      <c r="I40" s="650"/>
      <c r="J40" s="650"/>
      <c r="K40" s="650"/>
      <c r="L40" s="650"/>
      <c r="M40" s="650"/>
      <c r="N40" s="650"/>
      <c r="O40" s="650"/>
      <c r="P40" s="650"/>
      <c r="Q40" s="650"/>
      <c r="R40" s="650"/>
      <c r="S40" s="650"/>
      <c r="T40" s="650"/>
      <c r="U40" s="650"/>
      <c r="V40" s="651"/>
      <c r="W40" s="650"/>
      <c r="X40" s="650"/>
      <c r="Y40" s="56"/>
      <c r="Z40" s="56"/>
      <c r="AA40" s="57"/>
    </row>
    <row r="41" spans="1:27" s="1" customFormat="1" ht="18.75" customHeight="1" thickTop="1" thickBot="1" x14ac:dyDescent="0.25">
      <c r="A41" s="175" t="s">
        <v>251</v>
      </c>
      <c r="B41" s="1385" t="s">
        <v>30</v>
      </c>
      <c r="C41" s="1395"/>
      <c r="D41" s="1385" t="s">
        <v>31</v>
      </c>
      <c r="E41" s="1396"/>
      <c r="F41" s="1385" t="s">
        <v>32</v>
      </c>
      <c r="G41" s="1396"/>
      <c r="H41" s="1385" t="s">
        <v>33</v>
      </c>
      <c r="I41" s="1396"/>
      <c r="J41" s="1385" t="s">
        <v>34</v>
      </c>
      <c r="K41" s="1396"/>
      <c r="L41" s="1385" t="s">
        <v>35</v>
      </c>
      <c r="M41" s="1396"/>
      <c r="N41" s="1385" t="s">
        <v>36</v>
      </c>
      <c r="O41" s="1396"/>
      <c r="P41" s="1385" t="s">
        <v>37</v>
      </c>
      <c r="Q41" s="1396"/>
      <c r="R41" s="1385" t="s">
        <v>38</v>
      </c>
      <c r="S41" s="1396"/>
      <c r="T41" s="1385" t="s">
        <v>302</v>
      </c>
      <c r="U41" s="1386"/>
      <c r="V41" s="195"/>
      <c r="W41" s="1382" t="s">
        <v>9</v>
      </c>
      <c r="X41" s="1383"/>
    </row>
    <row r="42" spans="1:27" s="1" customFormat="1" ht="25.5" customHeight="1" x14ac:dyDescent="0.2">
      <c r="A42" s="715" t="s">
        <v>255</v>
      </c>
      <c r="B42" s="711"/>
      <c r="C42" s="529"/>
      <c r="D42" s="711"/>
      <c r="E42" s="712"/>
      <c r="F42" s="711"/>
      <c r="G42" s="712"/>
      <c r="H42" s="711"/>
      <c r="I42" s="712"/>
      <c r="J42" s="711"/>
      <c r="K42" s="712"/>
      <c r="L42" s="711"/>
      <c r="M42" s="712"/>
      <c r="N42" s="711"/>
      <c r="O42" s="712"/>
      <c r="P42" s="711"/>
      <c r="Q42" s="712"/>
      <c r="R42" s="711"/>
      <c r="S42" s="712"/>
      <c r="T42" s="713"/>
      <c r="U42" s="714"/>
      <c r="V42" s="195"/>
      <c r="W42" s="272"/>
      <c r="X42" s="271"/>
    </row>
    <row r="43" spans="1:27" s="1" customFormat="1" ht="25.5" customHeight="1" x14ac:dyDescent="0.2">
      <c r="A43" s="722" t="s">
        <v>237</v>
      </c>
      <c r="B43" s="181"/>
      <c r="C43" s="723">
        <v>24</v>
      </c>
      <c r="D43" s="181"/>
      <c r="E43" s="723">
        <v>24</v>
      </c>
      <c r="F43" s="181"/>
      <c r="G43" s="723">
        <v>24</v>
      </c>
      <c r="H43" s="181"/>
      <c r="I43" s="723">
        <v>24</v>
      </c>
      <c r="J43" s="181"/>
      <c r="K43" s="723">
        <v>23</v>
      </c>
      <c r="L43" s="181"/>
      <c r="M43" s="723">
        <v>25</v>
      </c>
      <c r="N43" s="181"/>
      <c r="O43" s="723">
        <v>25</v>
      </c>
      <c r="P43" s="181"/>
      <c r="Q43" s="723">
        <v>26</v>
      </c>
      <c r="R43" s="181"/>
      <c r="S43" s="723">
        <v>26</v>
      </c>
      <c r="T43" s="652"/>
      <c r="U43" s="657"/>
      <c r="V43" s="195"/>
      <c r="W43" s="347"/>
      <c r="X43" s="659">
        <f>AVERAGE(O43,M43,S43,U43,Q43)</f>
        <v>25.5</v>
      </c>
    </row>
    <row r="44" spans="1:27" s="1" customFormat="1" ht="25.5" customHeight="1" x14ac:dyDescent="0.2">
      <c r="A44" s="721" t="s">
        <v>252</v>
      </c>
      <c r="B44" s="654"/>
      <c r="C44" s="716">
        <v>24</v>
      </c>
      <c r="D44" s="654"/>
      <c r="E44" s="716">
        <v>24</v>
      </c>
      <c r="F44" s="654"/>
      <c r="G44" s="716">
        <v>24</v>
      </c>
      <c r="H44" s="654"/>
      <c r="I44" s="716">
        <v>24</v>
      </c>
      <c r="J44" s="654"/>
      <c r="K44" s="716">
        <v>23</v>
      </c>
      <c r="L44" s="654"/>
      <c r="M44" s="716">
        <v>25</v>
      </c>
      <c r="N44" s="654"/>
      <c r="O44" s="716">
        <v>25</v>
      </c>
      <c r="P44" s="654"/>
      <c r="Q44" s="716">
        <v>26</v>
      </c>
      <c r="R44" s="654"/>
      <c r="S44" s="716">
        <v>26</v>
      </c>
      <c r="T44" s="654"/>
      <c r="U44" s="658"/>
      <c r="V44" s="195"/>
      <c r="W44" s="1252"/>
      <c r="X44" s="394">
        <f t="shared" ref="X44:X45" si="5">AVERAGE(O44,M44,S44,U44,Q44)</f>
        <v>25.5</v>
      </c>
    </row>
    <row r="45" spans="1:27" s="882" customFormat="1" ht="15" customHeight="1" thickBot="1" x14ac:dyDescent="0.25">
      <c r="A45" s="876" t="s">
        <v>238</v>
      </c>
      <c r="B45" s="877"/>
      <c r="C45" s="878">
        <v>23.55</v>
      </c>
      <c r="D45" s="877"/>
      <c r="E45" s="878">
        <v>23.8</v>
      </c>
      <c r="F45" s="877"/>
      <c r="G45" s="878">
        <v>23.8</v>
      </c>
      <c r="H45" s="877"/>
      <c r="I45" s="878">
        <v>23.8</v>
      </c>
      <c r="J45" s="877"/>
      <c r="K45" s="878">
        <v>23.2</v>
      </c>
      <c r="L45" s="877"/>
      <c r="M45" s="878">
        <v>25.2</v>
      </c>
      <c r="N45" s="877"/>
      <c r="O45" s="878">
        <v>24.8</v>
      </c>
      <c r="P45" s="877"/>
      <c r="Q45" s="878">
        <v>24.2</v>
      </c>
      <c r="R45" s="877"/>
      <c r="S45" s="878">
        <v>23.52</v>
      </c>
      <c r="T45" s="879"/>
      <c r="U45" s="883"/>
      <c r="V45" s="881"/>
      <c r="W45" s="950"/>
      <c r="X45" s="1253">
        <f t="shared" si="5"/>
        <v>24.43</v>
      </c>
    </row>
    <row r="46" spans="1:27" s="1" customFormat="1" ht="18" customHeight="1" thickBot="1" x14ac:dyDescent="0.25">
      <c r="A46" s="795" t="s">
        <v>264</v>
      </c>
      <c r="B46" s="797" t="s">
        <v>40</v>
      </c>
      <c r="C46" s="798" t="s">
        <v>41</v>
      </c>
      <c r="D46" s="799" t="s">
        <v>40</v>
      </c>
      <c r="E46" s="800" t="s">
        <v>41</v>
      </c>
      <c r="F46" s="797" t="s">
        <v>40</v>
      </c>
      <c r="G46" s="798" t="s">
        <v>41</v>
      </c>
      <c r="H46" s="799" t="s">
        <v>40</v>
      </c>
      <c r="I46" s="800" t="s">
        <v>41</v>
      </c>
      <c r="J46" s="797" t="s">
        <v>40</v>
      </c>
      <c r="K46" s="798" t="s">
        <v>41</v>
      </c>
      <c r="L46" s="799" t="s">
        <v>40</v>
      </c>
      <c r="M46" s="800" t="s">
        <v>41</v>
      </c>
      <c r="N46" s="797" t="s">
        <v>40</v>
      </c>
      <c r="O46" s="798" t="s">
        <v>41</v>
      </c>
      <c r="P46" s="799" t="s">
        <v>40</v>
      </c>
      <c r="Q46" s="800" t="s">
        <v>41</v>
      </c>
      <c r="R46" s="797" t="s">
        <v>40</v>
      </c>
      <c r="S46" s="798" t="s">
        <v>41</v>
      </c>
      <c r="T46" s="801" t="s">
        <v>40</v>
      </c>
      <c r="U46" s="802" t="s">
        <v>41</v>
      </c>
      <c r="V46" s="204"/>
      <c r="W46" s="1254" t="s">
        <v>40</v>
      </c>
      <c r="X46" s="804" t="s">
        <v>41</v>
      </c>
    </row>
    <row r="47" spans="1:27" s="1" customFormat="1" ht="15" customHeight="1" x14ac:dyDescent="0.2">
      <c r="A47" s="680" t="s">
        <v>42</v>
      </c>
      <c r="B47" s="681"/>
      <c r="C47" s="805"/>
      <c r="D47" s="806"/>
      <c r="E47" s="682"/>
      <c r="F47" s="681"/>
      <c r="G47" s="807"/>
      <c r="H47" s="808"/>
      <c r="I47" s="682"/>
      <c r="J47" s="681"/>
      <c r="K47" s="807"/>
      <c r="L47" s="808"/>
      <c r="M47" s="682"/>
      <c r="N47" s="681"/>
      <c r="O47" s="807"/>
      <c r="P47" s="808"/>
      <c r="Q47" s="682"/>
      <c r="R47" s="681"/>
      <c r="S47" s="807"/>
      <c r="T47" s="806"/>
      <c r="U47" s="683"/>
      <c r="V47" s="204"/>
      <c r="W47" s="1029"/>
      <c r="X47" s="1030"/>
    </row>
    <row r="48" spans="1:27" s="1" customFormat="1" ht="15" customHeight="1" x14ac:dyDescent="0.2">
      <c r="A48" s="678" t="s">
        <v>43</v>
      </c>
      <c r="B48" s="809"/>
      <c r="C48" s="810">
        <v>24</v>
      </c>
      <c r="D48" s="809"/>
      <c r="E48" s="321">
        <f>24</f>
        <v>24</v>
      </c>
      <c r="F48" s="809"/>
      <c r="G48" s="811">
        <v>24</v>
      </c>
      <c r="H48" s="809"/>
      <c r="I48" s="321">
        <v>24</v>
      </c>
      <c r="J48" s="812">
        <v>23</v>
      </c>
      <c r="K48" s="811">
        <v>23</v>
      </c>
      <c r="L48" s="813">
        <v>27</v>
      </c>
      <c r="M48" s="321">
        <v>27</v>
      </c>
      <c r="N48" s="812">
        <v>28</v>
      </c>
      <c r="O48" s="811">
        <v>28</v>
      </c>
      <c r="P48" s="813">
        <v>28</v>
      </c>
      <c r="Q48" s="321">
        <v>28</v>
      </c>
      <c r="R48" s="812">
        <v>30</v>
      </c>
      <c r="S48" s="811">
        <v>30</v>
      </c>
      <c r="T48" s="814"/>
      <c r="U48" s="322"/>
      <c r="V48" s="204"/>
      <c r="W48" s="936">
        <f>AVERAGE(T48,L48,N48,P48,R48)</f>
        <v>28.25</v>
      </c>
      <c r="X48" s="1031">
        <f t="shared" ref="X48:X53" si="6">AVERAGE(O48,M48,S48,U48,Q48)</f>
        <v>28.25</v>
      </c>
    </row>
    <row r="49" spans="1:24" s="1" customFormat="1" ht="15" customHeight="1" x14ac:dyDescent="0.2">
      <c r="A49" s="678" t="s">
        <v>44</v>
      </c>
      <c r="B49" s="809"/>
      <c r="C49" s="810">
        <v>1</v>
      </c>
      <c r="D49" s="809"/>
      <c r="E49" s="321">
        <v>1</v>
      </c>
      <c r="F49" s="809"/>
      <c r="G49" s="811">
        <v>2</v>
      </c>
      <c r="H49" s="809"/>
      <c r="I49" s="321">
        <v>2</v>
      </c>
      <c r="J49" s="812">
        <v>0.8</v>
      </c>
      <c r="K49" s="811">
        <v>2</v>
      </c>
      <c r="L49" s="844">
        <v>0.4</v>
      </c>
      <c r="M49" s="321">
        <v>1</v>
      </c>
      <c r="N49" s="812">
        <v>0.2</v>
      </c>
      <c r="O49" s="811">
        <v>1</v>
      </c>
      <c r="P49" s="813">
        <v>1.3</v>
      </c>
      <c r="Q49" s="321">
        <v>3</v>
      </c>
      <c r="R49" s="812">
        <v>0.5</v>
      </c>
      <c r="S49" s="811">
        <v>1</v>
      </c>
      <c r="T49" s="814"/>
      <c r="U49" s="322"/>
      <c r="V49" s="204"/>
      <c r="W49" s="936">
        <f t="shared" ref="W49:W53" si="7">AVERAGE(T49,L49,N49,P49,R49)</f>
        <v>0.60000000000000009</v>
      </c>
      <c r="X49" s="1031">
        <f t="shared" si="6"/>
        <v>1.5</v>
      </c>
    </row>
    <row r="50" spans="1:24" s="1" customFormat="1" ht="15" customHeight="1" x14ac:dyDescent="0.2">
      <c r="A50" s="676" t="s">
        <v>45</v>
      </c>
      <c r="B50" s="663"/>
      <c r="C50" s="815"/>
      <c r="D50" s="663"/>
      <c r="E50" s="325"/>
      <c r="F50" s="663"/>
      <c r="G50" s="816"/>
      <c r="H50" s="663"/>
      <c r="I50" s="325"/>
      <c r="J50" s="812"/>
      <c r="K50" s="816"/>
      <c r="L50" s="813"/>
      <c r="M50" s="325"/>
      <c r="N50" s="812"/>
      <c r="O50" s="816"/>
      <c r="P50" s="813"/>
      <c r="Q50" s="325"/>
      <c r="R50" s="812"/>
      <c r="S50" s="816"/>
      <c r="T50" s="814"/>
      <c r="U50" s="340"/>
      <c r="V50" s="204"/>
      <c r="W50" s="936"/>
      <c r="X50" s="1031"/>
    </row>
    <row r="51" spans="1:24" s="1" customFormat="1" ht="15" customHeight="1" x14ac:dyDescent="0.2">
      <c r="A51" s="678" t="s">
        <v>43</v>
      </c>
      <c r="B51" s="809"/>
      <c r="C51" s="815">
        <v>1</v>
      </c>
      <c r="D51" s="809"/>
      <c r="E51" s="325">
        <v>2</v>
      </c>
      <c r="F51" s="809"/>
      <c r="G51" s="816">
        <v>2</v>
      </c>
      <c r="H51" s="809"/>
      <c r="I51" s="325">
        <v>2</v>
      </c>
      <c r="J51" s="812">
        <v>2</v>
      </c>
      <c r="K51" s="816">
        <v>2</v>
      </c>
      <c r="L51" s="813">
        <v>4</v>
      </c>
      <c r="M51" s="325">
        <v>4</v>
      </c>
      <c r="N51" s="812">
        <v>1</v>
      </c>
      <c r="O51" s="816">
        <v>1</v>
      </c>
      <c r="P51" s="813">
        <v>1</v>
      </c>
      <c r="Q51" s="325">
        <v>1</v>
      </c>
      <c r="R51" s="812">
        <v>1</v>
      </c>
      <c r="S51" s="816">
        <v>1</v>
      </c>
      <c r="T51" s="814"/>
      <c r="U51" s="340"/>
      <c r="V51" s="204"/>
      <c r="W51" s="936">
        <f t="shared" si="7"/>
        <v>1.75</v>
      </c>
      <c r="X51" s="1031">
        <f t="shared" si="6"/>
        <v>1.75</v>
      </c>
    </row>
    <row r="52" spans="1:24" s="1" customFormat="1" ht="15" customHeight="1" thickBot="1" x14ac:dyDescent="0.25">
      <c r="A52" s="679" t="s">
        <v>44</v>
      </c>
      <c r="B52" s="817"/>
      <c r="C52" s="818">
        <v>2</v>
      </c>
      <c r="D52" s="817"/>
      <c r="E52" s="476">
        <v>1</v>
      </c>
      <c r="F52" s="817"/>
      <c r="G52" s="819">
        <v>0</v>
      </c>
      <c r="H52" s="817"/>
      <c r="I52" s="476">
        <v>0</v>
      </c>
      <c r="J52" s="843">
        <v>0.25</v>
      </c>
      <c r="K52" s="819">
        <v>1</v>
      </c>
      <c r="L52" s="845">
        <v>0.25</v>
      </c>
      <c r="M52" s="476">
        <v>1</v>
      </c>
      <c r="N52" s="843">
        <v>0.25</v>
      </c>
      <c r="O52" s="819">
        <v>1</v>
      </c>
      <c r="P52" s="821">
        <v>0.3</v>
      </c>
      <c r="Q52" s="476">
        <v>1</v>
      </c>
      <c r="R52" s="843">
        <v>0.3</v>
      </c>
      <c r="S52" s="819">
        <v>1</v>
      </c>
      <c r="T52" s="822"/>
      <c r="U52" s="326"/>
      <c r="V52" s="204"/>
      <c r="W52" s="1020">
        <f t="shared" si="7"/>
        <v>0.27500000000000002</v>
      </c>
      <c r="X52" s="1032">
        <f t="shared" si="6"/>
        <v>1</v>
      </c>
    </row>
    <row r="53" spans="1:24" s="1" customFormat="1" ht="15" customHeight="1" thickBot="1" x14ac:dyDescent="0.25">
      <c r="A53" s="796" t="s">
        <v>28</v>
      </c>
      <c r="B53" s="823"/>
      <c r="C53" s="824">
        <f>SUM(C48:C52)</f>
        <v>28</v>
      </c>
      <c r="D53" s="823"/>
      <c r="E53" s="825">
        <f>SUM(E48:E52)</f>
        <v>28</v>
      </c>
      <c r="F53" s="823"/>
      <c r="G53" s="826">
        <f>SUM(G48:G52)</f>
        <v>28</v>
      </c>
      <c r="H53" s="823"/>
      <c r="I53" s="825">
        <f t="shared" ref="I53:S53" si="8">SUM(I48:I52)</f>
        <v>28</v>
      </c>
      <c r="J53" s="827">
        <f t="shared" si="8"/>
        <v>26.05</v>
      </c>
      <c r="K53" s="826">
        <f t="shared" si="8"/>
        <v>28</v>
      </c>
      <c r="L53" s="827">
        <f t="shared" si="8"/>
        <v>31.65</v>
      </c>
      <c r="M53" s="825">
        <f t="shared" si="8"/>
        <v>33</v>
      </c>
      <c r="N53" s="827">
        <f t="shared" si="8"/>
        <v>29.45</v>
      </c>
      <c r="O53" s="826">
        <f t="shared" si="8"/>
        <v>31</v>
      </c>
      <c r="P53" s="827">
        <f t="shared" si="8"/>
        <v>30.6</v>
      </c>
      <c r="Q53" s="825">
        <f t="shared" si="8"/>
        <v>33</v>
      </c>
      <c r="R53" s="827">
        <f t="shared" si="8"/>
        <v>31.8</v>
      </c>
      <c r="S53" s="826">
        <f t="shared" si="8"/>
        <v>33</v>
      </c>
      <c r="T53" s="827">
        <f t="shared" ref="T53:U53" si="9">SUM(T48:T52)</f>
        <v>0</v>
      </c>
      <c r="U53" s="828">
        <f t="shared" si="9"/>
        <v>0</v>
      </c>
      <c r="V53" s="204"/>
      <c r="W53" s="1028">
        <f t="shared" si="7"/>
        <v>24.699999999999996</v>
      </c>
      <c r="X53" s="1033">
        <f t="shared" si="6"/>
        <v>26</v>
      </c>
    </row>
    <row r="54" spans="1:24" s="1" customFormat="1" ht="18" customHeight="1" thickBot="1" x14ac:dyDescent="0.25">
      <c r="A54" s="795" t="s">
        <v>253</v>
      </c>
      <c r="B54" s="344" t="s">
        <v>39</v>
      </c>
      <c r="C54" s="707" t="s">
        <v>46</v>
      </c>
      <c r="D54" s="344" t="s">
        <v>39</v>
      </c>
      <c r="E54" s="708" t="s">
        <v>46</v>
      </c>
      <c r="F54" s="829" t="s">
        <v>39</v>
      </c>
      <c r="G54" s="708" t="s">
        <v>46</v>
      </c>
      <c r="H54" s="709" t="s">
        <v>39</v>
      </c>
      <c r="I54" s="830" t="s">
        <v>46</v>
      </c>
      <c r="J54" s="829" t="s">
        <v>39</v>
      </c>
      <c r="K54" s="708" t="s">
        <v>46</v>
      </c>
      <c r="L54" s="709" t="s">
        <v>39</v>
      </c>
      <c r="M54" s="830" t="s">
        <v>46</v>
      </c>
      <c r="N54" s="829" t="s">
        <v>39</v>
      </c>
      <c r="O54" s="708" t="s">
        <v>46</v>
      </c>
      <c r="P54" s="709" t="s">
        <v>39</v>
      </c>
      <c r="Q54" s="830" t="s">
        <v>46</v>
      </c>
      <c r="R54" s="829" t="s">
        <v>39</v>
      </c>
      <c r="S54" s="708" t="s">
        <v>46</v>
      </c>
      <c r="T54" s="709" t="s">
        <v>39</v>
      </c>
      <c r="U54" s="710" t="s">
        <v>46</v>
      </c>
      <c r="V54" s="195"/>
      <c r="W54" s="832" t="s">
        <v>39</v>
      </c>
      <c r="X54" s="804" t="s">
        <v>46</v>
      </c>
    </row>
    <row r="55" spans="1:24" s="1" customFormat="1" ht="18" customHeight="1" x14ac:dyDescent="0.2">
      <c r="A55" s="848" t="s">
        <v>265</v>
      </c>
      <c r="B55" s="459"/>
      <c r="C55" s="792"/>
      <c r="D55" s="459"/>
      <c r="E55" s="793"/>
      <c r="F55" s="280"/>
      <c r="G55" s="793"/>
      <c r="H55" s="280"/>
      <c r="I55" s="793"/>
      <c r="J55" s="280"/>
      <c r="K55" s="793"/>
      <c r="L55" s="280"/>
      <c r="M55" s="793"/>
      <c r="N55" s="280"/>
      <c r="O55" s="793"/>
      <c r="P55" s="280"/>
      <c r="Q55" s="793"/>
      <c r="R55" s="280"/>
      <c r="S55" s="793"/>
      <c r="T55" s="280"/>
      <c r="U55" s="794"/>
      <c r="V55" s="195"/>
      <c r="W55" s="1026"/>
      <c r="X55" s="199"/>
    </row>
    <row r="56" spans="1:24" s="1" customFormat="1" ht="15" customHeight="1" x14ac:dyDescent="0.2">
      <c r="A56" s="706" t="s">
        <v>47</v>
      </c>
      <c r="B56" s="201">
        <v>17</v>
      </c>
      <c r="C56" s="191">
        <f t="shared" ref="C56:C63" si="10">B56/C$53</f>
        <v>0.6071428571428571</v>
      </c>
      <c r="D56" s="201">
        <f>19+2</f>
        <v>21</v>
      </c>
      <c r="E56" s="192">
        <f t="shared" ref="E56:E63" si="11">D56/E$53</f>
        <v>0.75</v>
      </c>
      <c r="F56" s="202">
        <v>19</v>
      </c>
      <c r="G56" s="192">
        <f t="shared" ref="G56:G63" si="12">F56/G$53</f>
        <v>0.6785714285714286</v>
      </c>
      <c r="H56" s="202">
        <v>18</v>
      </c>
      <c r="I56" s="192">
        <f t="shared" ref="I56:I63" si="13">H56/I$53</f>
        <v>0.6428571428571429</v>
      </c>
      <c r="J56" s="202">
        <f>18+1</f>
        <v>19</v>
      </c>
      <c r="K56" s="192">
        <f t="shared" ref="K56:K63" si="14">J56/K$53</f>
        <v>0.6785714285714286</v>
      </c>
      <c r="L56" s="202">
        <v>21</v>
      </c>
      <c r="M56" s="192">
        <f t="shared" ref="M56:M61" si="15">L56/M$53</f>
        <v>0.63636363636363635</v>
      </c>
      <c r="N56" s="202">
        <f>1+20</f>
        <v>21</v>
      </c>
      <c r="O56" s="192">
        <f t="shared" ref="O56:Q61" si="16">N56/O$53</f>
        <v>0.67741935483870963</v>
      </c>
      <c r="P56" s="202">
        <v>23</v>
      </c>
      <c r="Q56" s="192">
        <f t="shared" si="16"/>
        <v>0.69696969696969702</v>
      </c>
      <c r="R56" s="202">
        <v>24</v>
      </c>
      <c r="S56" s="192">
        <f t="shared" ref="S56:S61" si="17">R56/S$53</f>
        <v>0.72727272727272729</v>
      </c>
      <c r="T56" s="202"/>
      <c r="U56" s="203" t="e">
        <f t="shared" ref="U56:U61" si="18">T56/U$53</f>
        <v>#DIV/0!</v>
      </c>
      <c r="V56" s="204"/>
      <c r="W56" s="205">
        <f>AVERAGE(N56,L56,R56,T56,P56)</f>
        <v>22.25</v>
      </c>
      <c r="X56" s="206" t="e">
        <f>AVERAGE(O56,M56,S56,U56,Q56)</f>
        <v>#DIV/0!</v>
      </c>
    </row>
    <row r="57" spans="1:24" s="1" customFormat="1" ht="15" customHeight="1" x14ac:dyDescent="0.2">
      <c r="A57" s="207" t="s">
        <v>48</v>
      </c>
      <c r="B57" s="201">
        <v>0</v>
      </c>
      <c r="C57" s="191">
        <f t="shared" si="10"/>
        <v>0</v>
      </c>
      <c r="D57" s="201">
        <v>0</v>
      </c>
      <c r="E57" s="192">
        <f t="shared" si="11"/>
        <v>0</v>
      </c>
      <c r="F57" s="202"/>
      <c r="G57" s="192">
        <f t="shared" si="12"/>
        <v>0</v>
      </c>
      <c r="H57" s="202">
        <v>0</v>
      </c>
      <c r="I57" s="192">
        <f t="shared" si="13"/>
        <v>0</v>
      </c>
      <c r="J57" s="202">
        <f>0</f>
        <v>0</v>
      </c>
      <c r="K57" s="192">
        <f t="shared" si="14"/>
        <v>0</v>
      </c>
      <c r="L57" s="202">
        <v>0</v>
      </c>
      <c r="M57" s="192">
        <f t="shared" si="15"/>
        <v>0</v>
      </c>
      <c r="N57" s="202">
        <v>0</v>
      </c>
      <c r="O57" s="192">
        <f t="shared" si="16"/>
        <v>0</v>
      </c>
      <c r="P57" s="202">
        <v>0</v>
      </c>
      <c r="Q57" s="192">
        <f t="shared" si="16"/>
        <v>0</v>
      </c>
      <c r="R57" s="202">
        <v>0</v>
      </c>
      <c r="S57" s="192">
        <f t="shared" si="17"/>
        <v>0</v>
      </c>
      <c r="T57" s="202"/>
      <c r="U57" s="203" t="e">
        <f t="shared" si="18"/>
        <v>#DIV/0!</v>
      </c>
      <c r="V57" s="204"/>
      <c r="W57" s="205">
        <f t="shared" ref="W57:X75" si="19">AVERAGE(N57,L57,R57,T57,P57)</f>
        <v>0</v>
      </c>
      <c r="X57" s="206" t="e">
        <f t="shared" si="19"/>
        <v>#DIV/0!</v>
      </c>
    </row>
    <row r="58" spans="1:24" s="1" customFormat="1" ht="15" customHeight="1" x14ac:dyDescent="0.2">
      <c r="A58" s="207" t="s">
        <v>49</v>
      </c>
      <c r="B58" s="201">
        <v>0</v>
      </c>
      <c r="C58" s="191">
        <f t="shared" si="10"/>
        <v>0</v>
      </c>
      <c r="D58" s="201">
        <v>0</v>
      </c>
      <c r="E58" s="192">
        <f t="shared" si="11"/>
        <v>0</v>
      </c>
      <c r="F58" s="202"/>
      <c r="G58" s="192">
        <f t="shared" si="12"/>
        <v>0</v>
      </c>
      <c r="H58" s="202">
        <v>1</v>
      </c>
      <c r="I58" s="192">
        <f t="shared" si="13"/>
        <v>3.5714285714285712E-2</v>
      </c>
      <c r="J58" s="202">
        <f>1</f>
        <v>1</v>
      </c>
      <c r="K58" s="192">
        <f t="shared" si="14"/>
        <v>3.5714285714285712E-2</v>
      </c>
      <c r="L58" s="202">
        <v>1</v>
      </c>
      <c r="M58" s="192">
        <f t="shared" si="15"/>
        <v>3.0303030303030304E-2</v>
      </c>
      <c r="N58" s="202">
        <v>1</v>
      </c>
      <c r="O58" s="192">
        <f t="shared" si="16"/>
        <v>3.2258064516129031E-2</v>
      </c>
      <c r="P58" s="202">
        <v>1</v>
      </c>
      <c r="Q58" s="192">
        <f t="shared" si="16"/>
        <v>3.0303030303030304E-2</v>
      </c>
      <c r="R58" s="202">
        <v>1</v>
      </c>
      <c r="S58" s="192">
        <f t="shared" si="17"/>
        <v>3.0303030303030304E-2</v>
      </c>
      <c r="T58" s="202"/>
      <c r="U58" s="203" t="e">
        <f t="shared" si="18"/>
        <v>#DIV/0!</v>
      </c>
      <c r="V58" s="204"/>
      <c r="W58" s="205">
        <f t="shared" si="19"/>
        <v>1</v>
      </c>
      <c r="X58" s="206" t="e">
        <f t="shared" si="19"/>
        <v>#DIV/0!</v>
      </c>
    </row>
    <row r="59" spans="1:24" s="1" customFormat="1" ht="15" customHeight="1" x14ac:dyDescent="0.2">
      <c r="A59" s="207" t="s">
        <v>50</v>
      </c>
      <c r="B59" s="201">
        <v>0</v>
      </c>
      <c r="C59" s="191">
        <f t="shared" si="10"/>
        <v>0</v>
      </c>
      <c r="D59" s="201">
        <v>0</v>
      </c>
      <c r="E59" s="192">
        <f t="shared" si="11"/>
        <v>0</v>
      </c>
      <c r="F59" s="202"/>
      <c r="G59" s="192">
        <f t="shared" si="12"/>
        <v>0</v>
      </c>
      <c r="H59" s="202">
        <v>0</v>
      </c>
      <c r="I59" s="192">
        <f t="shared" si="13"/>
        <v>0</v>
      </c>
      <c r="J59" s="202">
        <f>0</f>
        <v>0</v>
      </c>
      <c r="K59" s="192">
        <f t="shared" si="14"/>
        <v>0</v>
      </c>
      <c r="L59" s="202">
        <v>0</v>
      </c>
      <c r="M59" s="192">
        <f t="shared" si="15"/>
        <v>0</v>
      </c>
      <c r="N59" s="202">
        <v>0</v>
      </c>
      <c r="O59" s="192">
        <f t="shared" si="16"/>
        <v>0</v>
      </c>
      <c r="P59" s="202">
        <v>0</v>
      </c>
      <c r="Q59" s="192">
        <f t="shared" si="16"/>
        <v>0</v>
      </c>
      <c r="R59" s="202">
        <v>0</v>
      </c>
      <c r="S59" s="192">
        <f t="shared" si="17"/>
        <v>0</v>
      </c>
      <c r="T59" s="202"/>
      <c r="U59" s="203" t="e">
        <f t="shared" si="18"/>
        <v>#DIV/0!</v>
      </c>
      <c r="V59" s="204"/>
      <c r="W59" s="205">
        <f t="shared" si="19"/>
        <v>0</v>
      </c>
      <c r="X59" s="206" t="e">
        <f t="shared" si="19"/>
        <v>#DIV/0!</v>
      </c>
    </row>
    <row r="60" spans="1:24" s="1" customFormat="1" ht="15" customHeight="1" x14ac:dyDescent="0.2">
      <c r="A60" s="207" t="s">
        <v>51</v>
      </c>
      <c r="B60" s="201">
        <v>9</v>
      </c>
      <c r="C60" s="191">
        <f t="shared" si="10"/>
        <v>0.32142857142857145</v>
      </c>
      <c r="D60" s="201">
        <v>4</v>
      </c>
      <c r="E60" s="192">
        <f t="shared" si="11"/>
        <v>0.14285714285714285</v>
      </c>
      <c r="F60" s="202">
        <v>7</v>
      </c>
      <c r="G60" s="192">
        <f t="shared" si="12"/>
        <v>0.25</v>
      </c>
      <c r="H60" s="202">
        <v>7</v>
      </c>
      <c r="I60" s="192">
        <f t="shared" si="13"/>
        <v>0.25</v>
      </c>
      <c r="J60" s="202">
        <f>5</f>
        <v>5</v>
      </c>
      <c r="K60" s="192">
        <f t="shared" si="14"/>
        <v>0.17857142857142858</v>
      </c>
      <c r="L60" s="202">
        <v>7</v>
      </c>
      <c r="M60" s="192">
        <f t="shared" si="15"/>
        <v>0.21212121212121213</v>
      </c>
      <c r="N60" s="202">
        <v>6</v>
      </c>
      <c r="O60" s="192">
        <f t="shared" si="16"/>
        <v>0.19354838709677419</v>
      </c>
      <c r="P60" s="202">
        <v>5</v>
      </c>
      <c r="Q60" s="192">
        <f t="shared" si="16"/>
        <v>0.15151515151515152</v>
      </c>
      <c r="R60" s="202">
        <v>5</v>
      </c>
      <c r="S60" s="192">
        <f t="shared" si="17"/>
        <v>0.15151515151515152</v>
      </c>
      <c r="T60" s="202"/>
      <c r="U60" s="203" t="e">
        <f t="shared" si="18"/>
        <v>#DIV/0!</v>
      </c>
      <c r="V60" s="204"/>
      <c r="W60" s="205">
        <f t="shared" si="19"/>
        <v>5.75</v>
      </c>
      <c r="X60" s="206" t="e">
        <f t="shared" si="19"/>
        <v>#DIV/0!</v>
      </c>
    </row>
    <row r="61" spans="1:24" s="1" customFormat="1" ht="15" customHeight="1" x14ac:dyDescent="0.2">
      <c r="A61" s="207" t="s">
        <v>52</v>
      </c>
      <c r="B61" s="201">
        <v>2</v>
      </c>
      <c r="C61" s="191">
        <f t="shared" si="10"/>
        <v>7.1428571428571425E-2</v>
      </c>
      <c r="D61" s="201">
        <v>3</v>
      </c>
      <c r="E61" s="192">
        <f t="shared" si="11"/>
        <v>0.10714285714285714</v>
      </c>
      <c r="F61" s="202">
        <v>2</v>
      </c>
      <c r="G61" s="192">
        <f t="shared" si="12"/>
        <v>7.1428571428571425E-2</v>
      </c>
      <c r="H61" s="202">
        <v>2</v>
      </c>
      <c r="I61" s="192">
        <f t="shared" si="13"/>
        <v>7.1428571428571425E-2</v>
      </c>
      <c r="J61" s="202">
        <f>1+1</f>
        <v>2</v>
      </c>
      <c r="K61" s="192">
        <f t="shared" si="14"/>
        <v>7.1428571428571425E-2</v>
      </c>
      <c r="L61" s="202">
        <v>4</v>
      </c>
      <c r="M61" s="192">
        <f t="shared" si="15"/>
        <v>0.12121212121212122</v>
      </c>
      <c r="N61" s="202">
        <f>1+2</f>
        <v>3</v>
      </c>
      <c r="O61" s="192">
        <f t="shared" si="16"/>
        <v>9.6774193548387094E-2</v>
      </c>
      <c r="P61" s="202">
        <v>4</v>
      </c>
      <c r="Q61" s="192">
        <f t="shared" si="16"/>
        <v>0.12121212121212122</v>
      </c>
      <c r="R61" s="202">
        <v>3</v>
      </c>
      <c r="S61" s="192">
        <f t="shared" si="17"/>
        <v>9.0909090909090912E-2</v>
      </c>
      <c r="T61" s="202"/>
      <c r="U61" s="203" t="e">
        <f t="shared" si="18"/>
        <v>#DIV/0!</v>
      </c>
      <c r="V61" s="204"/>
      <c r="W61" s="205">
        <f t="shared" si="19"/>
        <v>3.5</v>
      </c>
      <c r="X61" s="206" t="e">
        <f t="shared" si="19"/>
        <v>#DIV/0!</v>
      </c>
    </row>
    <row r="62" spans="1:24" s="1" customFormat="1" ht="15" customHeight="1" x14ac:dyDescent="0.2">
      <c r="A62" s="207" t="s">
        <v>53</v>
      </c>
      <c r="B62" s="190"/>
      <c r="C62" s="191">
        <f t="shared" si="10"/>
        <v>0</v>
      </c>
      <c r="D62" s="1223"/>
      <c r="E62" s="1224"/>
      <c r="F62" s="1225"/>
      <c r="G62" s="1224"/>
      <c r="H62" s="193">
        <v>0</v>
      </c>
      <c r="I62" s="192">
        <f t="shared" si="13"/>
        <v>0</v>
      </c>
      <c r="J62" s="193">
        <f>1</f>
        <v>1</v>
      </c>
      <c r="K62" s="192">
        <f t="shared" si="14"/>
        <v>3.5714285714285712E-2</v>
      </c>
      <c r="L62" s="193">
        <v>0</v>
      </c>
      <c r="M62" s="192">
        <f>L62/M$53</f>
        <v>0</v>
      </c>
      <c r="N62" s="193">
        <v>0</v>
      </c>
      <c r="O62" s="192">
        <f>N62/O$53</f>
        <v>0</v>
      </c>
      <c r="P62" s="193">
        <v>0</v>
      </c>
      <c r="Q62" s="192">
        <f>P62/Q$53</f>
        <v>0</v>
      </c>
      <c r="R62" s="193">
        <v>0</v>
      </c>
      <c r="S62" s="192">
        <f>R62/S$53</f>
        <v>0</v>
      </c>
      <c r="T62" s="202"/>
      <c r="U62" s="203" t="e">
        <f>T62/U$53</f>
        <v>#DIV/0!</v>
      </c>
      <c r="V62" s="204"/>
      <c r="W62" s="205">
        <f t="shared" si="19"/>
        <v>0</v>
      </c>
      <c r="X62" s="206" t="e">
        <f t="shared" si="19"/>
        <v>#DIV/0!</v>
      </c>
    </row>
    <row r="63" spans="1:24" s="1" customFormat="1" ht="15" customHeight="1" thickBot="1" x14ac:dyDescent="0.25">
      <c r="A63" s="207" t="s">
        <v>54</v>
      </c>
      <c r="B63" s="190">
        <v>0</v>
      </c>
      <c r="C63" s="724">
        <f t="shared" si="10"/>
        <v>0</v>
      </c>
      <c r="D63" s="190">
        <v>0</v>
      </c>
      <c r="E63" s="725">
        <f t="shared" si="11"/>
        <v>0</v>
      </c>
      <c r="F63" s="193"/>
      <c r="G63" s="725">
        <f t="shared" si="12"/>
        <v>0</v>
      </c>
      <c r="H63" s="193">
        <v>0</v>
      </c>
      <c r="I63" s="725">
        <f t="shared" si="13"/>
        <v>0</v>
      </c>
      <c r="J63" s="193">
        <v>0</v>
      </c>
      <c r="K63" s="725">
        <f t="shared" si="14"/>
        <v>0</v>
      </c>
      <c r="L63" s="193">
        <v>0</v>
      </c>
      <c r="M63" s="725">
        <f>L63/M$53</f>
        <v>0</v>
      </c>
      <c r="N63" s="193">
        <v>0</v>
      </c>
      <c r="O63" s="725">
        <f>N63/O$53</f>
        <v>0</v>
      </c>
      <c r="P63" s="193">
        <v>0</v>
      </c>
      <c r="Q63" s="725">
        <f>P63/Q$53</f>
        <v>0</v>
      </c>
      <c r="R63" s="193">
        <v>0</v>
      </c>
      <c r="S63" s="725">
        <f>R63/S$53</f>
        <v>0</v>
      </c>
      <c r="T63" s="193"/>
      <c r="U63" s="726" t="e">
        <f>T63/U$53</f>
        <v>#DIV/0!</v>
      </c>
      <c r="V63" s="204"/>
      <c r="W63" s="727">
        <f t="shared" si="19"/>
        <v>0</v>
      </c>
      <c r="X63" s="728" t="e">
        <f t="shared" si="19"/>
        <v>#DIV/0!</v>
      </c>
    </row>
    <row r="64" spans="1:24" s="1" customFormat="1" ht="18" customHeight="1" x14ac:dyDescent="0.2">
      <c r="A64" s="848" t="s">
        <v>55</v>
      </c>
      <c r="B64" s="731"/>
      <c r="C64" s="732"/>
      <c r="D64" s="731"/>
      <c r="E64" s="733"/>
      <c r="F64" s="734"/>
      <c r="G64" s="733"/>
      <c r="H64" s="734"/>
      <c r="I64" s="733"/>
      <c r="J64" s="734"/>
      <c r="K64" s="733"/>
      <c r="L64" s="734"/>
      <c r="M64" s="733"/>
      <c r="N64" s="734"/>
      <c r="O64" s="733"/>
      <c r="P64" s="734"/>
      <c r="Q64" s="733"/>
      <c r="R64" s="734"/>
      <c r="S64" s="733"/>
      <c r="T64" s="734"/>
      <c r="U64" s="735"/>
      <c r="V64" s="204"/>
      <c r="W64" s="736"/>
      <c r="X64" s="737"/>
    </row>
    <row r="65" spans="1:24" s="1" customFormat="1" ht="15" customHeight="1" x14ac:dyDescent="0.2">
      <c r="A65" s="200" t="s">
        <v>56</v>
      </c>
      <c r="B65" s="208">
        <v>26</v>
      </c>
      <c r="C65" s="191">
        <f>B65/C$53</f>
        <v>0.9285714285714286</v>
      </c>
      <c r="D65" s="208">
        <f>25+2</f>
        <v>27</v>
      </c>
      <c r="E65" s="192">
        <f>D65/E$53</f>
        <v>0.9642857142857143</v>
      </c>
      <c r="F65" s="209">
        <v>26</v>
      </c>
      <c r="G65" s="192">
        <f>F65/G$53</f>
        <v>0.9285714285714286</v>
      </c>
      <c r="H65" s="209">
        <v>27</v>
      </c>
      <c r="I65" s="192">
        <f>H65/I$53</f>
        <v>0.9642857142857143</v>
      </c>
      <c r="J65" s="209">
        <f>2+23</f>
        <v>25</v>
      </c>
      <c r="K65" s="192">
        <f>J65/K$53</f>
        <v>0.8928571428571429</v>
      </c>
      <c r="L65" s="209">
        <v>29</v>
      </c>
      <c r="M65" s="192">
        <f>L65/M$53</f>
        <v>0.87878787878787878</v>
      </c>
      <c r="N65" s="209">
        <f>2+25</f>
        <v>27</v>
      </c>
      <c r="O65" s="192">
        <f>N65/O$53</f>
        <v>0.87096774193548387</v>
      </c>
      <c r="P65" s="209">
        <v>27</v>
      </c>
      <c r="Q65" s="192">
        <f>P65/Q$53</f>
        <v>0.81818181818181823</v>
      </c>
      <c r="R65" s="209">
        <v>27</v>
      </c>
      <c r="S65" s="192">
        <f>R65/S$53</f>
        <v>0.81818181818181823</v>
      </c>
      <c r="T65" s="209"/>
      <c r="U65" s="203" t="e">
        <f>T65/U$53</f>
        <v>#DIV/0!</v>
      </c>
      <c r="V65" s="204"/>
      <c r="W65" s="205">
        <f t="shared" si="19"/>
        <v>27.5</v>
      </c>
      <c r="X65" s="206" t="e">
        <f t="shared" si="19"/>
        <v>#DIV/0!</v>
      </c>
    </row>
    <row r="66" spans="1:24" s="1" customFormat="1" ht="15" customHeight="1" thickBot="1" x14ac:dyDescent="0.25">
      <c r="A66" s="207" t="s">
        <v>57</v>
      </c>
      <c r="B66" s="729">
        <v>2</v>
      </c>
      <c r="C66" s="724">
        <f>B66/C$53</f>
        <v>7.1428571428571425E-2</v>
      </c>
      <c r="D66" s="729">
        <v>1</v>
      </c>
      <c r="E66" s="725">
        <f>D66/E$53</f>
        <v>3.5714285714285712E-2</v>
      </c>
      <c r="F66" s="730">
        <v>1</v>
      </c>
      <c r="G66" s="725">
        <f>F66/G$53</f>
        <v>3.5714285714285712E-2</v>
      </c>
      <c r="H66" s="730">
        <v>1</v>
      </c>
      <c r="I66" s="725">
        <f>H66/I$53</f>
        <v>3.5714285714285712E-2</v>
      </c>
      <c r="J66" s="730">
        <f>1+2</f>
        <v>3</v>
      </c>
      <c r="K66" s="725">
        <f>J66/K$53</f>
        <v>0.10714285714285714</v>
      </c>
      <c r="L66" s="730">
        <v>4</v>
      </c>
      <c r="M66" s="725">
        <f>L66/M$53</f>
        <v>0.12121212121212122</v>
      </c>
      <c r="N66" s="730">
        <v>4</v>
      </c>
      <c r="O66" s="725">
        <f>N66/O$53</f>
        <v>0.12903225806451613</v>
      </c>
      <c r="P66" s="730">
        <v>6</v>
      </c>
      <c r="Q66" s="725">
        <f>P66/Q$53</f>
        <v>0.18181818181818182</v>
      </c>
      <c r="R66" s="730">
        <v>6</v>
      </c>
      <c r="S66" s="725">
        <f>R66/S$53</f>
        <v>0.18181818181818182</v>
      </c>
      <c r="T66" s="730"/>
      <c r="U66" s="726" t="e">
        <f>T66/U$53</f>
        <v>#DIV/0!</v>
      </c>
      <c r="V66" s="204"/>
      <c r="W66" s="727">
        <f t="shared" si="19"/>
        <v>5</v>
      </c>
      <c r="X66" s="728" t="e">
        <f t="shared" si="19"/>
        <v>#DIV/0!</v>
      </c>
    </row>
    <row r="67" spans="1:24" s="1" customFormat="1" ht="18" customHeight="1" x14ac:dyDescent="0.2">
      <c r="A67" s="848" t="s">
        <v>58</v>
      </c>
      <c r="B67" s="738"/>
      <c r="C67" s="739"/>
      <c r="D67" s="738"/>
      <c r="E67" s="740"/>
      <c r="F67" s="741"/>
      <c r="G67" s="740"/>
      <c r="H67" s="741"/>
      <c r="I67" s="740"/>
      <c r="J67" s="741"/>
      <c r="K67" s="740"/>
      <c r="L67" s="741"/>
      <c r="M67" s="740"/>
      <c r="N67" s="741"/>
      <c r="O67" s="740"/>
      <c r="P67" s="741"/>
      <c r="Q67" s="740"/>
      <c r="R67" s="741"/>
      <c r="S67" s="740"/>
      <c r="T67" s="741"/>
      <c r="U67" s="742"/>
      <c r="V67" s="204"/>
      <c r="W67" s="736"/>
      <c r="X67" s="737"/>
    </row>
    <row r="68" spans="1:24" s="1" customFormat="1" ht="15" customHeight="1" x14ac:dyDescent="0.2">
      <c r="A68" s="200" t="s">
        <v>59</v>
      </c>
      <c r="B68" s="210">
        <v>21</v>
      </c>
      <c r="C68" s="191">
        <f>B68/C$53</f>
        <v>0.75</v>
      </c>
      <c r="D68" s="210">
        <f>18+2</f>
        <v>20</v>
      </c>
      <c r="E68" s="192">
        <f>D68/E$53</f>
        <v>0.7142857142857143</v>
      </c>
      <c r="F68" s="211">
        <v>19</v>
      </c>
      <c r="G68" s="192">
        <f>F68/G$53</f>
        <v>0.6785714285714286</v>
      </c>
      <c r="H68" s="211">
        <v>21</v>
      </c>
      <c r="I68" s="192">
        <f>H68/I$53</f>
        <v>0.75</v>
      </c>
      <c r="J68" s="211">
        <f>1+19</f>
        <v>20</v>
      </c>
      <c r="K68" s="192">
        <f>J68/K$53</f>
        <v>0.7142857142857143</v>
      </c>
      <c r="L68" s="211">
        <v>20</v>
      </c>
      <c r="M68" s="192">
        <f>L68/M$53</f>
        <v>0.60606060606060608</v>
      </c>
      <c r="N68" s="211">
        <f>1+19</f>
        <v>20</v>
      </c>
      <c r="O68" s="192">
        <f>N68/O$53</f>
        <v>0.64516129032258063</v>
      </c>
      <c r="P68" s="211">
        <v>22</v>
      </c>
      <c r="Q68" s="192">
        <f>P68/Q$53</f>
        <v>0.66666666666666663</v>
      </c>
      <c r="R68" s="211">
        <v>20</v>
      </c>
      <c r="S68" s="192">
        <f>R68/S$53</f>
        <v>0.60606060606060608</v>
      </c>
      <c r="T68" s="211"/>
      <c r="U68" s="203" t="e">
        <f>T68/U$53</f>
        <v>#DIV/0!</v>
      </c>
      <c r="V68" s="204"/>
      <c r="W68" s="205">
        <f t="shared" si="19"/>
        <v>20.5</v>
      </c>
      <c r="X68" s="206" t="e">
        <f t="shared" si="19"/>
        <v>#DIV/0!</v>
      </c>
    </row>
    <row r="69" spans="1:24" s="1" customFormat="1" ht="15" customHeight="1" x14ac:dyDescent="0.2">
      <c r="A69" s="200" t="s">
        <v>60</v>
      </c>
      <c r="B69" s="210">
        <v>6</v>
      </c>
      <c r="C69" s="191">
        <f>B69/C$53</f>
        <v>0.21428571428571427</v>
      </c>
      <c r="D69" s="210">
        <v>6</v>
      </c>
      <c r="E69" s="192">
        <f>D69/E$53</f>
        <v>0.21428571428571427</v>
      </c>
      <c r="F69" s="211">
        <v>6</v>
      </c>
      <c r="G69" s="192">
        <f>F69/G$53</f>
        <v>0.21428571428571427</v>
      </c>
      <c r="H69" s="211">
        <v>4</v>
      </c>
      <c r="I69" s="192">
        <f>H69/I$53</f>
        <v>0.14285714285714285</v>
      </c>
      <c r="J69" s="211">
        <f>0+6</f>
        <v>6</v>
      </c>
      <c r="K69" s="192">
        <f>J69/K$53</f>
        <v>0.21428571428571427</v>
      </c>
      <c r="L69" s="211">
        <v>8</v>
      </c>
      <c r="M69" s="192">
        <f>L69/M$53</f>
        <v>0.24242424242424243</v>
      </c>
      <c r="N69" s="211">
        <v>7</v>
      </c>
      <c r="O69" s="192">
        <f>N69/O$53</f>
        <v>0.22580645161290322</v>
      </c>
      <c r="P69" s="211">
        <v>7</v>
      </c>
      <c r="Q69" s="192">
        <f>P69/Q$53</f>
        <v>0.21212121212121213</v>
      </c>
      <c r="R69" s="211">
        <v>7</v>
      </c>
      <c r="S69" s="192">
        <f>R69/S$53</f>
        <v>0.21212121212121213</v>
      </c>
      <c r="T69" s="211"/>
      <c r="U69" s="203" t="e">
        <f>T69/U$53</f>
        <v>#DIV/0!</v>
      </c>
      <c r="V69" s="204"/>
      <c r="W69" s="205">
        <f t="shared" si="19"/>
        <v>7.25</v>
      </c>
      <c r="X69" s="206" t="e">
        <f t="shared" si="19"/>
        <v>#DIV/0!</v>
      </c>
    </row>
    <row r="70" spans="1:24" s="1" customFormat="1" ht="15" customHeight="1" thickBot="1" x14ac:dyDescent="0.25">
      <c r="A70" s="207" t="s">
        <v>61</v>
      </c>
      <c r="B70" s="729">
        <v>1</v>
      </c>
      <c r="C70" s="724">
        <f>B70/C$53</f>
        <v>3.5714285714285712E-2</v>
      </c>
      <c r="D70" s="729">
        <v>2</v>
      </c>
      <c r="E70" s="725">
        <f>D70/E$53</f>
        <v>7.1428571428571425E-2</v>
      </c>
      <c r="F70" s="730">
        <v>3</v>
      </c>
      <c r="G70" s="725">
        <f>F70/G$53</f>
        <v>0.10714285714285714</v>
      </c>
      <c r="H70" s="730">
        <v>3</v>
      </c>
      <c r="I70" s="725">
        <f>H70/I$53</f>
        <v>0.10714285714285714</v>
      </c>
      <c r="J70" s="730">
        <f>2+0</f>
        <v>2</v>
      </c>
      <c r="K70" s="725">
        <f>J70/K$53</f>
        <v>7.1428571428571425E-2</v>
      </c>
      <c r="L70" s="730">
        <v>5</v>
      </c>
      <c r="M70" s="725">
        <f>L70/M$53</f>
        <v>0.15151515151515152</v>
      </c>
      <c r="N70" s="730">
        <v>4</v>
      </c>
      <c r="O70" s="725">
        <f>N70/O$53</f>
        <v>0.12903225806451613</v>
      </c>
      <c r="P70" s="730">
        <v>4</v>
      </c>
      <c r="Q70" s="725">
        <f>P70/Q$53</f>
        <v>0.12121212121212122</v>
      </c>
      <c r="R70" s="730">
        <v>6</v>
      </c>
      <c r="S70" s="725">
        <f>R70/S$53</f>
        <v>0.18181818181818182</v>
      </c>
      <c r="T70" s="730"/>
      <c r="U70" s="726" t="e">
        <f>T70/U$53</f>
        <v>#DIV/0!</v>
      </c>
      <c r="V70" s="204"/>
      <c r="W70" s="727">
        <f t="shared" si="19"/>
        <v>4.75</v>
      </c>
      <c r="X70" s="728" t="e">
        <f t="shared" si="19"/>
        <v>#DIV/0!</v>
      </c>
    </row>
    <row r="71" spans="1:24" s="1" customFormat="1" ht="18" customHeight="1" x14ac:dyDescent="0.2">
      <c r="A71" s="848" t="s">
        <v>62</v>
      </c>
      <c r="B71" s="738"/>
      <c r="C71" s="739"/>
      <c r="D71" s="738"/>
      <c r="E71" s="740"/>
      <c r="F71" s="741"/>
      <c r="G71" s="740"/>
      <c r="H71" s="741"/>
      <c r="I71" s="740"/>
      <c r="J71" s="741"/>
      <c r="K71" s="740"/>
      <c r="L71" s="741"/>
      <c r="M71" s="740"/>
      <c r="N71" s="741"/>
      <c r="O71" s="740"/>
      <c r="P71" s="741"/>
      <c r="Q71" s="740"/>
      <c r="R71" s="741"/>
      <c r="S71" s="740"/>
      <c r="T71" s="741"/>
      <c r="U71" s="742"/>
      <c r="V71" s="204"/>
      <c r="W71" s="736"/>
      <c r="X71" s="737"/>
    </row>
    <row r="72" spans="1:24" s="1" customFormat="1" ht="15" customHeight="1" x14ac:dyDescent="0.2">
      <c r="A72" s="200" t="s">
        <v>63</v>
      </c>
      <c r="B72" s="210">
        <v>28</v>
      </c>
      <c r="C72" s="191">
        <f>B72/C$53</f>
        <v>1</v>
      </c>
      <c r="D72" s="210">
        <f>26+2</f>
        <v>28</v>
      </c>
      <c r="E72" s="192">
        <f>D72/E$53</f>
        <v>1</v>
      </c>
      <c r="F72" s="211">
        <v>27</v>
      </c>
      <c r="G72" s="192">
        <f>F72/G$53</f>
        <v>0.9642857142857143</v>
      </c>
      <c r="H72" s="211">
        <v>27</v>
      </c>
      <c r="I72" s="192">
        <f>H72/I$53</f>
        <v>0.9642857142857143</v>
      </c>
      <c r="J72" s="211">
        <f>25+1</f>
        <v>26</v>
      </c>
      <c r="K72" s="192">
        <f>J72/K$53</f>
        <v>0.9285714285714286</v>
      </c>
      <c r="L72" s="211">
        <v>32</v>
      </c>
      <c r="M72" s="192">
        <f>L72/M$53</f>
        <v>0.96969696969696972</v>
      </c>
      <c r="N72" s="211">
        <f>2+28</f>
        <v>30</v>
      </c>
      <c r="O72" s="192">
        <f>N72/O$53</f>
        <v>0.967741935483871</v>
      </c>
      <c r="P72" s="211">
        <v>32</v>
      </c>
      <c r="Q72" s="192">
        <f>P72/Q$53</f>
        <v>0.96969696969696972</v>
      </c>
      <c r="R72" s="211">
        <v>32</v>
      </c>
      <c r="S72" s="192">
        <f>R72/S$53</f>
        <v>0.96969696969696972</v>
      </c>
      <c r="T72" s="211"/>
      <c r="U72" s="203" t="e">
        <f>T72/U$53</f>
        <v>#DIV/0!</v>
      </c>
      <c r="V72" s="204"/>
      <c r="W72" s="205">
        <f t="shared" si="19"/>
        <v>31.5</v>
      </c>
      <c r="X72" s="206" t="e">
        <f t="shared" si="19"/>
        <v>#DIV/0!</v>
      </c>
    </row>
    <row r="73" spans="1:24" s="1" customFormat="1" ht="15" customHeight="1" x14ac:dyDescent="0.2">
      <c r="A73" s="200" t="s">
        <v>64</v>
      </c>
      <c r="B73" s="210">
        <v>0</v>
      </c>
      <c r="C73" s="191">
        <f>B73/C$53</f>
        <v>0</v>
      </c>
      <c r="D73" s="210">
        <v>0</v>
      </c>
      <c r="E73" s="192">
        <f>D73/E$53</f>
        <v>0</v>
      </c>
      <c r="F73" s="211">
        <v>1</v>
      </c>
      <c r="G73" s="192">
        <f>F73/G$53</f>
        <v>3.5714285714285712E-2</v>
      </c>
      <c r="H73" s="211">
        <v>1</v>
      </c>
      <c r="I73" s="192">
        <f>H73/I$53</f>
        <v>3.5714285714285712E-2</v>
      </c>
      <c r="J73" s="211">
        <f>1+0</f>
        <v>1</v>
      </c>
      <c r="K73" s="192">
        <f>J73/K$53</f>
        <v>3.5714285714285712E-2</v>
      </c>
      <c r="L73" s="211">
        <v>0</v>
      </c>
      <c r="M73" s="192">
        <f>L73/M$53</f>
        <v>0</v>
      </c>
      <c r="N73" s="211">
        <v>1</v>
      </c>
      <c r="O73" s="192">
        <f>N73/O$53</f>
        <v>3.2258064516129031E-2</v>
      </c>
      <c r="P73" s="211">
        <v>0</v>
      </c>
      <c r="Q73" s="192">
        <f>P73/Q$53</f>
        <v>0</v>
      </c>
      <c r="R73" s="211">
        <v>1</v>
      </c>
      <c r="S73" s="192">
        <f>R73/S$53</f>
        <v>3.0303030303030304E-2</v>
      </c>
      <c r="T73" s="211"/>
      <c r="U73" s="203" t="e">
        <f>T73/U$53</f>
        <v>#DIV/0!</v>
      </c>
      <c r="V73" s="204"/>
      <c r="W73" s="205">
        <f t="shared" si="19"/>
        <v>0.5</v>
      </c>
      <c r="X73" s="206" t="e">
        <f t="shared" si="19"/>
        <v>#DIV/0!</v>
      </c>
    </row>
    <row r="74" spans="1:24" s="1" customFormat="1" ht="15" customHeight="1" x14ac:dyDescent="0.2">
      <c r="A74" s="200" t="s">
        <v>65</v>
      </c>
      <c r="B74" s="210">
        <v>0</v>
      </c>
      <c r="C74" s="191">
        <f>B74/C$53</f>
        <v>0</v>
      </c>
      <c r="D74" s="210">
        <v>0</v>
      </c>
      <c r="E74" s="192">
        <f>D74/E$53</f>
        <v>0</v>
      </c>
      <c r="F74" s="211">
        <v>0</v>
      </c>
      <c r="G74" s="192">
        <f>F74/G$53</f>
        <v>0</v>
      </c>
      <c r="H74" s="211">
        <v>0</v>
      </c>
      <c r="I74" s="192">
        <f>H74/I$53</f>
        <v>0</v>
      </c>
      <c r="J74" s="211">
        <f>1</f>
        <v>1</v>
      </c>
      <c r="K74" s="192">
        <f>J74/K$53</f>
        <v>3.5714285714285712E-2</v>
      </c>
      <c r="L74" s="211">
        <v>1</v>
      </c>
      <c r="M74" s="192">
        <f>L74/M$53</f>
        <v>3.0303030303030304E-2</v>
      </c>
      <c r="N74" s="211">
        <v>0</v>
      </c>
      <c r="O74" s="192">
        <f>N74/O$53</f>
        <v>0</v>
      </c>
      <c r="P74" s="211">
        <v>1</v>
      </c>
      <c r="Q74" s="192">
        <f>P74/Q$53</f>
        <v>3.0303030303030304E-2</v>
      </c>
      <c r="R74" s="211">
        <v>0</v>
      </c>
      <c r="S74" s="192">
        <f>R74/S$53</f>
        <v>0</v>
      </c>
      <c r="T74" s="211"/>
      <c r="U74" s="203" t="e">
        <f>T74/U$53</f>
        <v>#DIV/0!</v>
      </c>
      <c r="V74" s="195"/>
      <c r="W74" s="205">
        <f t="shared" si="19"/>
        <v>0.5</v>
      </c>
      <c r="X74" s="206" t="e">
        <f t="shared" si="19"/>
        <v>#DIV/0!</v>
      </c>
    </row>
    <row r="75" spans="1:24" s="1" customFormat="1" ht="15" customHeight="1" thickBot="1" x14ac:dyDescent="0.25">
      <c r="A75" s="212" t="s">
        <v>66</v>
      </c>
      <c r="B75" s="246">
        <v>0</v>
      </c>
      <c r="C75" s="214">
        <f>B75/C$53</f>
        <v>0</v>
      </c>
      <c r="D75" s="246">
        <v>0</v>
      </c>
      <c r="E75" s="215">
        <f>D75/E$53</f>
        <v>0</v>
      </c>
      <c r="F75" s="217">
        <v>0</v>
      </c>
      <c r="G75" s="215">
        <f>F75/G$53</f>
        <v>0</v>
      </c>
      <c r="H75" s="217">
        <v>0</v>
      </c>
      <c r="I75" s="215">
        <f>H75/I$53</f>
        <v>0</v>
      </c>
      <c r="J75" s="217">
        <f>0</f>
        <v>0</v>
      </c>
      <c r="K75" s="215">
        <f>J75/K$53</f>
        <v>0</v>
      </c>
      <c r="L75" s="217">
        <v>0</v>
      </c>
      <c r="M75" s="215">
        <f>L75/M$53</f>
        <v>0</v>
      </c>
      <c r="N75" s="217">
        <v>0</v>
      </c>
      <c r="O75" s="215">
        <f>N75/O$53</f>
        <v>0</v>
      </c>
      <c r="P75" s="217">
        <v>0</v>
      </c>
      <c r="Q75" s="215">
        <f>P75/Q$53</f>
        <v>0</v>
      </c>
      <c r="R75" s="217">
        <v>0</v>
      </c>
      <c r="S75" s="215">
        <f>R75/S$53</f>
        <v>0</v>
      </c>
      <c r="T75" s="217"/>
      <c r="U75" s="218" t="e">
        <f>T75/U$53</f>
        <v>#DIV/0!</v>
      </c>
      <c r="V75" s="195"/>
      <c r="W75" s="219">
        <f t="shared" si="19"/>
        <v>0</v>
      </c>
      <c r="X75" s="220" t="e">
        <f t="shared" si="19"/>
        <v>#DIV/0!</v>
      </c>
    </row>
    <row r="76" spans="1:24" ht="13.5" thickTop="1" x14ac:dyDescent="0.2">
      <c r="A76" s="743" t="s">
        <v>248</v>
      </c>
    </row>
    <row r="77" spans="1:24" x14ac:dyDescent="0.2">
      <c r="A77" s="1"/>
      <c r="H77" s="65" t="s">
        <v>19</v>
      </c>
      <c r="J77" s="65" t="s">
        <v>19</v>
      </c>
      <c r="L77" s="65" t="s">
        <v>19</v>
      </c>
      <c r="N77" s="65" t="s">
        <v>19</v>
      </c>
      <c r="P77" s="65" t="s">
        <v>19</v>
      </c>
      <c r="R77" s="65" t="s">
        <v>19</v>
      </c>
      <c r="T77" s="65"/>
    </row>
    <row r="78" spans="1:24" x14ac:dyDescent="0.2">
      <c r="A78" s="1"/>
    </row>
    <row r="79" spans="1:24" x14ac:dyDescent="0.2">
      <c r="A79" s="1"/>
    </row>
    <row r="80" spans="1:24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x14ac:dyDescent="0.2">
      <c r="A84" s="1"/>
    </row>
    <row r="85" spans="1:1" x14ac:dyDescent="0.2">
      <c r="A85" s="1"/>
    </row>
    <row r="86" spans="1:1" x14ac:dyDescent="0.2">
      <c r="A86" s="1"/>
    </row>
    <row r="87" spans="1:1" x14ac:dyDescent="0.2">
      <c r="A87" s="1"/>
    </row>
    <row r="88" spans="1:1" x14ac:dyDescent="0.2">
      <c r="A88" s="1"/>
    </row>
    <row r="89" spans="1:1" x14ac:dyDescent="0.2">
      <c r="A89" s="1"/>
    </row>
    <row r="90" spans="1:1" x14ac:dyDescent="0.2">
      <c r="A90" s="1"/>
    </row>
    <row r="91" spans="1:1" x14ac:dyDescent="0.2">
      <c r="A91" s="1"/>
    </row>
    <row r="92" spans="1:1" x14ac:dyDescent="0.2">
      <c r="A92" s="1"/>
    </row>
    <row r="93" spans="1:1" x14ac:dyDescent="0.2">
      <c r="A93" s="1"/>
    </row>
    <row r="94" spans="1:1" x14ac:dyDescent="0.2">
      <c r="A94" s="1"/>
    </row>
    <row r="95" spans="1:1" x14ac:dyDescent="0.2">
      <c r="A95" s="1"/>
    </row>
    <row r="96" spans="1:1" x14ac:dyDescent="0.2">
      <c r="A96" s="1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x14ac:dyDescent="0.2">
      <c r="A100" s="1"/>
    </row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x14ac:dyDescent="0.2">
      <c r="A107" s="1"/>
    </row>
    <row r="108" spans="1:1" x14ac:dyDescent="0.2">
      <c r="A108" s="1"/>
    </row>
    <row r="109" spans="1:1" x14ac:dyDescent="0.2">
      <c r="A109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x14ac:dyDescent="0.2">
      <c r="A120" s="1"/>
    </row>
    <row r="121" spans="1:1" x14ac:dyDescent="0.2">
      <c r="A121" s="1"/>
    </row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x14ac:dyDescent="0.2">
      <c r="A128" s="1"/>
    </row>
    <row r="129" spans="1:1" x14ac:dyDescent="0.2">
      <c r="A129" s="1"/>
    </row>
    <row r="130" spans="1:1" x14ac:dyDescent="0.2">
      <c r="A130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x14ac:dyDescent="0.2">
      <c r="A152" s="1"/>
    </row>
    <row r="153" spans="1:1" x14ac:dyDescent="0.2">
      <c r="A153" s="1"/>
    </row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  <row r="177" spans="1:1" x14ac:dyDescent="0.2">
      <c r="A177" s="1"/>
    </row>
    <row r="178" spans="1:1" x14ac:dyDescent="0.2">
      <c r="A178" s="1"/>
    </row>
    <row r="179" spans="1:1" x14ac:dyDescent="0.2">
      <c r="A179" s="1"/>
    </row>
    <row r="180" spans="1:1" x14ac:dyDescent="0.2">
      <c r="A180" s="1"/>
    </row>
    <row r="181" spans="1:1" x14ac:dyDescent="0.2">
      <c r="A181" s="1"/>
    </row>
    <row r="182" spans="1:1" x14ac:dyDescent="0.2">
      <c r="A182" s="1"/>
    </row>
    <row r="183" spans="1:1" x14ac:dyDescent="0.2">
      <c r="A183" s="1"/>
    </row>
    <row r="184" spans="1:1" x14ac:dyDescent="0.2">
      <c r="A184" s="1"/>
    </row>
    <row r="185" spans="1:1" x14ac:dyDescent="0.2">
      <c r="A185" s="1"/>
    </row>
    <row r="186" spans="1:1" x14ac:dyDescent="0.2">
      <c r="A186" s="1"/>
    </row>
    <row r="187" spans="1:1" x14ac:dyDescent="0.2">
      <c r="A187" s="1"/>
    </row>
    <row r="188" spans="1:1" x14ac:dyDescent="0.2">
      <c r="A188" s="1"/>
    </row>
    <row r="189" spans="1:1" x14ac:dyDescent="0.2">
      <c r="A189" s="1"/>
    </row>
    <row r="190" spans="1:1" x14ac:dyDescent="0.2">
      <c r="A190" s="1"/>
    </row>
    <row r="191" spans="1:1" x14ac:dyDescent="0.2">
      <c r="A191" s="1"/>
    </row>
    <row r="192" spans="1:1" x14ac:dyDescent="0.2">
      <c r="A192" s="1"/>
    </row>
    <row r="193" spans="1:1" x14ac:dyDescent="0.2">
      <c r="A193" s="1"/>
    </row>
    <row r="194" spans="1:1" x14ac:dyDescent="0.2">
      <c r="A194" s="1"/>
    </row>
    <row r="195" spans="1:1" x14ac:dyDescent="0.2">
      <c r="A195" s="1"/>
    </row>
    <row r="196" spans="1:1" x14ac:dyDescent="0.2">
      <c r="A196" s="1"/>
    </row>
    <row r="197" spans="1:1" x14ac:dyDescent="0.2">
      <c r="A197" s="1"/>
    </row>
    <row r="198" spans="1:1" x14ac:dyDescent="0.2">
      <c r="A198" s="1"/>
    </row>
    <row r="199" spans="1:1" x14ac:dyDescent="0.2">
      <c r="A199" s="1"/>
    </row>
    <row r="200" spans="1:1" x14ac:dyDescent="0.2">
      <c r="A200" s="1"/>
    </row>
    <row r="201" spans="1:1" x14ac:dyDescent="0.2">
      <c r="A201" s="1"/>
    </row>
    <row r="202" spans="1:1" x14ac:dyDescent="0.2">
      <c r="A202" s="1"/>
    </row>
    <row r="203" spans="1:1" x14ac:dyDescent="0.2">
      <c r="A203" s="1"/>
    </row>
    <row r="204" spans="1:1" x14ac:dyDescent="0.2">
      <c r="A204" s="1"/>
    </row>
    <row r="205" spans="1:1" x14ac:dyDescent="0.2">
      <c r="A205" s="1"/>
    </row>
    <row r="206" spans="1:1" x14ac:dyDescent="0.2">
      <c r="A206" s="1"/>
    </row>
    <row r="207" spans="1:1" x14ac:dyDescent="0.2">
      <c r="A207" s="1"/>
    </row>
    <row r="208" spans="1:1" x14ac:dyDescent="0.2">
      <c r="A208" s="1"/>
    </row>
    <row r="209" spans="1:1" x14ac:dyDescent="0.2">
      <c r="A209" s="1"/>
    </row>
    <row r="210" spans="1:1" x14ac:dyDescent="0.2">
      <c r="A210" s="1"/>
    </row>
    <row r="211" spans="1:1" x14ac:dyDescent="0.2">
      <c r="A211" s="1"/>
    </row>
    <row r="212" spans="1:1" x14ac:dyDescent="0.2">
      <c r="A212" s="1"/>
    </row>
    <row r="213" spans="1:1" x14ac:dyDescent="0.2">
      <c r="A213" s="1"/>
    </row>
    <row r="214" spans="1:1" x14ac:dyDescent="0.2">
      <c r="A214" s="1"/>
    </row>
    <row r="215" spans="1:1" x14ac:dyDescent="0.2">
      <c r="A215" s="1"/>
    </row>
    <row r="216" spans="1:1" x14ac:dyDescent="0.2">
      <c r="A216" s="1"/>
    </row>
    <row r="217" spans="1:1" x14ac:dyDescent="0.2">
      <c r="A217" s="1"/>
    </row>
    <row r="218" spans="1:1" x14ac:dyDescent="0.2">
      <c r="A218" s="1"/>
    </row>
    <row r="219" spans="1:1" x14ac:dyDescent="0.2">
      <c r="A219" s="1"/>
    </row>
    <row r="220" spans="1:1" x14ac:dyDescent="0.2">
      <c r="A220" s="1"/>
    </row>
    <row r="221" spans="1:1" x14ac:dyDescent="0.2">
      <c r="A221" s="1"/>
    </row>
    <row r="222" spans="1:1" x14ac:dyDescent="0.2">
      <c r="A222" s="1"/>
    </row>
    <row r="223" spans="1:1" x14ac:dyDescent="0.2">
      <c r="A223" s="1"/>
    </row>
    <row r="224" spans="1:1" x14ac:dyDescent="0.2">
      <c r="A224" s="1"/>
    </row>
    <row r="225" spans="1:1" x14ac:dyDescent="0.2">
      <c r="A225" s="1"/>
    </row>
    <row r="226" spans="1:1" x14ac:dyDescent="0.2">
      <c r="A226" s="1"/>
    </row>
    <row r="227" spans="1:1" x14ac:dyDescent="0.2">
      <c r="A227" s="1"/>
    </row>
    <row r="228" spans="1:1" x14ac:dyDescent="0.2">
      <c r="A228" s="1"/>
    </row>
    <row r="229" spans="1:1" x14ac:dyDescent="0.2">
      <c r="A229" s="1"/>
    </row>
    <row r="230" spans="1:1" x14ac:dyDescent="0.2">
      <c r="A230" s="1"/>
    </row>
    <row r="231" spans="1:1" x14ac:dyDescent="0.2">
      <c r="A231" s="1"/>
    </row>
    <row r="232" spans="1:1" x14ac:dyDescent="0.2">
      <c r="A232" s="1"/>
    </row>
    <row r="233" spans="1:1" x14ac:dyDescent="0.2">
      <c r="A233" s="1"/>
    </row>
    <row r="234" spans="1:1" x14ac:dyDescent="0.2">
      <c r="A234" s="1"/>
    </row>
    <row r="235" spans="1:1" x14ac:dyDescent="0.2">
      <c r="A235" s="1"/>
    </row>
    <row r="236" spans="1:1" x14ac:dyDescent="0.2">
      <c r="A236" s="1"/>
    </row>
    <row r="237" spans="1:1" x14ac:dyDescent="0.2">
      <c r="A237" s="1"/>
    </row>
    <row r="238" spans="1:1" x14ac:dyDescent="0.2">
      <c r="A238" s="1"/>
    </row>
    <row r="239" spans="1:1" x14ac:dyDescent="0.2">
      <c r="A239" s="1"/>
    </row>
    <row r="240" spans="1:1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6" spans="1:1" x14ac:dyDescent="0.2">
      <c r="A296" s="1"/>
    </row>
    <row r="297" spans="1:1" x14ac:dyDescent="0.2">
      <c r="A297" s="1"/>
    </row>
    <row r="298" spans="1:1" x14ac:dyDescent="0.2">
      <c r="A298" s="1"/>
    </row>
    <row r="299" spans="1:1" x14ac:dyDescent="0.2">
      <c r="A299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  <row r="303" spans="1:1" x14ac:dyDescent="0.2">
      <c r="A303" s="1"/>
    </row>
    <row r="304" spans="1:1" x14ac:dyDescent="0.2">
      <c r="A304" s="1"/>
    </row>
    <row r="305" spans="1:1" x14ac:dyDescent="0.2">
      <c r="A305" s="1"/>
    </row>
    <row r="306" spans="1:1" x14ac:dyDescent="0.2">
      <c r="A306" s="1"/>
    </row>
    <row r="307" spans="1:1" x14ac:dyDescent="0.2">
      <c r="A307" s="1"/>
    </row>
    <row r="308" spans="1:1" x14ac:dyDescent="0.2">
      <c r="A308" s="1"/>
    </row>
    <row r="309" spans="1:1" x14ac:dyDescent="0.2">
      <c r="A309" s="1"/>
    </row>
    <row r="310" spans="1:1" x14ac:dyDescent="0.2">
      <c r="A310" s="1"/>
    </row>
    <row r="311" spans="1:1" x14ac:dyDescent="0.2">
      <c r="A311" s="1"/>
    </row>
    <row r="312" spans="1:1" x14ac:dyDescent="0.2">
      <c r="A312" s="1"/>
    </row>
    <row r="313" spans="1:1" x14ac:dyDescent="0.2">
      <c r="A313" s="1"/>
    </row>
    <row r="314" spans="1:1" x14ac:dyDescent="0.2">
      <c r="A314" s="1"/>
    </row>
    <row r="315" spans="1:1" x14ac:dyDescent="0.2">
      <c r="A315" s="1"/>
    </row>
    <row r="316" spans="1:1" x14ac:dyDescent="0.2">
      <c r="A316" s="1"/>
    </row>
    <row r="317" spans="1:1" x14ac:dyDescent="0.2">
      <c r="A317" s="1"/>
    </row>
    <row r="318" spans="1:1" x14ac:dyDescent="0.2">
      <c r="A318" s="1"/>
    </row>
    <row r="319" spans="1:1" x14ac:dyDescent="0.2">
      <c r="A319" s="1"/>
    </row>
    <row r="320" spans="1:1" x14ac:dyDescent="0.2">
      <c r="A320" s="1"/>
    </row>
    <row r="321" spans="1:1" x14ac:dyDescent="0.2">
      <c r="A321" s="1"/>
    </row>
    <row r="322" spans="1:1" x14ac:dyDescent="0.2">
      <c r="A322" s="1"/>
    </row>
    <row r="323" spans="1:1" x14ac:dyDescent="0.2">
      <c r="A323" s="1"/>
    </row>
    <row r="324" spans="1:1" x14ac:dyDescent="0.2">
      <c r="A324" s="1"/>
    </row>
    <row r="325" spans="1:1" x14ac:dyDescent="0.2">
      <c r="A325" s="1"/>
    </row>
    <row r="326" spans="1:1" x14ac:dyDescent="0.2">
      <c r="A326" s="1"/>
    </row>
    <row r="327" spans="1:1" x14ac:dyDescent="0.2">
      <c r="A327" s="1"/>
    </row>
    <row r="328" spans="1:1" x14ac:dyDescent="0.2">
      <c r="A328" s="1"/>
    </row>
    <row r="329" spans="1:1" x14ac:dyDescent="0.2">
      <c r="A329" s="1"/>
    </row>
    <row r="330" spans="1:1" x14ac:dyDescent="0.2">
      <c r="A330" s="1"/>
    </row>
    <row r="331" spans="1:1" x14ac:dyDescent="0.2">
      <c r="A331" s="1"/>
    </row>
    <row r="332" spans="1:1" x14ac:dyDescent="0.2">
      <c r="A332" s="1"/>
    </row>
    <row r="333" spans="1:1" x14ac:dyDescent="0.2">
      <c r="A333" s="1"/>
    </row>
    <row r="334" spans="1:1" x14ac:dyDescent="0.2">
      <c r="A334" s="1"/>
    </row>
    <row r="335" spans="1:1" x14ac:dyDescent="0.2">
      <c r="A335" s="1"/>
    </row>
    <row r="336" spans="1:1" x14ac:dyDescent="0.2">
      <c r="A336" s="1"/>
    </row>
    <row r="337" spans="1:1" x14ac:dyDescent="0.2">
      <c r="A337" s="1"/>
    </row>
    <row r="338" spans="1:1" x14ac:dyDescent="0.2">
      <c r="A338" s="1"/>
    </row>
    <row r="339" spans="1:1" x14ac:dyDescent="0.2">
      <c r="A339" s="1"/>
    </row>
    <row r="340" spans="1:1" x14ac:dyDescent="0.2">
      <c r="A340" s="1"/>
    </row>
    <row r="341" spans="1:1" x14ac:dyDescent="0.2">
      <c r="A341" s="1"/>
    </row>
    <row r="342" spans="1:1" x14ac:dyDescent="0.2">
      <c r="A342" s="1"/>
    </row>
    <row r="343" spans="1:1" x14ac:dyDescent="0.2">
      <c r="A343" s="1"/>
    </row>
    <row r="344" spans="1:1" x14ac:dyDescent="0.2">
      <c r="A344" s="1"/>
    </row>
    <row r="345" spans="1:1" x14ac:dyDescent="0.2">
      <c r="A345" s="1"/>
    </row>
    <row r="346" spans="1:1" x14ac:dyDescent="0.2">
      <c r="A346" s="1"/>
    </row>
    <row r="347" spans="1:1" x14ac:dyDescent="0.2">
      <c r="A347" s="1"/>
    </row>
    <row r="348" spans="1:1" x14ac:dyDescent="0.2">
      <c r="A348" s="1"/>
    </row>
    <row r="349" spans="1:1" x14ac:dyDescent="0.2">
      <c r="A349" s="1"/>
    </row>
    <row r="350" spans="1:1" x14ac:dyDescent="0.2">
      <c r="A350" s="1"/>
    </row>
    <row r="351" spans="1:1" x14ac:dyDescent="0.2">
      <c r="A351" s="1"/>
    </row>
    <row r="352" spans="1:1" x14ac:dyDescent="0.2">
      <c r="A352" s="1"/>
    </row>
    <row r="353" spans="1:1" x14ac:dyDescent="0.2">
      <c r="A353" s="1"/>
    </row>
    <row r="354" spans="1:1" x14ac:dyDescent="0.2">
      <c r="A354" s="1"/>
    </row>
    <row r="355" spans="1:1" x14ac:dyDescent="0.2">
      <c r="A355" s="1"/>
    </row>
    <row r="356" spans="1:1" x14ac:dyDescent="0.2">
      <c r="A356" s="1"/>
    </row>
    <row r="357" spans="1:1" x14ac:dyDescent="0.2">
      <c r="A357" s="1"/>
    </row>
    <row r="358" spans="1:1" x14ac:dyDescent="0.2">
      <c r="A358" s="1"/>
    </row>
    <row r="359" spans="1:1" x14ac:dyDescent="0.2">
      <c r="A359" s="1"/>
    </row>
    <row r="360" spans="1:1" x14ac:dyDescent="0.2">
      <c r="A360" s="1"/>
    </row>
    <row r="361" spans="1:1" x14ac:dyDescent="0.2">
      <c r="A361" s="1"/>
    </row>
    <row r="362" spans="1:1" x14ac:dyDescent="0.2">
      <c r="A362" s="1"/>
    </row>
    <row r="363" spans="1:1" x14ac:dyDescent="0.2">
      <c r="A363" s="1"/>
    </row>
    <row r="364" spans="1:1" x14ac:dyDescent="0.2">
      <c r="A364" s="1"/>
    </row>
    <row r="365" spans="1:1" x14ac:dyDescent="0.2">
      <c r="A365" s="1"/>
    </row>
    <row r="366" spans="1:1" x14ac:dyDescent="0.2">
      <c r="A366" s="1"/>
    </row>
    <row r="367" spans="1:1" x14ac:dyDescent="0.2">
      <c r="A367" s="1"/>
    </row>
    <row r="368" spans="1:1" x14ac:dyDescent="0.2">
      <c r="A368" s="1"/>
    </row>
    <row r="369" spans="1:1" x14ac:dyDescent="0.2">
      <c r="A369" s="1"/>
    </row>
    <row r="370" spans="1:1" x14ac:dyDescent="0.2">
      <c r="A370" s="1"/>
    </row>
    <row r="371" spans="1:1" x14ac:dyDescent="0.2">
      <c r="A371" s="1"/>
    </row>
    <row r="372" spans="1:1" x14ac:dyDescent="0.2">
      <c r="A372" s="1"/>
    </row>
    <row r="373" spans="1:1" x14ac:dyDescent="0.2">
      <c r="A373" s="1"/>
    </row>
    <row r="374" spans="1:1" x14ac:dyDescent="0.2">
      <c r="A374" s="1"/>
    </row>
    <row r="375" spans="1:1" x14ac:dyDescent="0.2">
      <c r="A375" s="1"/>
    </row>
    <row r="376" spans="1:1" x14ac:dyDescent="0.2">
      <c r="A376" s="1"/>
    </row>
    <row r="377" spans="1:1" x14ac:dyDescent="0.2">
      <c r="A377" s="1"/>
    </row>
    <row r="378" spans="1:1" x14ac:dyDescent="0.2">
      <c r="A378" s="1"/>
    </row>
    <row r="379" spans="1:1" x14ac:dyDescent="0.2">
      <c r="A379" s="1"/>
    </row>
    <row r="380" spans="1:1" x14ac:dyDescent="0.2">
      <c r="A380" s="1"/>
    </row>
    <row r="381" spans="1:1" x14ac:dyDescent="0.2">
      <c r="A381" s="1"/>
    </row>
    <row r="382" spans="1:1" x14ac:dyDescent="0.2">
      <c r="A382" s="1"/>
    </row>
    <row r="383" spans="1:1" x14ac:dyDescent="0.2">
      <c r="A383" s="1"/>
    </row>
    <row r="384" spans="1:1" x14ac:dyDescent="0.2">
      <c r="A384" s="1"/>
    </row>
    <row r="385" spans="1:1" x14ac:dyDescent="0.2">
      <c r="A385" s="1"/>
    </row>
    <row r="386" spans="1:1" x14ac:dyDescent="0.2">
      <c r="A386" s="1"/>
    </row>
    <row r="387" spans="1:1" x14ac:dyDescent="0.2">
      <c r="A387" s="1"/>
    </row>
    <row r="388" spans="1:1" x14ac:dyDescent="0.2">
      <c r="A388" s="1"/>
    </row>
    <row r="389" spans="1:1" x14ac:dyDescent="0.2">
      <c r="A389" s="1"/>
    </row>
    <row r="390" spans="1:1" x14ac:dyDescent="0.2">
      <c r="A390" s="1"/>
    </row>
    <row r="391" spans="1:1" x14ac:dyDescent="0.2">
      <c r="A391" s="1"/>
    </row>
    <row r="392" spans="1:1" x14ac:dyDescent="0.2">
      <c r="A392" s="1"/>
    </row>
    <row r="393" spans="1:1" x14ac:dyDescent="0.2">
      <c r="A393" s="1"/>
    </row>
    <row r="394" spans="1:1" x14ac:dyDescent="0.2">
      <c r="A394" s="1"/>
    </row>
    <row r="395" spans="1:1" x14ac:dyDescent="0.2">
      <c r="A395" s="1"/>
    </row>
    <row r="396" spans="1:1" x14ac:dyDescent="0.2">
      <c r="A396" s="1"/>
    </row>
    <row r="397" spans="1:1" x14ac:dyDescent="0.2">
      <c r="A397" s="1"/>
    </row>
    <row r="398" spans="1:1" x14ac:dyDescent="0.2">
      <c r="A398" s="1"/>
    </row>
    <row r="399" spans="1:1" x14ac:dyDescent="0.2">
      <c r="A399" s="1"/>
    </row>
    <row r="400" spans="1:1" x14ac:dyDescent="0.2">
      <c r="A400" s="1"/>
    </row>
    <row r="401" spans="1:1" x14ac:dyDescent="0.2">
      <c r="A401" s="1"/>
    </row>
    <row r="402" spans="1:1" x14ac:dyDescent="0.2">
      <c r="A402" s="1"/>
    </row>
    <row r="403" spans="1:1" x14ac:dyDescent="0.2">
      <c r="A403" s="1"/>
    </row>
    <row r="404" spans="1:1" x14ac:dyDescent="0.2">
      <c r="A404" s="1"/>
    </row>
    <row r="405" spans="1:1" x14ac:dyDescent="0.2">
      <c r="A405" s="1"/>
    </row>
    <row r="406" spans="1:1" x14ac:dyDescent="0.2">
      <c r="A406" s="1"/>
    </row>
    <row r="407" spans="1:1" x14ac:dyDescent="0.2">
      <c r="A407" s="1"/>
    </row>
    <row r="408" spans="1:1" x14ac:dyDescent="0.2">
      <c r="A408" s="1"/>
    </row>
    <row r="409" spans="1:1" x14ac:dyDescent="0.2">
      <c r="A409" s="1"/>
    </row>
    <row r="410" spans="1:1" x14ac:dyDescent="0.2">
      <c r="A410" s="1"/>
    </row>
    <row r="411" spans="1:1" x14ac:dyDescent="0.2">
      <c r="A411" s="1"/>
    </row>
    <row r="412" spans="1:1" x14ac:dyDescent="0.2">
      <c r="A412" s="1"/>
    </row>
    <row r="413" spans="1:1" x14ac:dyDescent="0.2">
      <c r="A413" s="1"/>
    </row>
    <row r="414" spans="1:1" x14ac:dyDescent="0.2">
      <c r="A414" s="1"/>
    </row>
    <row r="415" spans="1:1" x14ac:dyDescent="0.2">
      <c r="A415" s="1"/>
    </row>
    <row r="416" spans="1:1" x14ac:dyDescent="0.2">
      <c r="A416" s="1"/>
    </row>
    <row r="417" spans="1:1" x14ac:dyDescent="0.2">
      <c r="A417" s="1"/>
    </row>
    <row r="418" spans="1:1" x14ac:dyDescent="0.2">
      <c r="A418" s="1"/>
    </row>
    <row r="419" spans="1:1" x14ac:dyDescent="0.2">
      <c r="A419" s="1"/>
    </row>
    <row r="420" spans="1:1" x14ac:dyDescent="0.2">
      <c r="A420" s="1"/>
    </row>
    <row r="421" spans="1:1" x14ac:dyDescent="0.2">
      <c r="A421" s="1"/>
    </row>
    <row r="422" spans="1:1" x14ac:dyDescent="0.2">
      <c r="A422" s="1"/>
    </row>
  </sheetData>
  <mergeCells count="77">
    <mergeCell ref="L18:M18"/>
    <mergeCell ref="B18:C18"/>
    <mergeCell ref="D18:E18"/>
    <mergeCell ref="F18:G18"/>
    <mergeCell ref="H18:I18"/>
    <mergeCell ref="J18:K18"/>
    <mergeCell ref="N18:O18"/>
    <mergeCell ref="P23:Q23"/>
    <mergeCell ref="R23:S23"/>
    <mergeCell ref="W23:X23"/>
    <mergeCell ref="R18:S18"/>
    <mergeCell ref="W18:X18"/>
    <mergeCell ref="P18:Q18"/>
    <mergeCell ref="T18:U18"/>
    <mergeCell ref="T23:U23"/>
    <mergeCell ref="B25:C25"/>
    <mergeCell ref="D25:E25"/>
    <mergeCell ref="J23:K23"/>
    <mergeCell ref="L23:M23"/>
    <mergeCell ref="N23:O23"/>
    <mergeCell ref="B23:C23"/>
    <mergeCell ref="D23:E23"/>
    <mergeCell ref="F23:G23"/>
    <mergeCell ref="H23:I23"/>
    <mergeCell ref="F25:G25"/>
    <mergeCell ref="H25:I25"/>
    <mergeCell ref="J25:K25"/>
    <mergeCell ref="L25:M25"/>
    <mergeCell ref="N25:O25"/>
    <mergeCell ref="P32:Q32"/>
    <mergeCell ref="R32:S32"/>
    <mergeCell ref="W32:X32"/>
    <mergeCell ref="R25:S25"/>
    <mergeCell ref="W25:X25"/>
    <mergeCell ref="P25:Q25"/>
    <mergeCell ref="T25:U25"/>
    <mergeCell ref="T32:U32"/>
    <mergeCell ref="J32:K32"/>
    <mergeCell ref="L32:M32"/>
    <mergeCell ref="N32:O32"/>
    <mergeCell ref="B32:C32"/>
    <mergeCell ref="D32:E32"/>
    <mergeCell ref="F32:G32"/>
    <mergeCell ref="H32:I32"/>
    <mergeCell ref="R35:S35"/>
    <mergeCell ref="W35:X35"/>
    <mergeCell ref="P35:Q35"/>
    <mergeCell ref="B35:C35"/>
    <mergeCell ref="D35:E35"/>
    <mergeCell ref="F35:G35"/>
    <mergeCell ref="H35:I35"/>
    <mergeCell ref="J35:K35"/>
    <mergeCell ref="L35:M35"/>
    <mergeCell ref="N35:O35"/>
    <mergeCell ref="T35:U35"/>
    <mergeCell ref="B41:C41"/>
    <mergeCell ref="D41:E41"/>
    <mergeCell ref="F41:G41"/>
    <mergeCell ref="H41:I41"/>
    <mergeCell ref="J41:K41"/>
    <mergeCell ref="L41:M41"/>
    <mergeCell ref="N41:O41"/>
    <mergeCell ref="P41:Q41"/>
    <mergeCell ref="R41:S41"/>
    <mergeCell ref="W41:X41"/>
    <mergeCell ref="T41:U41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W9:X9"/>
    <mergeCell ref="T9:U9"/>
  </mergeCells>
  <pageMargins left="0.5" right="0.5" top="0.5" bottom="0.5" header="0.25" footer="0.25"/>
  <pageSetup scale="70" orientation="landscape" r:id="rId1"/>
  <headerFooter alignWithMargins="0">
    <oddFooter>&amp;L&amp;9Prepared by Planning and Analysis&amp;C&amp;9&amp;P of &amp;N&amp;R&amp;9Updated &amp;D</oddFooter>
  </headerFooter>
  <rowBreaks count="1" manualBreakCount="1">
    <brk id="39" max="16383" man="1"/>
  </rowBreaks>
  <colBreaks count="1" manualBreakCount="1">
    <brk id="21" max="1048575" man="1"/>
  </colBreaks>
  <ignoredErrors>
    <ignoredError sqref="D56:N61 D63:N78 H62:N6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418"/>
  <sheetViews>
    <sheetView view="pageBreakPreview" zoomScale="85" zoomScaleNormal="85" zoomScaleSheetLayoutView="85" workbookViewId="0">
      <pane xSplit="1" ySplit="1" topLeftCell="Q2" activePane="bottomRight" state="frozen"/>
      <selection activeCell="T36" sqref="T36:U36"/>
      <selection pane="topRight" activeCell="T36" sqref="T36:U36"/>
      <selection pane="bottomLeft" activeCell="T36" sqref="T36:U36"/>
      <selection pane="bottomRight" activeCell="T36" sqref="T36:U36"/>
    </sheetView>
  </sheetViews>
  <sheetFormatPr defaultColWidth="10.28515625" defaultRowHeight="12.75" x14ac:dyDescent="0.2"/>
  <cols>
    <col min="1" max="1" width="33.5703125" customWidth="1"/>
    <col min="2" max="2" width="6.7109375" hidden="1" customWidth="1"/>
    <col min="3" max="3" width="10.7109375" hidden="1" customWidth="1"/>
    <col min="4" max="4" width="6.7109375" hidden="1" customWidth="1"/>
    <col min="5" max="5" width="10.7109375" hidden="1" customWidth="1"/>
    <col min="6" max="6" width="6.7109375" customWidth="1"/>
    <col min="7" max="7" width="10.7109375" customWidth="1"/>
    <col min="8" max="8" width="6.7109375" customWidth="1"/>
    <col min="9" max="9" width="10.7109375" customWidth="1"/>
    <col min="10" max="10" width="6.7109375" customWidth="1"/>
    <col min="11" max="11" width="10.7109375" customWidth="1"/>
    <col min="12" max="12" width="6.7109375" customWidth="1"/>
    <col min="13" max="13" width="10.7109375" customWidth="1"/>
    <col min="14" max="14" width="6.7109375" customWidth="1"/>
    <col min="15" max="15" width="10.7109375" customWidth="1"/>
    <col min="16" max="16" width="6.7109375" customWidth="1"/>
    <col min="17" max="17" width="10.7109375" customWidth="1"/>
    <col min="18" max="18" width="6.7109375" customWidth="1"/>
    <col min="19" max="19" width="10.7109375" customWidth="1"/>
    <col min="20" max="20" width="6.7109375" customWidth="1"/>
    <col min="21" max="21" width="10.7109375" customWidth="1"/>
    <col min="22" max="22" width="3.28515625" customWidth="1"/>
    <col min="23" max="23" width="6.7109375" customWidth="1"/>
    <col min="24" max="24" width="10.7109375" customWidth="1"/>
    <col min="25" max="25" width="1.5703125" customWidth="1"/>
  </cols>
  <sheetData>
    <row r="1" spans="1:26" ht="15.75" x14ac:dyDescent="0.25">
      <c r="A1" s="667" t="s">
        <v>240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</row>
    <row r="2" spans="1:26" ht="15.75" x14ac:dyDescent="0.25">
      <c r="A2" s="667" t="s">
        <v>241</v>
      </c>
    </row>
    <row r="3" spans="1:26" ht="15.75" x14ac:dyDescent="0.25">
      <c r="A3" s="667"/>
    </row>
    <row r="4" spans="1:26" ht="15.75" x14ac:dyDescent="0.25">
      <c r="A4" s="668" t="s">
        <v>261</v>
      </c>
    </row>
    <row r="5" spans="1:26" x14ac:dyDescent="0.2">
      <c r="A5" s="669"/>
      <c r="U5" t="s">
        <v>304</v>
      </c>
    </row>
    <row r="6" spans="1:26" x14ac:dyDescent="0.2">
      <c r="A6" s="669" t="s">
        <v>273</v>
      </c>
    </row>
    <row r="7" spans="1:26" x14ac:dyDescent="0.2">
      <c r="A7" s="720">
        <v>3670020030</v>
      </c>
    </row>
    <row r="8" spans="1:26" ht="13.5" thickBot="1" x14ac:dyDescent="0.25">
      <c r="A8" s="1"/>
    </row>
    <row r="9" spans="1:26" ht="15" customHeight="1" thickTop="1" thickBot="1" x14ac:dyDescent="0.25">
      <c r="A9" s="4"/>
      <c r="B9" s="1401" t="s">
        <v>0</v>
      </c>
      <c r="C9" s="1398"/>
      <c r="D9" s="1401" t="s">
        <v>1</v>
      </c>
      <c r="E9" s="1398"/>
      <c r="F9" s="1401" t="s">
        <v>2</v>
      </c>
      <c r="G9" s="1398"/>
      <c r="H9" s="1401" t="s">
        <v>3</v>
      </c>
      <c r="I9" s="1398"/>
      <c r="J9" s="1401" t="s">
        <v>4</v>
      </c>
      <c r="K9" s="1398"/>
      <c r="L9" s="1401" t="s">
        <v>5</v>
      </c>
      <c r="M9" s="1398"/>
      <c r="N9" s="1401" t="s">
        <v>6</v>
      </c>
      <c r="O9" s="1398"/>
      <c r="P9" s="1401" t="s">
        <v>7</v>
      </c>
      <c r="Q9" s="1398"/>
      <c r="R9" s="1401" t="s">
        <v>8</v>
      </c>
      <c r="S9" s="1398"/>
      <c r="T9" s="1401" t="s">
        <v>301</v>
      </c>
      <c r="U9" s="1402"/>
      <c r="W9" s="1378" t="s">
        <v>9</v>
      </c>
      <c r="X9" s="1379"/>
    </row>
    <row r="10" spans="1:26" ht="15" customHeight="1" x14ac:dyDescent="0.2">
      <c r="A10" s="5"/>
      <c r="B10" s="68" t="s">
        <v>287</v>
      </c>
      <c r="C10" s="8" t="s">
        <v>10</v>
      </c>
      <c r="D10" s="68" t="s">
        <v>287</v>
      </c>
      <c r="E10" s="8" t="s">
        <v>10</v>
      </c>
      <c r="F10" s="68" t="s">
        <v>287</v>
      </c>
      <c r="G10" s="8" t="s">
        <v>10</v>
      </c>
      <c r="H10" s="68" t="s">
        <v>287</v>
      </c>
      <c r="I10" s="8" t="s">
        <v>10</v>
      </c>
      <c r="J10" s="68" t="s">
        <v>287</v>
      </c>
      <c r="K10" s="8" t="s">
        <v>10</v>
      </c>
      <c r="L10" s="68" t="s">
        <v>287</v>
      </c>
      <c r="M10" s="8" t="s">
        <v>10</v>
      </c>
      <c r="N10" s="68" t="s">
        <v>287</v>
      </c>
      <c r="O10" s="8" t="s">
        <v>10</v>
      </c>
      <c r="P10" s="68" t="s">
        <v>287</v>
      </c>
      <c r="Q10" s="8" t="s">
        <v>10</v>
      </c>
      <c r="R10" s="68" t="s">
        <v>287</v>
      </c>
      <c r="S10" s="8" t="s">
        <v>10</v>
      </c>
      <c r="T10" s="68" t="s">
        <v>287</v>
      </c>
      <c r="U10" s="97" t="s">
        <v>10</v>
      </c>
      <c r="W10" s="6" t="s">
        <v>287</v>
      </c>
      <c r="X10" s="7" t="s">
        <v>11</v>
      </c>
    </row>
    <row r="11" spans="1:26" ht="15" customHeight="1" thickBot="1" x14ac:dyDescent="0.25">
      <c r="A11" s="70" t="s">
        <v>77</v>
      </c>
      <c r="B11" s="69" t="s">
        <v>12</v>
      </c>
      <c r="C11" s="922" t="s">
        <v>13</v>
      </c>
      <c r="D11" s="69" t="s">
        <v>12</v>
      </c>
      <c r="E11" s="922" t="s">
        <v>13</v>
      </c>
      <c r="F11" s="69" t="s">
        <v>12</v>
      </c>
      <c r="G11" s="922" t="s">
        <v>13</v>
      </c>
      <c r="H11" s="69" t="s">
        <v>12</v>
      </c>
      <c r="I11" s="922" t="s">
        <v>13</v>
      </c>
      <c r="J11" s="69" t="s">
        <v>12</v>
      </c>
      <c r="K11" s="922" t="s">
        <v>13</v>
      </c>
      <c r="L11" s="69" t="s">
        <v>12</v>
      </c>
      <c r="M11" s="922" t="s">
        <v>13</v>
      </c>
      <c r="N11" s="69" t="s">
        <v>12</v>
      </c>
      <c r="O11" s="922" t="s">
        <v>13</v>
      </c>
      <c r="P11" s="69" t="s">
        <v>12</v>
      </c>
      <c r="Q11" s="922" t="s">
        <v>13</v>
      </c>
      <c r="R11" s="69" t="s">
        <v>12</v>
      </c>
      <c r="S11" s="922" t="s">
        <v>13</v>
      </c>
      <c r="T11" s="69" t="s">
        <v>12</v>
      </c>
      <c r="U11" s="10" t="s">
        <v>13</v>
      </c>
      <c r="W11" s="9" t="s">
        <v>12</v>
      </c>
      <c r="X11" s="10" t="s">
        <v>13</v>
      </c>
    </row>
    <row r="12" spans="1:26" ht="15" customHeight="1" x14ac:dyDescent="0.2">
      <c r="A12" s="270" t="s">
        <v>80</v>
      </c>
      <c r="B12" s="13"/>
      <c r="C12" s="14"/>
      <c r="D12" s="11"/>
      <c r="E12" s="12"/>
      <c r="F12" s="13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5"/>
      <c r="W12" s="16"/>
      <c r="X12" s="17"/>
    </row>
    <row r="13" spans="1:26" s="23" customFormat="1" ht="15" customHeight="1" x14ac:dyDescent="0.2">
      <c r="A13" s="18" t="s">
        <v>15</v>
      </c>
      <c r="B13" s="106"/>
      <c r="C13" s="107"/>
      <c r="D13" s="108"/>
      <c r="E13" s="264"/>
      <c r="F13" s="641"/>
      <c r="G13" s="264"/>
      <c r="H13" s="20">
        <v>2</v>
      </c>
      <c r="I13" s="147"/>
      <c r="J13" s="20">
        <v>5</v>
      </c>
      <c r="K13" s="147"/>
      <c r="L13" s="20">
        <v>2</v>
      </c>
      <c r="M13" s="147"/>
      <c r="N13" s="20">
        <v>5</v>
      </c>
      <c r="O13" s="147"/>
      <c r="P13" s="20">
        <v>3</v>
      </c>
      <c r="Q13" s="147"/>
      <c r="R13" s="20">
        <v>7</v>
      </c>
      <c r="S13" s="147"/>
      <c r="T13" s="20">
        <v>2</v>
      </c>
      <c r="U13" s="151"/>
      <c r="W13" s="16">
        <f>AVERAGE(N13,L13,R13,T13,P13)</f>
        <v>3.8</v>
      </c>
      <c r="X13" s="24"/>
    </row>
    <row r="14" spans="1:26" s="23" customFormat="1" ht="15" customHeight="1" thickBot="1" x14ac:dyDescent="0.25">
      <c r="A14" s="27" t="s">
        <v>16</v>
      </c>
      <c r="B14" s="109"/>
      <c r="C14" s="110"/>
      <c r="D14" s="111"/>
      <c r="E14" s="265"/>
      <c r="F14" s="457"/>
      <c r="G14" s="265"/>
      <c r="H14" s="29">
        <v>19</v>
      </c>
      <c r="I14" s="148"/>
      <c r="J14" s="29">
        <v>17</v>
      </c>
      <c r="K14" s="148"/>
      <c r="L14" s="29">
        <v>17</v>
      </c>
      <c r="M14" s="148"/>
      <c r="N14" s="29">
        <v>16</v>
      </c>
      <c r="O14" s="148"/>
      <c r="P14" s="29">
        <v>9</v>
      </c>
      <c r="Q14" s="148"/>
      <c r="R14" s="29">
        <v>12</v>
      </c>
      <c r="S14" s="148"/>
      <c r="T14" s="29">
        <v>8</v>
      </c>
      <c r="U14" s="152"/>
      <c r="W14" s="16">
        <f>AVERAGE(N14,L14,R14,T14,P14)</f>
        <v>12.4</v>
      </c>
      <c r="X14" s="174"/>
    </row>
    <row r="15" spans="1:26" s="73" customFormat="1" ht="15" customHeight="1" thickBot="1" x14ac:dyDescent="0.25">
      <c r="A15" s="98" t="s">
        <v>17</v>
      </c>
      <c r="B15" s="89">
        <f t="shared" ref="B15:R15" si="0">SUM(B13:B14)</f>
        <v>0</v>
      </c>
      <c r="C15" s="100">
        <f t="shared" si="0"/>
        <v>0</v>
      </c>
      <c r="D15" s="89">
        <f t="shared" si="0"/>
        <v>0</v>
      </c>
      <c r="E15" s="100">
        <f t="shared" si="0"/>
        <v>0</v>
      </c>
      <c r="F15" s="640">
        <v>0</v>
      </c>
      <c r="G15" s="100">
        <f t="shared" si="0"/>
        <v>0</v>
      </c>
      <c r="H15" s="89">
        <f t="shared" si="0"/>
        <v>21</v>
      </c>
      <c r="I15" s="100">
        <v>5</v>
      </c>
      <c r="J15" s="89">
        <f t="shared" si="0"/>
        <v>22</v>
      </c>
      <c r="K15" s="100">
        <v>2</v>
      </c>
      <c r="L15" s="640">
        <f t="shared" si="0"/>
        <v>19</v>
      </c>
      <c r="M15" s="100">
        <v>1</v>
      </c>
      <c r="N15" s="640">
        <f t="shared" si="0"/>
        <v>21</v>
      </c>
      <c r="O15" s="100">
        <v>7</v>
      </c>
      <c r="P15" s="89">
        <f t="shared" si="0"/>
        <v>12</v>
      </c>
      <c r="Q15" s="1231">
        <v>3</v>
      </c>
      <c r="R15" s="1232">
        <f t="shared" si="0"/>
        <v>19</v>
      </c>
      <c r="S15" s="1231">
        <v>5</v>
      </c>
      <c r="T15" s="1315">
        <v>10</v>
      </c>
      <c r="U15" s="1275">
        <f t="shared" ref="U15" si="1">SUM(U13:U14)</f>
        <v>0</v>
      </c>
      <c r="W15" s="471">
        <f>AVERAGE(N15,L15,R15,T15,P15)</f>
        <v>16.2</v>
      </c>
      <c r="X15" s="472">
        <f>AVERAGE(O15,M15,K15,S15,Q15)</f>
        <v>3.6</v>
      </c>
    </row>
    <row r="16" spans="1:26" s="23" customFormat="1" ht="15" customHeight="1" x14ac:dyDescent="0.2">
      <c r="A16" s="28" t="s">
        <v>18</v>
      </c>
      <c r="B16" s="20">
        <v>31</v>
      </c>
      <c r="C16" s="21">
        <v>6</v>
      </c>
      <c r="D16" s="22">
        <v>26</v>
      </c>
      <c r="E16" s="19">
        <v>13</v>
      </c>
      <c r="F16" s="20">
        <v>30</v>
      </c>
      <c r="G16" s="19">
        <v>4</v>
      </c>
      <c r="H16" s="20">
        <v>40</v>
      </c>
      <c r="I16" s="19">
        <v>0</v>
      </c>
      <c r="J16" s="20">
        <v>66</v>
      </c>
      <c r="K16" s="19">
        <v>28</v>
      </c>
      <c r="L16" s="20">
        <v>67</v>
      </c>
      <c r="M16" s="19">
        <v>36</v>
      </c>
      <c r="N16" s="20">
        <v>64</v>
      </c>
      <c r="O16" s="19">
        <v>35</v>
      </c>
      <c r="P16" s="20">
        <v>43</v>
      </c>
      <c r="Q16" s="25">
        <v>26</v>
      </c>
      <c r="R16" s="20">
        <v>39</v>
      </c>
      <c r="S16" s="25">
        <v>15</v>
      </c>
      <c r="T16" s="20">
        <v>25</v>
      </c>
      <c r="U16" s="152"/>
      <c r="W16" s="16">
        <f>AVERAGE(N16,L16,R16,T16,P16)</f>
        <v>47.6</v>
      </c>
      <c r="X16" s="470">
        <f>AVERAGE(O16,M16,K16,S16,Q16)</f>
        <v>28</v>
      </c>
      <c r="Z16" s="23" t="s">
        <v>19</v>
      </c>
    </row>
    <row r="17" spans="1:27" s="473" customFormat="1" ht="15" customHeight="1" thickBot="1" x14ac:dyDescent="0.25">
      <c r="A17" s="30" t="s">
        <v>82</v>
      </c>
      <c r="B17" s="33">
        <v>31</v>
      </c>
      <c r="C17" s="34" t="s">
        <v>83</v>
      </c>
      <c r="D17" s="31">
        <v>20</v>
      </c>
      <c r="E17" s="32" t="s">
        <v>83</v>
      </c>
      <c r="F17" s="33">
        <v>25</v>
      </c>
      <c r="G17" s="32">
        <v>5</v>
      </c>
      <c r="H17" s="33">
        <v>11</v>
      </c>
      <c r="I17" s="32">
        <v>1</v>
      </c>
      <c r="J17" s="33">
        <v>1</v>
      </c>
      <c r="K17" s="32">
        <v>1</v>
      </c>
      <c r="L17" s="112"/>
      <c r="M17" s="113"/>
      <c r="N17" s="112"/>
      <c r="O17" s="113"/>
      <c r="P17" s="112"/>
      <c r="Q17" s="113"/>
      <c r="R17" s="112"/>
      <c r="S17" s="113"/>
      <c r="T17" s="112"/>
      <c r="U17" s="114"/>
      <c r="W17" s="16"/>
      <c r="X17" s="470"/>
    </row>
    <row r="18" spans="1:27" ht="18" customHeight="1" thickTop="1" thickBot="1" x14ac:dyDescent="0.25">
      <c r="A18" s="72" t="s">
        <v>71</v>
      </c>
      <c r="B18" s="1375"/>
      <c r="C18" s="1376"/>
      <c r="D18" s="1375"/>
      <c r="E18" s="1376"/>
      <c r="F18" s="1375"/>
      <c r="G18" s="1376"/>
      <c r="H18" s="1375"/>
      <c r="I18" s="1376"/>
      <c r="J18" s="1375"/>
      <c r="K18" s="1376"/>
      <c r="L18" s="1375"/>
      <c r="M18" s="1376"/>
      <c r="N18" s="1375"/>
      <c r="O18" s="1376"/>
      <c r="P18" s="1375"/>
      <c r="Q18" s="1376"/>
      <c r="R18" s="1375"/>
      <c r="S18" s="1376"/>
      <c r="T18" s="1375"/>
      <c r="U18" s="1384"/>
      <c r="W18" s="1378"/>
      <c r="X18" s="1379"/>
    </row>
    <row r="19" spans="1:27" ht="15" customHeight="1" x14ac:dyDescent="0.2">
      <c r="A19" s="1219" t="s">
        <v>79</v>
      </c>
      <c r="B19" s="103"/>
      <c r="C19" s="137"/>
      <c r="D19" s="103"/>
      <c r="E19" s="137"/>
      <c r="F19" s="103"/>
      <c r="G19" s="137"/>
      <c r="H19" s="103"/>
      <c r="I19" s="137"/>
      <c r="J19" s="103"/>
      <c r="K19" s="137"/>
      <c r="L19" s="103"/>
      <c r="M19" s="137"/>
      <c r="N19" s="103"/>
      <c r="O19" s="137"/>
      <c r="P19" s="103"/>
      <c r="Q19" s="137"/>
      <c r="R19" s="103"/>
      <c r="S19" s="137"/>
      <c r="T19" s="103"/>
      <c r="U19" s="138"/>
      <c r="W19" s="902"/>
      <c r="X19" s="852" t="e">
        <f>AVERAGE(O19,M19,I19,K19,Q19)</f>
        <v>#DIV/0!</v>
      </c>
    </row>
    <row r="20" spans="1:27" ht="15" customHeight="1" x14ac:dyDescent="0.2">
      <c r="A20" s="71" t="s">
        <v>72</v>
      </c>
      <c r="B20" s="102"/>
      <c r="C20" s="135"/>
      <c r="D20" s="102"/>
      <c r="E20" s="135"/>
      <c r="F20" s="102"/>
      <c r="G20" s="752" t="s">
        <v>260</v>
      </c>
      <c r="H20" s="102"/>
      <c r="I20" s="135">
        <v>0</v>
      </c>
      <c r="J20" s="1220"/>
      <c r="K20" s="135">
        <v>1</v>
      </c>
      <c r="L20" s="102"/>
      <c r="M20" s="752" t="s">
        <v>260</v>
      </c>
      <c r="N20" s="102"/>
      <c r="O20" s="135">
        <v>0.25</v>
      </c>
      <c r="P20" s="102"/>
      <c r="Q20" s="135">
        <v>0.5</v>
      </c>
      <c r="R20" s="102"/>
      <c r="S20" s="135"/>
      <c r="T20" s="102"/>
      <c r="U20" s="1271"/>
      <c r="W20" s="67"/>
      <c r="X20" s="1255">
        <f>AVERAGE(O20,M20,S20,K20,Q20)</f>
        <v>0.58333333333333337</v>
      </c>
    </row>
    <row r="21" spans="1:27" ht="15" customHeight="1" thickBot="1" x14ac:dyDescent="0.25">
      <c r="A21" s="44" t="s">
        <v>73</v>
      </c>
      <c r="B21" s="75"/>
      <c r="C21" s="136"/>
      <c r="D21" s="75"/>
      <c r="E21" s="136"/>
      <c r="F21" s="75"/>
      <c r="G21" s="753" t="s">
        <v>260</v>
      </c>
      <c r="H21" s="75"/>
      <c r="I21" s="136">
        <v>0.75</v>
      </c>
      <c r="J21" s="1222"/>
      <c r="K21" s="136">
        <v>0</v>
      </c>
      <c r="L21" s="75"/>
      <c r="M21" s="753" t="s">
        <v>260</v>
      </c>
      <c r="N21" s="75"/>
      <c r="O21" s="136">
        <v>0.5</v>
      </c>
      <c r="P21" s="75"/>
      <c r="Q21" s="136">
        <v>0.5</v>
      </c>
      <c r="R21" s="75"/>
      <c r="S21" s="136"/>
      <c r="T21" s="75"/>
      <c r="U21" s="1276"/>
      <c r="W21" s="66"/>
      <c r="X21" s="1255">
        <f>AVERAGE(O21,M21,S21,K21,Q21)</f>
        <v>0.33333333333333331</v>
      </c>
    </row>
    <row r="22" spans="1:27" ht="18" customHeight="1" thickTop="1" thickBot="1" x14ac:dyDescent="0.25">
      <c r="A22" s="221" t="s">
        <v>78</v>
      </c>
      <c r="B22" s="1380"/>
      <c r="C22" s="1381"/>
      <c r="D22" s="1380"/>
      <c r="E22" s="1381"/>
      <c r="F22" s="1380"/>
      <c r="G22" s="1381"/>
      <c r="H22" s="1380"/>
      <c r="I22" s="1381"/>
      <c r="J22" s="1380"/>
      <c r="K22" s="1381"/>
      <c r="L22" s="1380"/>
      <c r="M22" s="1381"/>
      <c r="N22" s="1380"/>
      <c r="O22" s="1381"/>
      <c r="P22" s="1380"/>
      <c r="Q22" s="1381"/>
      <c r="R22" s="1380"/>
      <c r="S22" s="1381"/>
      <c r="T22" s="1380"/>
      <c r="U22" s="1383"/>
      <c r="V22" s="226"/>
      <c r="W22" s="1382"/>
      <c r="X22" s="1383"/>
    </row>
    <row r="23" spans="1:27" ht="15" customHeight="1" thickBot="1" x14ac:dyDescent="0.25">
      <c r="A23" s="222" t="s">
        <v>205</v>
      </c>
      <c r="B23" s="223"/>
      <c r="C23" s="224">
        <v>21.8</v>
      </c>
      <c r="D23" s="223"/>
      <c r="E23" s="224">
        <v>22.1</v>
      </c>
      <c r="F23" s="223"/>
      <c r="G23" s="224">
        <v>21.4</v>
      </c>
      <c r="H23" s="223"/>
      <c r="I23" s="224">
        <v>21.6</v>
      </c>
      <c r="J23" s="223"/>
      <c r="K23" s="224">
        <v>20.7</v>
      </c>
      <c r="L23" s="223"/>
      <c r="M23" s="755">
        <v>21</v>
      </c>
      <c r="N23" s="223"/>
      <c r="O23" s="224">
        <v>20.8</v>
      </c>
      <c r="P23" s="223"/>
      <c r="Q23" s="224">
        <v>20.7</v>
      </c>
      <c r="R23" s="223"/>
      <c r="S23" s="224">
        <v>22.8</v>
      </c>
      <c r="T23" s="223"/>
      <c r="U23" s="225"/>
      <c r="V23" s="226"/>
      <c r="W23" s="247"/>
      <c r="X23" s="248">
        <f>AVERAGE(O23,M23,U23,S23,Q23)</f>
        <v>21.324999999999999</v>
      </c>
    </row>
    <row r="24" spans="1:27" ht="18" customHeight="1" thickTop="1" thickBot="1" x14ac:dyDescent="0.25">
      <c r="A24" s="82" t="s">
        <v>22</v>
      </c>
      <c r="B24" s="1375"/>
      <c r="C24" s="1376"/>
      <c r="D24" s="1375"/>
      <c r="E24" s="1376"/>
      <c r="F24" s="1375"/>
      <c r="G24" s="1376"/>
      <c r="H24" s="1375"/>
      <c r="I24" s="1376"/>
      <c r="J24" s="1375"/>
      <c r="K24" s="1376"/>
      <c r="L24" s="1375"/>
      <c r="M24" s="1376"/>
      <c r="N24" s="1375"/>
      <c r="O24" s="1376"/>
      <c r="P24" s="1375"/>
      <c r="Q24" s="1376"/>
      <c r="R24" s="1375"/>
      <c r="S24" s="1376"/>
      <c r="T24" s="1375"/>
      <c r="U24" s="1384"/>
      <c r="W24" s="1378"/>
      <c r="X24" s="1379"/>
    </row>
    <row r="25" spans="1:27" ht="15" customHeight="1" x14ac:dyDescent="0.2">
      <c r="A25" s="44" t="s">
        <v>24</v>
      </c>
      <c r="B25" s="117"/>
      <c r="C25" s="118"/>
      <c r="D25" s="116"/>
      <c r="E25" s="119"/>
      <c r="F25" s="46"/>
      <c r="G25" s="115">
        <v>951</v>
      </c>
      <c r="H25" s="46"/>
      <c r="I25" s="115">
        <v>2031</v>
      </c>
      <c r="J25" s="46"/>
      <c r="K25" s="115">
        <v>1680</v>
      </c>
      <c r="L25" s="46"/>
      <c r="M25" s="115">
        <v>1803</v>
      </c>
      <c r="N25" s="46"/>
      <c r="O25" s="115">
        <v>1785</v>
      </c>
      <c r="P25" s="46"/>
      <c r="Q25" s="115">
        <v>1956</v>
      </c>
      <c r="R25" s="46"/>
      <c r="S25" s="115">
        <v>1794</v>
      </c>
      <c r="T25" s="46"/>
      <c r="U25" s="1273"/>
      <c r="W25" s="50"/>
      <c r="X25" s="51">
        <f>AVERAGE(O25,M25,S25,K25,Q25)</f>
        <v>1803.6</v>
      </c>
    </row>
    <row r="26" spans="1:27" ht="15" customHeight="1" x14ac:dyDescent="0.2">
      <c r="A26" s="44" t="s">
        <v>25</v>
      </c>
      <c r="B26" s="117"/>
      <c r="C26" s="118"/>
      <c r="D26" s="116"/>
      <c r="E26" s="119"/>
      <c r="F26" s="46"/>
      <c r="G26" s="115">
        <v>156</v>
      </c>
      <c r="H26" s="46"/>
      <c r="I26" s="115">
        <v>483</v>
      </c>
      <c r="J26" s="46"/>
      <c r="K26" s="115">
        <v>669</v>
      </c>
      <c r="L26" s="46"/>
      <c r="M26" s="115">
        <v>792</v>
      </c>
      <c r="N26" s="46" t="s">
        <v>19</v>
      </c>
      <c r="O26" s="115">
        <v>624</v>
      </c>
      <c r="P26" s="46" t="s">
        <v>19</v>
      </c>
      <c r="Q26" s="115">
        <v>742</v>
      </c>
      <c r="R26" s="46"/>
      <c r="S26" s="115">
        <v>389</v>
      </c>
      <c r="T26" s="46"/>
      <c r="U26" s="1273"/>
      <c r="W26" s="52"/>
      <c r="X26" s="51">
        <f t="shared" ref="X26:X29" si="2">AVERAGE(O26,M26,S26,K26,Q26)</f>
        <v>643.20000000000005</v>
      </c>
    </row>
    <row r="27" spans="1:27" ht="15" customHeight="1" x14ac:dyDescent="0.2">
      <c r="A27" s="44" t="s">
        <v>26</v>
      </c>
      <c r="B27" s="117"/>
      <c r="C27" s="118"/>
      <c r="D27" s="116"/>
      <c r="E27" s="119"/>
      <c r="F27" s="46"/>
      <c r="G27" s="47"/>
      <c r="H27" s="46"/>
      <c r="I27" s="47"/>
      <c r="J27" s="46"/>
      <c r="K27" s="47"/>
      <c r="L27" s="46"/>
      <c r="M27" s="47"/>
      <c r="N27" s="46"/>
      <c r="O27" s="47"/>
      <c r="P27" s="46"/>
      <c r="Q27" s="47"/>
      <c r="R27" s="46"/>
      <c r="S27" s="47"/>
      <c r="T27" s="46"/>
      <c r="U27" s="1273"/>
      <c r="W27" s="52"/>
      <c r="X27" s="51"/>
    </row>
    <row r="28" spans="1:27" ht="15" customHeight="1" thickBot="1" x14ac:dyDescent="0.25">
      <c r="A28" s="44" t="s">
        <v>27</v>
      </c>
      <c r="B28" s="122"/>
      <c r="C28" s="123"/>
      <c r="D28" s="120"/>
      <c r="E28" s="121"/>
      <c r="F28" s="92"/>
      <c r="G28" s="91"/>
      <c r="H28" s="92"/>
      <c r="I28" s="91"/>
      <c r="J28" s="92"/>
      <c r="K28" s="91"/>
      <c r="L28" s="92"/>
      <c r="M28" s="91"/>
      <c r="N28" s="92"/>
      <c r="O28" s="91"/>
      <c r="P28" s="92"/>
      <c r="Q28" s="91"/>
      <c r="R28" s="92"/>
      <c r="S28" s="91"/>
      <c r="T28" s="92"/>
      <c r="U28" s="1274"/>
      <c r="W28" s="63"/>
      <c r="X28" s="484"/>
    </row>
    <row r="29" spans="1:27" ht="15" customHeight="1" thickBot="1" x14ac:dyDescent="0.25">
      <c r="A29" s="55" t="s">
        <v>28</v>
      </c>
      <c r="B29" s="126"/>
      <c r="C29" s="127">
        <f>SUM(C25:C28)</f>
        <v>0</v>
      </c>
      <c r="D29" s="124"/>
      <c r="E29" s="125"/>
      <c r="F29" s="95"/>
      <c r="G29" s="93">
        <f>SUM(G25:G28)</f>
        <v>1107</v>
      </c>
      <c r="H29" s="95"/>
      <c r="I29" s="93">
        <f>SUM(I25:I28)</f>
        <v>2514</v>
      </c>
      <c r="J29" s="95"/>
      <c r="K29" s="93">
        <f>SUM(K25:K28)</f>
        <v>2349</v>
      </c>
      <c r="L29" s="95"/>
      <c r="M29" s="93">
        <f>SUM(M25:M28)</f>
        <v>2595</v>
      </c>
      <c r="N29" s="95"/>
      <c r="O29" s="93">
        <f>SUM(O25:O28)</f>
        <v>2409</v>
      </c>
      <c r="P29" s="95"/>
      <c r="Q29" s="93">
        <f>SUM(Q25:Q28)</f>
        <v>2698</v>
      </c>
      <c r="R29" s="95"/>
      <c r="S29" s="93">
        <f>SUM(S25:S28)</f>
        <v>2183</v>
      </c>
      <c r="T29" s="95"/>
      <c r="U29" s="1277">
        <f>SUM(U25:U28)</f>
        <v>0</v>
      </c>
      <c r="W29" s="485"/>
      <c r="X29" s="486">
        <f t="shared" si="2"/>
        <v>2446.8000000000002</v>
      </c>
    </row>
    <row r="30" spans="1:27" ht="15" customHeight="1" thickTop="1" thickBot="1" x14ac:dyDescent="0.25">
      <c r="A30" s="57"/>
      <c r="B30" s="79"/>
      <c r="C30" s="80"/>
      <c r="D30" s="79"/>
      <c r="E30" s="81"/>
      <c r="F30" s="79"/>
      <c r="G30" s="81"/>
      <c r="H30" s="79"/>
      <c r="I30" s="81"/>
      <c r="J30" s="79"/>
      <c r="K30" s="81"/>
      <c r="L30" s="79"/>
      <c r="M30" s="81"/>
      <c r="N30" s="79"/>
      <c r="O30" s="81"/>
      <c r="P30" s="79"/>
      <c r="Q30" s="81"/>
      <c r="R30" s="79"/>
      <c r="S30" s="81"/>
      <c r="T30" s="79"/>
      <c r="U30" s="81"/>
      <c r="V30" s="85"/>
      <c r="W30" s="84"/>
      <c r="X30" s="80"/>
    </row>
    <row r="31" spans="1:27" ht="18" customHeight="1" thickTop="1" thickBot="1" x14ac:dyDescent="0.25">
      <c r="A31" s="175" t="s">
        <v>29</v>
      </c>
      <c r="B31" s="1385" t="s">
        <v>30</v>
      </c>
      <c r="C31" s="1395"/>
      <c r="D31" s="1385" t="s">
        <v>31</v>
      </c>
      <c r="E31" s="1396"/>
      <c r="F31" s="1385" t="s">
        <v>32</v>
      </c>
      <c r="G31" s="1396"/>
      <c r="H31" s="1385" t="s">
        <v>33</v>
      </c>
      <c r="I31" s="1396"/>
      <c r="J31" s="1385" t="s">
        <v>34</v>
      </c>
      <c r="K31" s="1396"/>
      <c r="L31" s="1385" t="s">
        <v>35</v>
      </c>
      <c r="M31" s="1396"/>
      <c r="N31" s="1385" t="s">
        <v>36</v>
      </c>
      <c r="O31" s="1396"/>
      <c r="P31" s="1385" t="s">
        <v>37</v>
      </c>
      <c r="Q31" s="1396"/>
      <c r="R31" s="1385" t="s">
        <v>38</v>
      </c>
      <c r="S31" s="1396"/>
      <c r="T31" s="1385" t="s">
        <v>302</v>
      </c>
      <c r="U31" s="1386"/>
      <c r="V31" s="869"/>
      <c r="W31" s="1382" t="s">
        <v>9</v>
      </c>
      <c r="X31" s="1383"/>
      <c r="Y31" s="56"/>
      <c r="Z31" s="56"/>
      <c r="AA31" s="57"/>
    </row>
    <row r="32" spans="1:27" ht="15" customHeight="1" x14ac:dyDescent="0.2">
      <c r="A32" s="1068" t="s">
        <v>244</v>
      </c>
      <c r="B32" s="177"/>
      <c r="C32" s="178"/>
      <c r="D32" s="179"/>
      <c r="E32" s="180">
        <v>0</v>
      </c>
      <c r="F32" s="181"/>
      <c r="G32" s="180">
        <v>0</v>
      </c>
      <c r="H32" s="181"/>
      <c r="I32" s="180">
        <v>0</v>
      </c>
      <c r="J32" s="181"/>
      <c r="K32" s="180">
        <f>12/819</f>
        <v>1.4652014652014652E-2</v>
      </c>
      <c r="L32" s="181"/>
      <c r="M32" s="180">
        <v>2.7E-2</v>
      </c>
      <c r="N32" s="181"/>
      <c r="O32" s="180">
        <v>0.02</v>
      </c>
      <c r="P32" s="181"/>
      <c r="Q32" s="180">
        <v>1.0999999999999999E-2</v>
      </c>
      <c r="R32" s="181"/>
      <c r="S32" s="180">
        <v>5.1999999999999998E-2</v>
      </c>
      <c r="T32" s="181"/>
      <c r="U32" s="182">
        <v>1.2E-2</v>
      </c>
      <c r="V32" s="651"/>
      <c r="W32" s="469"/>
      <c r="X32" s="594">
        <f>AVERAGE(Q32,O32,M32,U32,S32)</f>
        <v>2.4399999999999998E-2</v>
      </c>
      <c r="Y32" s="56"/>
      <c r="Z32" s="56"/>
      <c r="AA32" s="57"/>
    </row>
    <row r="33" spans="1:27" ht="15" customHeight="1" x14ac:dyDescent="0.2">
      <c r="A33" s="1069" t="s">
        <v>245</v>
      </c>
      <c r="B33" s="184"/>
      <c r="C33" s="185"/>
      <c r="D33" s="184"/>
      <c r="E33" s="185">
        <v>0</v>
      </c>
      <c r="F33" s="186"/>
      <c r="G33" s="185">
        <v>0</v>
      </c>
      <c r="H33" s="186"/>
      <c r="I33" s="185">
        <v>0</v>
      </c>
      <c r="J33" s="186"/>
      <c r="K33" s="185">
        <v>0</v>
      </c>
      <c r="L33" s="186"/>
      <c r="M33" s="185">
        <v>0</v>
      </c>
      <c r="N33" s="186"/>
      <c r="O33" s="185">
        <v>0</v>
      </c>
      <c r="P33" s="186"/>
      <c r="Q33" s="185">
        <v>0</v>
      </c>
      <c r="R33" s="186"/>
      <c r="S33" s="185">
        <v>0</v>
      </c>
      <c r="T33" s="186"/>
      <c r="U33" s="187">
        <v>0</v>
      </c>
      <c r="V33" s="651"/>
      <c r="W33" s="469"/>
      <c r="X33" s="594">
        <f>AVERAGE(Q33,O33,M33,U33,S33)</f>
        <v>0</v>
      </c>
      <c r="Y33" s="56"/>
      <c r="Z33" s="56"/>
      <c r="AA33" s="57"/>
    </row>
    <row r="34" spans="1:27" ht="15" customHeight="1" thickBot="1" x14ac:dyDescent="0.25">
      <c r="A34" s="189" t="s">
        <v>243</v>
      </c>
      <c r="B34" s="1403">
        <f>1-C32-C33</f>
        <v>1</v>
      </c>
      <c r="C34" s="1404"/>
      <c r="D34" s="1403">
        <f>1-E32-E33</f>
        <v>1</v>
      </c>
      <c r="E34" s="1404"/>
      <c r="F34" s="1405">
        <v>1</v>
      </c>
      <c r="G34" s="1404"/>
      <c r="H34" s="1405">
        <v>1</v>
      </c>
      <c r="I34" s="1404"/>
      <c r="J34" s="1405">
        <v>0.98499999999999999</v>
      </c>
      <c r="K34" s="1404"/>
      <c r="L34" s="1405">
        <f>1-M32</f>
        <v>0.97299999999999998</v>
      </c>
      <c r="M34" s="1404"/>
      <c r="N34" s="1405">
        <f>1-O32</f>
        <v>0.98</v>
      </c>
      <c r="O34" s="1404"/>
      <c r="P34" s="1405">
        <f>1-Q32</f>
        <v>0.98899999999999999</v>
      </c>
      <c r="Q34" s="1404"/>
      <c r="R34" s="1405">
        <f>1-S32-S33</f>
        <v>0.94799999999999995</v>
      </c>
      <c r="S34" s="1404"/>
      <c r="T34" s="1403">
        <f>1-U32-U33</f>
        <v>0.98799999999999999</v>
      </c>
      <c r="U34" s="1406"/>
      <c r="V34" s="651"/>
      <c r="W34" s="1390">
        <f>1-X32-X33</f>
        <v>0.97560000000000002</v>
      </c>
      <c r="X34" s="1391"/>
      <c r="Y34" s="56"/>
      <c r="Z34" s="56"/>
      <c r="AA34" s="57"/>
    </row>
    <row r="35" spans="1:27" s="1" customFormat="1" ht="15" customHeight="1" thickTop="1" x14ac:dyDescent="0.2">
      <c r="A35" s="37" t="s">
        <v>288</v>
      </c>
      <c r="B35" s="336"/>
      <c r="C35" s="337"/>
      <c r="D35" s="336"/>
      <c r="E35" s="337"/>
      <c r="F35" s="336"/>
      <c r="G35" s="337"/>
      <c r="H35" s="336"/>
      <c r="I35" s="337"/>
      <c r="J35" s="336"/>
      <c r="K35" s="337"/>
      <c r="L35" s="336"/>
      <c r="M35" s="337"/>
      <c r="N35" s="336"/>
      <c r="O35" s="337"/>
      <c r="P35" s="336"/>
      <c r="Q35" s="337"/>
      <c r="R35" s="336"/>
      <c r="S35" s="337"/>
      <c r="T35" s="336"/>
      <c r="U35" s="337"/>
      <c r="V35" s="666"/>
      <c r="W35" s="666"/>
      <c r="X35" s="338"/>
    </row>
    <row r="36" spans="1:27" s="1" customFormat="1" ht="15" customHeight="1" thickBot="1" x14ac:dyDescent="0.25">
      <c r="A36" s="37"/>
      <c r="B36" s="332"/>
      <c r="C36" s="279"/>
      <c r="D36" s="332"/>
      <c r="E36" s="279"/>
      <c r="F36" s="332"/>
      <c r="G36" s="279"/>
      <c r="H36" s="332"/>
      <c r="I36" s="279"/>
      <c r="J36" s="332"/>
      <c r="K36" s="279"/>
      <c r="L36" s="332"/>
      <c r="M36" s="279"/>
      <c r="N36" s="332"/>
      <c r="O36" s="279"/>
      <c r="P36" s="332"/>
      <c r="Q36" s="279"/>
      <c r="R36" s="332"/>
      <c r="S36" s="279"/>
      <c r="T36" s="332"/>
      <c r="U36" s="279"/>
      <c r="V36" s="195"/>
      <c r="W36" s="195"/>
      <c r="X36" s="666"/>
    </row>
    <row r="37" spans="1:27" s="1" customFormat="1" ht="18.75" customHeight="1" thickTop="1" thickBot="1" x14ac:dyDescent="0.25">
      <c r="A37" s="175" t="s">
        <v>247</v>
      </c>
      <c r="B37" s="1385" t="s">
        <v>30</v>
      </c>
      <c r="C37" s="1395"/>
      <c r="D37" s="1385" t="s">
        <v>31</v>
      </c>
      <c r="E37" s="1396"/>
      <c r="F37" s="1385" t="s">
        <v>32</v>
      </c>
      <c r="G37" s="1396"/>
      <c r="H37" s="1385" t="s">
        <v>33</v>
      </c>
      <c r="I37" s="1396"/>
      <c r="J37" s="1385" t="s">
        <v>34</v>
      </c>
      <c r="K37" s="1396"/>
      <c r="L37" s="1385" t="s">
        <v>35</v>
      </c>
      <c r="M37" s="1396"/>
      <c r="N37" s="1385" t="s">
        <v>36</v>
      </c>
      <c r="O37" s="1396"/>
      <c r="P37" s="1385" t="s">
        <v>37</v>
      </c>
      <c r="Q37" s="1396"/>
      <c r="R37" s="1385" t="s">
        <v>38</v>
      </c>
      <c r="S37" s="1396"/>
      <c r="T37" s="1385" t="s">
        <v>302</v>
      </c>
      <c r="U37" s="1386"/>
      <c r="V37" s="195"/>
      <c r="W37" s="1382" t="s">
        <v>9</v>
      </c>
      <c r="X37" s="1383"/>
    </row>
    <row r="38" spans="1:27" s="1" customFormat="1" ht="24" x14ac:dyDescent="0.2">
      <c r="A38" s="715" t="s">
        <v>289</v>
      </c>
      <c r="B38" s="711"/>
      <c r="C38" s="529"/>
      <c r="D38" s="711"/>
      <c r="E38" s="712"/>
      <c r="F38" s="711"/>
      <c r="G38" s="712"/>
      <c r="H38" s="711"/>
      <c r="I38" s="712"/>
      <c r="J38" s="711"/>
      <c r="K38" s="712"/>
      <c r="L38" s="711"/>
      <c r="M38" s="712"/>
      <c r="N38" s="711"/>
      <c r="O38" s="712"/>
      <c r="P38" s="711"/>
      <c r="Q38" s="712"/>
      <c r="R38" s="711"/>
      <c r="S38" s="712"/>
      <c r="T38" s="713"/>
      <c r="U38" s="714"/>
      <c r="V38" s="195"/>
      <c r="W38" s="1283"/>
      <c r="X38" s="1284"/>
    </row>
    <row r="39" spans="1:27" s="1" customFormat="1" ht="24" x14ac:dyDescent="0.2">
      <c r="A39" s="721" t="s">
        <v>237</v>
      </c>
      <c r="B39" s="296"/>
      <c r="C39" s="656"/>
      <c r="D39" s="296"/>
      <c r="E39" s="656"/>
      <c r="F39" s="186"/>
      <c r="G39" s="653">
        <v>1</v>
      </c>
      <c r="H39" s="186"/>
      <c r="I39" s="653">
        <v>2</v>
      </c>
      <c r="J39" s="186"/>
      <c r="K39" s="653">
        <v>1</v>
      </c>
      <c r="L39" s="186"/>
      <c r="M39" s="653">
        <v>1</v>
      </c>
      <c r="N39" s="186"/>
      <c r="O39" s="653">
        <v>3</v>
      </c>
      <c r="P39" s="186"/>
      <c r="Q39" s="653">
        <v>3</v>
      </c>
      <c r="R39" s="186"/>
      <c r="S39" s="653">
        <v>3</v>
      </c>
      <c r="T39" s="654"/>
      <c r="U39" s="659"/>
      <c r="V39" s="195"/>
      <c r="W39" s="1285"/>
      <c r="X39" s="1286">
        <f>AVERAGE(O39,M39,S39,U39,Q39)</f>
        <v>2.5</v>
      </c>
    </row>
    <row r="40" spans="1:27" s="1" customFormat="1" ht="24" x14ac:dyDescent="0.2">
      <c r="A40" s="721" t="s">
        <v>239</v>
      </c>
      <c r="B40" s="958"/>
      <c r="C40" s="959"/>
      <c r="D40" s="958"/>
      <c r="E40" s="959"/>
      <c r="F40" s="654"/>
      <c r="G40" s="716">
        <v>1</v>
      </c>
      <c r="H40" s="654"/>
      <c r="I40" s="716">
        <v>2</v>
      </c>
      <c r="J40" s="654"/>
      <c r="K40" s="716">
        <v>1</v>
      </c>
      <c r="L40" s="654"/>
      <c r="M40" s="716">
        <v>1</v>
      </c>
      <c r="N40" s="654"/>
      <c r="O40" s="716">
        <v>3</v>
      </c>
      <c r="P40" s="654"/>
      <c r="Q40" s="716">
        <v>3</v>
      </c>
      <c r="R40" s="654"/>
      <c r="S40" s="716">
        <v>3</v>
      </c>
      <c r="T40" s="654"/>
      <c r="U40" s="659"/>
      <c r="V40" s="195"/>
      <c r="W40" s="1287"/>
      <c r="X40" s="1288">
        <f t="shared" ref="X40:X41" si="3">AVERAGE(O40,M40,S40,U40,Q40)</f>
        <v>2.5</v>
      </c>
    </row>
    <row r="41" spans="1:27" s="1" customFormat="1" ht="15" customHeight="1" thickBot="1" x14ac:dyDescent="0.25">
      <c r="A41" s="942" t="s">
        <v>238</v>
      </c>
      <c r="B41" s="960"/>
      <c r="C41" s="961"/>
      <c r="D41" s="960"/>
      <c r="E41" s="961"/>
      <c r="F41" s="943"/>
      <c r="G41" s="944">
        <v>1</v>
      </c>
      <c r="H41" s="943"/>
      <c r="I41" s="944">
        <v>2</v>
      </c>
      <c r="J41" s="943"/>
      <c r="K41" s="944">
        <v>1</v>
      </c>
      <c r="L41" s="943"/>
      <c r="M41" s="944">
        <v>1</v>
      </c>
      <c r="N41" s="943"/>
      <c r="O41" s="944">
        <v>3</v>
      </c>
      <c r="P41" s="943"/>
      <c r="Q41" s="944">
        <v>3</v>
      </c>
      <c r="R41" s="943"/>
      <c r="S41" s="944">
        <v>3</v>
      </c>
      <c r="T41" s="956"/>
      <c r="U41" s="947"/>
      <c r="V41" s="195"/>
      <c r="W41" s="1289"/>
      <c r="X41" s="1290">
        <f t="shared" si="3"/>
        <v>2.5</v>
      </c>
    </row>
    <row r="42" spans="1:27" s="1" customFormat="1" ht="18" customHeight="1" thickBot="1" x14ac:dyDescent="0.25">
      <c r="A42" s="872" t="s">
        <v>264</v>
      </c>
      <c r="B42" s="799" t="s">
        <v>40</v>
      </c>
      <c r="C42" s="798" t="s">
        <v>41</v>
      </c>
      <c r="D42" s="799" t="s">
        <v>40</v>
      </c>
      <c r="E42" s="798" t="s">
        <v>41</v>
      </c>
      <c r="F42" s="799" t="s">
        <v>40</v>
      </c>
      <c r="G42" s="798" t="s">
        <v>41</v>
      </c>
      <c r="H42" s="799" t="s">
        <v>40</v>
      </c>
      <c r="I42" s="798" t="s">
        <v>41</v>
      </c>
      <c r="J42" s="799" t="s">
        <v>40</v>
      </c>
      <c r="K42" s="798" t="s">
        <v>41</v>
      </c>
      <c r="L42" s="799" t="s">
        <v>40</v>
      </c>
      <c r="M42" s="798" t="s">
        <v>41</v>
      </c>
      <c r="N42" s="799" t="s">
        <v>40</v>
      </c>
      <c r="O42" s="798" t="s">
        <v>41</v>
      </c>
      <c r="P42" s="799" t="s">
        <v>40</v>
      </c>
      <c r="Q42" s="798" t="s">
        <v>41</v>
      </c>
      <c r="R42" s="799" t="s">
        <v>40</v>
      </c>
      <c r="S42" s="798" t="s">
        <v>41</v>
      </c>
      <c r="T42" s="799" t="s">
        <v>40</v>
      </c>
      <c r="U42" s="804" t="s">
        <v>41</v>
      </c>
      <c r="V42" s="955"/>
      <c r="W42" s="1291" t="s">
        <v>40</v>
      </c>
      <c r="X42" s="1292" t="s">
        <v>41</v>
      </c>
    </row>
    <row r="43" spans="1:27" s="1" customFormat="1" ht="15" customHeight="1" x14ac:dyDescent="0.2">
      <c r="A43" s="680" t="s">
        <v>42</v>
      </c>
      <c r="B43" s="808"/>
      <c r="C43" s="807"/>
      <c r="D43" s="808"/>
      <c r="E43" s="807"/>
      <c r="F43" s="808"/>
      <c r="G43" s="807"/>
      <c r="H43" s="808"/>
      <c r="I43" s="807"/>
      <c r="J43" s="808"/>
      <c r="K43" s="807"/>
      <c r="L43" s="808"/>
      <c r="M43" s="807"/>
      <c r="N43" s="808"/>
      <c r="O43" s="807"/>
      <c r="P43" s="808"/>
      <c r="Q43" s="807"/>
      <c r="R43" s="808"/>
      <c r="S43" s="807"/>
      <c r="T43" s="808"/>
      <c r="U43" s="1013"/>
      <c r="V43" s="195"/>
      <c r="W43" s="1293"/>
      <c r="X43" s="1294"/>
    </row>
    <row r="44" spans="1:27" s="1" customFormat="1" ht="15" customHeight="1" x14ac:dyDescent="0.2">
      <c r="A44" s="678" t="s">
        <v>43</v>
      </c>
      <c r="B44" s="258"/>
      <c r="C44" s="811">
        <v>1</v>
      </c>
      <c r="D44" s="258"/>
      <c r="E44" s="811">
        <v>2</v>
      </c>
      <c r="F44" s="258"/>
      <c r="G44" s="928">
        <v>3</v>
      </c>
      <c r="H44" s="258"/>
      <c r="I44" s="928">
        <v>3</v>
      </c>
      <c r="J44" s="930">
        <v>2</v>
      </c>
      <c r="K44" s="928">
        <v>2</v>
      </c>
      <c r="L44" s="930">
        <v>4</v>
      </c>
      <c r="M44" s="928">
        <v>4</v>
      </c>
      <c r="N44" s="930">
        <v>5</v>
      </c>
      <c r="O44" s="928">
        <v>5</v>
      </c>
      <c r="P44" s="930">
        <v>6</v>
      </c>
      <c r="Q44" s="928">
        <v>6</v>
      </c>
      <c r="R44" s="930">
        <v>6</v>
      </c>
      <c r="S44" s="928">
        <v>6</v>
      </c>
      <c r="T44" s="813"/>
      <c r="U44" s="932"/>
      <c r="V44" s="195"/>
      <c r="W44" s="1295">
        <f>AVERAGE(T44,L44,N44,P44,R44)</f>
        <v>5.25</v>
      </c>
      <c r="X44" s="1296">
        <f t="shared" ref="X44:X49" si="4">AVERAGE(O44,M44,S44,U44,Q44)</f>
        <v>5.25</v>
      </c>
    </row>
    <row r="45" spans="1:27" s="1" customFormat="1" ht="15" customHeight="1" x14ac:dyDescent="0.2">
      <c r="A45" s="678" t="s">
        <v>44</v>
      </c>
      <c r="B45" s="258"/>
      <c r="C45" s="811">
        <v>1</v>
      </c>
      <c r="D45" s="258"/>
      <c r="E45" s="811">
        <v>2</v>
      </c>
      <c r="F45" s="258"/>
      <c r="G45" s="928">
        <v>0</v>
      </c>
      <c r="H45" s="258"/>
      <c r="I45" s="928">
        <v>0</v>
      </c>
      <c r="J45" s="931">
        <v>0.25</v>
      </c>
      <c r="K45" s="928">
        <v>1</v>
      </c>
      <c r="L45" s="930">
        <v>0</v>
      </c>
      <c r="M45" s="928">
        <v>0</v>
      </c>
      <c r="N45" s="930">
        <v>0</v>
      </c>
      <c r="O45" s="928">
        <v>0</v>
      </c>
      <c r="P45" s="930">
        <v>0</v>
      </c>
      <c r="Q45" s="928">
        <v>0</v>
      </c>
      <c r="R45" s="930">
        <v>0.2</v>
      </c>
      <c r="S45" s="928">
        <v>1</v>
      </c>
      <c r="T45" s="345"/>
      <c r="U45" s="932"/>
      <c r="V45" s="195"/>
      <c r="W45" s="1295">
        <f t="shared" ref="W45:W49" si="5">AVERAGE(T45,L45,N45,P45,R45)</f>
        <v>0.05</v>
      </c>
      <c r="X45" s="1296">
        <f t="shared" si="4"/>
        <v>0.25</v>
      </c>
    </row>
    <row r="46" spans="1:27" s="1" customFormat="1" ht="15" customHeight="1" x14ac:dyDescent="0.2">
      <c r="A46" s="676" t="s">
        <v>45</v>
      </c>
      <c r="B46" s="345"/>
      <c r="C46" s="816"/>
      <c r="D46" s="345"/>
      <c r="E46" s="816"/>
      <c r="F46" s="345"/>
      <c r="G46" s="929"/>
      <c r="H46" s="345"/>
      <c r="I46" s="929"/>
      <c r="J46" s="931"/>
      <c r="K46" s="929"/>
      <c r="L46" s="930"/>
      <c r="M46" s="929"/>
      <c r="N46" s="930"/>
      <c r="O46" s="929"/>
      <c r="P46" s="930"/>
      <c r="Q46" s="929"/>
      <c r="R46" s="930"/>
      <c r="S46" s="929"/>
      <c r="T46" s="345"/>
      <c r="U46" s="933"/>
      <c r="V46" s="195"/>
      <c r="W46" s="1295"/>
      <c r="X46" s="1296"/>
    </row>
    <row r="47" spans="1:27" s="1" customFormat="1" ht="15" customHeight="1" x14ac:dyDescent="0.2">
      <c r="A47" s="678" t="s">
        <v>43</v>
      </c>
      <c r="B47" s="258"/>
      <c r="C47" s="816">
        <v>0</v>
      </c>
      <c r="D47" s="258"/>
      <c r="E47" s="816">
        <v>0</v>
      </c>
      <c r="F47" s="258"/>
      <c r="G47" s="929">
        <v>0</v>
      </c>
      <c r="H47" s="258"/>
      <c r="I47" s="929">
        <v>0</v>
      </c>
      <c r="J47" s="930">
        <v>0</v>
      </c>
      <c r="K47" s="929">
        <v>0</v>
      </c>
      <c r="L47" s="930">
        <v>0</v>
      </c>
      <c r="M47" s="929">
        <v>0</v>
      </c>
      <c r="N47" s="930">
        <v>0</v>
      </c>
      <c r="O47" s="929">
        <v>0</v>
      </c>
      <c r="P47" s="930">
        <v>0</v>
      </c>
      <c r="Q47" s="929">
        <v>0</v>
      </c>
      <c r="R47" s="930">
        <v>0</v>
      </c>
      <c r="S47" s="929">
        <v>0</v>
      </c>
      <c r="T47" s="813"/>
      <c r="U47" s="933"/>
      <c r="V47" s="195"/>
      <c r="W47" s="1295">
        <f t="shared" si="5"/>
        <v>0</v>
      </c>
      <c r="X47" s="1296">
        <f t="shared" si="4"/>
        <v>0</v>
      </c>
    </row>
    <row r="48" spans="1:27" s="1" customFormat="1" ht="15" customHeight="1" thickBot="1" x14ac:dyDescent="0.25">
      <c r="A48" s="679" t="s">
        <v>44</v>
      </c>
      <c r="B48" s="1017"/>
      <c r="C48" s="819">
        <v>0</v>
      </c>
      <c r="D48" s="1017"/>
      <c r="E48" s="819">
        <v>0</v>
      </c>
      <c r="F48" s="1017"/>
      <c r="G48" s="1018">
        <v>0</v>
      </c>
      <c r="H48" s="1017"/>
      <c r="I48" s="1018">
        <v>0</v>
      </c>
      <c r="J48" s="1019">
        <v>0</v>
      </c>
      <c r="K48" s="1018">
        <v>0</v>
      </c>
      <c r="L48" s="1019">
        <v>0</v>
      </c>
      <c r="M48" s="1018">
        <v>0</v>
      </c>
      <c r="N48" s="1019">
        <v>0</v>
      </c>
      <c r="O48" s="1018">
        <v>0</v>
      </c>
      <c r="P48" s="1019">
        <v>0</v>
      </c>
      <c r="Q48" s="1018">
        <v>0</v>
      </c>
      <c r="R48" s="1019">
        <v>0</v>
      </c>
      <c r="S48" s="1018">
        <v>0</v>
      </c>
      <c r="T48" s="821"/>
      <c r="U48" s="934"/>
      <c r="V48" s="195"/>
      <c r="W48" s="1297">
        <f t="shared" si="5"/>
        <v>0</v>
      </c>
      <c r="X48" s="1298">
        <f t="shared" si="4"/>
        <v>0</v>
      </c>
    </row>
    <row r="49" spans="1:24" s="1" customFormat="1" ht="15" customHeight="1" thickBot="1" x14ac:dyDescent="0.25">
      <c r="A49" s="796" t="s">
        <v>28</v>
      </c>
      <c r="B49" s="1021"/>
      <c r="C49" s="826">
        <f>SUM(C44:C48)</f>
        <v>2</v>
      </c>
      <c r="D49" s="1021"/>
      <c r="E49" s="826">
        <f>SUM(E44:E48)</f>
        <v>4</v>
      </c>
      <c r="F49" s="1021"/>
      <c r="G49" s="826">
        <f>SUM(G44:G48)</f>
        <v>3</v>
      </c>
      <c r="H49" s="1021"/>
      <c r="I49" s="826">
        <f t="shared" ref="I49:S49" si="6">SUM(I44:I48)</f>
        <v>3</v>
      </c>
      <c r="J49" s="1021">
        <f t="shared" si="6"/>
        <v>2.25</v>
      </c>
      <c r="K49" s="826">
        <f t="shared" si="6"/>
        <v>3</v>
      </c>
      <c r="L49" s="906">
        <f t="shared" si="6"/>
        <v>4</v>
      </c>
      <c r="M49" s="826">
        <f t="shared" si="6"/>
        <v>4</v>
      </c>
      <c r="N49" s="906">
        <f t="shared" si="6"/>
        <v>5</v>
      </c>
      <c r="O49" s="826">
        <f t="shared" si="6"/>
        <v>5</v>
      </c>
      <c r="P49" s="906">
        <f t="shared" si="6"/>
        <v>6</v>
      </c>
      <c r="Q49" s="826">
        <f t="shared" si="6"/>
        <v>6</v>
      </c>
      <c r="R49" s="906">
        <f t="shared" si="6"/>
        <v>6.2</v>
      </c>
      <c r="S49" s="826">
        <f t="shared" si="6"/>
        <v>7</v>
      </c>
      <c r="T49" s="906">
        <f t="shared" ref="T49:U49" si="7">SUM(T44:T48)</f>
        <v>0</v>
      </c>
      <c r="U49" s="1023">
        <f t="shared" si="7"/>
        <v>0</v>
      </c>
      <c r="V49" s="195"/>
      <c r="W49" s="1299">
        <f t="shared" si="5"/>
        <v>4.24</v>
      </c>
      <c r="X49" s="1300">
        <f t="shared" si="4"/>
        <v>4.4000000000000004</v>
      </c>
    </row>
    <row r="50" spans="1:24" s="1" customFormat="1" ht="18" customHeight="1" thickBot="1" x14ac:dyDescent="0.25">
      <c r="A50" s="795" t="s">
        <v>253</v>
      </c>
      <c r="B50" s="801" t="s">
        <v>39</v>
      </c>
      <c r="C50" s="798" t="s">
        <v>46</v>
      </c>
      <c r="D50" s="799" t="s">
        <v>39</v>
      </c>
      <c r="E50" s="798" t="s">
        <v>46</v>
      </c>
      <c r="F50" s="799" t="s">
        <v>39</v>
      </c>
      <c r="G50" s="798" t="s">
        <v>46</v>
      </c>
      <c r="H50" s="799" t="s">
        <v>39</v>
      </c>
      <c r="I50" s="798" t="s">
        <v>46</v>
      </c>
      <c r="J50" s="799" t="s">
        <v>39</v>
      </c>
      <c r="K50" s="798" t="s">
        <v>46</v>
      </c>
      <c r="L50" s="799" t="s">
        <v>39</v>
      </c>
      <c r="M50" s="798" t="s">
        <v>46</v>
      </c>
      <c r="N50" s="799" t="s">
        <v>39</v>
      </c>
      <c r="O50" s="798" t="s">
        <v>46</v>
      </c>
      <c r="P50" s="799" t="s">
        <v>39</v>
      </c>
      <c r="Q50" s="798" t="s">
        <v>46</v>
      </c>
      <c r="R50" s="799" t="s">
        <v>39</v>
      </c>
      <c r="S50" s="798" t="s">
        <v>46</v>
      </c>
      <c r="T50" s="799" t="s">
        <v>39</v>
      </c>
      <c r="U50" s="804" t="s">
        <v>46</v>
      </c>
      <c r="V50" s="195"/>
      <c r="W50" s="1301" t="s">
        <v>39</v>
      </c>
      <c r="X50" s="1292" t="s">
        <v>46</v>
      </c>
    </row>
    <row r="51" spans="1:24" s="1" customFormat="1" ht="18" customHeight="1" x14ac:dyDescent="0.2">
      <c r="A51" s="680" t="s">
        <v>265</v>
      </c>
      <c r="B51" s="937"/>
      <c r="C51" s="197"/>
      <c r="D51" s="937"/>
      <c r="E51" s="197"/>
      <c r="F51" s="937"/>
      <c r="G51" s="197"/>
      <c r="H51" s="937"/>
      <c r="I51" s="197"/>
      <c r="J51" s="937"/>
      <c r="K51" s="197"/>
      <c r="L51" s="198"/>
      <c r="M51" s="197"/>
      <c r="N51" s="198"/>
      <c r="O51" s="197"/>
      <c r="P51" s="198"/>
      <c r="Q51" s="197"/>
      <c r="R51" s="198"/>
      <c r="S51" s="197"/>
      <c r="T51" s="937"/>
      <c r="U51" s="199"/>
      <c r="V51" s="195"/>
      <c r="W51" s="1302"/>
      <c r="X51" s="1303"/>
    </row>
    <row r="52" spans="1:24" s="1" customFormat="1" ht="15" customHeight="1" x14ac:dyDescent="0.2">
      <c r="A52" s="706" t="s">
        <v>47</v>
      </c>
      <c r="B52" s="202">
        <v>0</v>
      </c>
      <c r="C52" s="192">
        <f t="shared" ref="C52:C59" si="8">B52/C$49</f>
        <v>0</v>
      </c>
      <c r="D52" s="202">
        <v>2</v>
      </c>
      <c r="E52" s="192">
        <f t="shared" ref="E52:E59" si="9">D52/E$49</f>
        <v>0.5</v>
      </c>
      <c r="F52" s="202">
        <v>2</v>
      </c>
      <c r="G52" s="192">
        <f t="shared" ref="G52:G59" si="10">F52/G$49</f>
        <v>0.66666666666666663</v>
      </c>
      <c r="H52" s="202">
        <v>2</v>
      </c>
      <c r="I52" s="192">
        <f t="shared" ref="I52:I59" si="11">H52/I$49</f>
        <v>0.66666666666666663</v>
      </c>
      <c r="J52" s="202">
        <v>1</v>
      </c>
      <c r="K52" s="192">
        <f t="shared" ref="K52:K59" si="12">J52/K$49</f>
        <v>0.33333333333333331</v>
      </c>
      <c r="L52" s="477">
        <v>1</v>
      </c>
      <c r="M52" s="192">
        <f t="shared" ref="M52:M57" si="13">L52/M$49</f>
        <v>0.25</v>
      </c>
      <c r="N52" s="477">
        <v>1</v>
      </c>
      <c r="O52" s="192">
        <f t="shared" ref="O52:Q57" si="14">N52/O$49</f>
        <v>0.2</v>
      </c>
      <c r="P52" s="477">
        <v>0</v>
      </c>
      <c r="Q52" s="192">
        <f t="shared" si="14"/>
        <v>0</v>
      </c>
      <c r="R52" s="477">
        <v>0</v>
      </c>
      <c r="S52" s="192">
        <f t="shared" ref="S52:S57" si="15">R52/S$49</f>
        <v>0</v>
      </c>
      <c r="T52" s="202"/>
      <c r="U52" s="203" t="e">
        <f t="shared" ref="U52:U57" si="16">T52/U$49</f>
        <v>#DIV/0!</v>
      </c>
      <c r="V52" s="320"/>
      <c r="W52" s="1304">
        <f>AVERAGE(N52,L52,R52,T52,P52)</f>
        <v>0.5</v>
      </c>
      <c r="X52" s="1305" t="e">
        <f>AVERAGE(O52,M52,S52,U52,Q52)</f>
        <v>#DIV/0!</v>
      </c>
    </row>
    <row r="53" spans="1:24" s="1" customFormat="1" ht="15" customHeight="1" x14ac:dyDescent="0.2">
      <c r="A53" s="207" t="s">
        <v>48</v>
      </c>
      <c r="B53" s="202">
        <v>2</v>
      </c>
      <c r="C53" s="192">
        <f t="shared" si="8"/>
        <v>1</v>
      </c>
      <c r="D53" s="202">
        <v>2</v>
      </c>
      <c r="E53" s="192">
        <f t="shared" si="9"/>
        <v>0.5</v>
      </c>
      <c r="F53" s="202">
        <v>1</v>
      </c>
      <c r="G53" s="192">
        <f t="shared" si="10"/>
        <v>0.33333333333333331</v>
      </c>
      <c r="H53" s="202">
        <v>1</v>
      </c>
      <c r="I53" s="192">
        <f t="shared" si="11"/>
        <v>0.33333333333333331</v>
      </c>
      <c r="J53" s="202">
        <v>1</v>
      </c>
      <c r="K53" s="192">
        <f t="shared" si="12"/>
        <v>0.33333333333333331</v>
      </c>
      <c r="L53" s="477">
        <v>2</v>
      </c>
      <c r="M53" s="192">
        <f t="shared" si="13"/>
        <v>0.5</v>
      </c>
      <c r="N53" s="477">
        <v>1</v>
      </c>
      <c r="O53" s="192">
        <f t="shared" si="14"/>
        <v>0.2</v>
      </c>
      <c r="P53" s="477">
        <v>0</v>
      </c>
      <c r="Q53" s="192">
        <f t="shared" si="14"/>
        <v>0</v>
      </c>
      <c r="R53" s="477">
        <v>2</v>
      </c>
      <c r="S53" s="192">
        <f t="shared" si="15"/>
        <v>0.2857142857142857</v>
      </c>
      <c r="T53" s="202"/>
      <c r="U53" s="203" t="e">
        <f t="shared" si="16"/>
        <v>#DIV/0!</v>
      </c>
      <c r="V53" s="320"/>
      <c r="W53" s="1304">
        <f t="shared" ref="W53:W71" si="17">AVERAGE(N53,L53,R53,T53,P53)</f>
        <v>1.25</v>
      </c>
      <c r="X53" s="1305" t="e">
        <f t="shared" ref="X53:X71" si="18">AVERAGE(O53,M53,S53,U53,Q53)</f>
        <v>#DIV/0!</v>
      </c>
    </row>
    <row r="54" spans="1:24" s="1" customFormat="1" ht="15" customHeight="1" x14ac:dyDescent="0.2">
      <c r="A54" s="207" t="s">
        <v>49</v>
      </c>
      <c r="B54" s="202">
        <v>0</v>
      </c>
      <c r="C54" s="192">
        <f t="shared" si="8"/>
        <v>0</v>
      </c>
      <c r="D54" s="202">
        <v>0</v>
      </c>
      <c r="E54" s="192">
        <f t="shared" si="9"/>
        <v>0</v>
      </c>
      <c r="F54" s="202">
        <v>0</v>
      </c>
      <c r="G54" s="192">
        <f t="shared" si="10"/>
        <v>0</v>
      </c>
      <c r="H54" s="202">
        <v>0</v>
      </c>
      <c r="I54" s="192">
        <f t="shared" si="11"/>
        <v>0</v>
      </c>
      <c r="J54" s="202">
        <v>0</v>
      </c>
      <c r="K54" s="192">
        <f t="shared" si="12"/>
        <v>0</v>
      </c>
      <c r="L54" s="477">
        <v>0</v>
      </c>
      <c r="M54" s="192">
        <f t="shared" si="13"/>
        <v>0</v>
      </c>
      <c r="N54" s="477">
        <v>1</v>
      </c>
      <c r="O54" s="192">
        <f t="shared" si="14"/>
        <v>0.2</v>
      </c>
      <c r="P54" s="477">
        <v>3</v>
      </c>
      <c r="Q54" s="192">
        <f t="shared" si="14"/>
        <v>0.5</v>
      </c>
      <c r="R54" s="477">
        <v>3</v>
      </c>
      <c r="S54" s="192">
        <f t="shared" si="15"/>
        <v>0.42857142857142855</v>
      </c>
      <c r="T54" s="202"/>
      <c r="U54" s="203" t="e">
        <f t="shared" si="16"/>
        <v>#DIV/0!</v>
      </c>
      <c r="V54" s="320"/>
      <c r="W54" s="1304">
        <f t="shared" si="17"/>
        <v>1.75</v>
      </c>
      <c r="X54" s="1305" t="e">
        <f t="shared" si="18"/>
        <v>#DIV/0!</v>
      </c>
    </row>
    <row r="55" spans="1:24" s="1" customFormat="1" ht="15" customHeight="1" x14ac:dyDescent="0.2">
      <c r="A55" s="207" t="s">
        <v>50</v>
      </c>
      <c r="B55" s="202">
        <v>0</v>
      </c>
      <c r="C55" s="192">
        <f t="shared" si="8"/>
        <v>0</v>
      </c>
      <c r="D55" s="202">
        <v>0</v>
      </c>
      <c r="E55" s="192">
        <f t="shared" si="9"/>
        <v>0</v>
      </c>
      <c r="F55" s="202">
        <v>0</v>
      </c>
      <c r="G55" s="192">
        <f t="shared" si="10"/>
        <v>0</v>
      </c>
      <c r="H55" s="202">
        <v>0</v>
      </c>
      <c r="I55" s="192">
        <f t="shared" si="11"/>
        <v>0</v>
      </c>
      <c r="J55" s="202">
        <v>0</v>
      </c>
      <c r="K55" s="192">
        <f t="shared" si="12"/>
        <v>0</v>
      </c>
      <c r="L55" s="477">
        <v>0</v>
      </c>
      <c r="M55" s="192">
        <f t="shared" si="13"/>
        <v>0</v>
      </c>
      <c r="N55" s="477">
        <v>1</v>
      </c>
      <c r="O55" s="192">
        <f t="shared" si="14"/>
        <v>0.2</v>
      </c>
      <c r="P55" s="477">
        <v>1</v>
      </c>
      <c r="Q55" s="192">
        <f t="shared" si="14"/>
        <v>0.16666666666666666</v>
      </c>
      <c r="R55" s="477">
        <v>0</v>
      </c>
      <c r="S55" s="192">
        <f t="shared" si="15"/>
        <v>0</v>
      </c>
      <c r="T55" s="202"/>
      <c r="U55" s="203" t="e">
        <f t="shared" si="16"/>
        <v>#DIV/0!</v>
      </c>
      <c r="V55" s="320"/>
      <c r="W55" s="1304">
        <f t="shared" si="17"/>
        <v>0.5</v>
      </c>
      <c r="X55" s="1305" t="e">
        <f t="shared" si="18"/>
        <v>#DIV/0!</v>
      </c>
    </row>
    <row r="56" spans="1:24" s="1" customFormat="1" ht="15" customHeight="1" x14ac:dyDescent="0.2">
      <c r="A56" s="207" t="s">
        <v>51</v>
      </c>
      <c r="B56" s="202">
        <v>0</v>
      </c>
      <c r="C56" s="192">
        <f t="shared" si="8"/>
        <v>0</v>
      </c>
      <c r="D56" s="202">
        <v>0</v>
      </c>
      <c r="E56" s="192">
        <f t="shared" si="9"/>
        <v>0</v>
      </c>
      <c r="F56" s="202">
        <v>0</v>
      </c>
      <c r="G56" s="192">
        <f t="shared" si="10"/>
        <v>0</v>
      </c>
      <c r="H56" s="202">
        <v>0</v>
      </c>
      <c r="I56" s="192">
        <f t="shared" si="11"/>
        <v>0</v>
      </c>
      <c r="J56" s="202">
        <v>0</v>
      </c>
      <c r="K56" s="192">
        <f t="shared" si="12"/>
        <v>0</v>
      </c>
      <c r="L56" s="477">
        <v>0</v>
      </c>
      <c r="M56" s="192">
        <f t="shared" si="13"/>
        <v>0</v>
      </c>
      <c r="N56" s="477">
        <v>0</v>
      </c>
      <c r="O56" s="192">
        <f t="shared" si="14"/>
        <v>0</v>
      </c>
      <c r="P56" s="477">
        <v>1</v>
      </c>
      <c r="Q56" s="192">
        <f t="shared" si="14"/>
        <v>0.16666666666666666</v>
      </c>
      <c r="R56" s="477">
        <v>1</v>
      </c>
      <c r="S56" s="192">
        <f t="shared" si="15"/>
        <v>0.14285714285714285</v>
      </c>
      <c r="T56" s="202"/>
      <c r="U56" s="203" t="e">
        <f t="shared" si="16"/>
        <v>#DIV/0!</v>
      </c>
      <c r="V56" s="320"/>
      <c r="W56" s="1304">
        <f t="shared" si="17"/>
        <v>0.5</v>
      </c>
      <c r="X56" s="1305" t="e">
        <f t="shared" si="18"/>
        <v>#DIV/0!</v>
      </c>
    </row>
    <row r="57" spans="1:24" s="1" customFormat="1" ht="15" customHeight="1" x14ac:dyDescent="0.2">
      <c r="A57" s="207" t="s">
        <v>52</v>
      </c>
      <c r="B57" s="202">
        <v>0</v>
      </c>
      <c r="C57" s="192">
        <f t="shared" si="8"/>
        <v>0</v>
      </c>
      <c r="D57" s="202">
        <v>0</v>
      </c>
      <c r="E57" s="192">
        <f t="shared" si="9"/>
        <v>0</v>
      </c>
      <c r="F57" s="202">
        <v>0</v>
      </c>
      <c r="G57" s="192">
        <f t="shared" si="10"/>
        <v>0</v>
      </c>
      <c r="H57" s="202">
        <v>0</v>
      </c>
      <c r="I57" s="192">
        <f t="shared" si="11"/>
        <v>0</v>
      </c>
      <c r="J57" s="202">
        <v>0</v>
      </c>
      <c r="K57" s="192">
        <f t="shared" si="12"/>
        <v>0</v>
      </c>
      <c r="L57" s="477">
        <v>0</v>
      </c>
      <c r="M57" s="192">
        <f t="shared" si="13"/>
        <v>0</v>
      </c>
      <c r="N57" s="477">
        <v>0</v>
      </c>
      <c r="O57" s="192">
        <f t="shared" si="14"/>
        <v>0</v>
      </c>
      <c r="P57" s="477">
        <v>0</v>
      </c>
      <c r="Q57" s="192">
        <f t="shared" si="14"/>
        <v>0</v>
      </c>
      <c r="R57" s="477">
        <v>0</v>
      </c>
      <c r="S57" s="192">
        <f t="shared" si="15"/>
        <v>0</v>
      </c>
      <c r="T57" s="202"/>
      <c r="U57" s="203" t="e">
        <f t="shared" si="16"/>
        <v>#DIV/0!</v>
      </c>
      <c r="V57" s="320"/>
      <c r="W57" s="1304">
        <f t="shared" si="17"/>
        <v>0</v>
      </c>
      <c r="X57" s="1305" t="e">
        <f t="shared" si="18"/>
        <v>#DIV/0!</v>
      </c>
    </row>
    <row r="58" spans="1:24" s="1" customFormat="1" ht="15" customHeight="1" x14ac:dyDescent="0.2">
      <c r="A58" s="207" t="s">
        <v>53</v>
      </c>
      <c r="B58" s="193">
        <v>0</v>
      </c>
      <c r="C58" s="192">
        <f t="shared" si="8"/>
        <v>0</v>
      </c>
      <c r="D58" s="1225"/>
      <c r="E58" s="1224"/>
      <c r="F58" s="1225"/>
      <c r="G58" s="1224"/>
      <c r="H58" s="202">
        <v>0</v>
      </c>
      <c r="I58" s="192">
        <f t="shared" si="11"/>
        <v>0</v>
      </c>
      <c r="J58" s="202">
        <v>1</v>
      </c>
      <c r="K58" s="192">
        <f t="shared" si="12"/>
        <v>0.33333333333333331</v>
      </c>
      <c r="L58" s="477">
        <v>1</v>
      </c>
      <c r="M58" s="192">
        <f>L58/M$49</f>
        <v>0.25</v>
      </c>
      <c r="N58" s="477">
        <v>1</v>
      </c>
      <c r="O58" s="192">
        <f>N58/O$49</f>
        <v>0.2</v>
      </c>
      <c r="P58" s="477">
        <v>1</v>
      </c>
      <c r="Q58" s="192">
        <f>P58/Q$49</f>
        <v>0.16666666666666666</v>
      </c>
      <c r="R58" s="477">
        <v>1</v>
      </c>
      <c r="S58" s="192">
        <f>R58/S$49</f>
        <v>0.14285714285714285</v>
      </c>
      <c r="T58" s="202"/>
      <c r="U58" s="203" t="e">
        <f>T58/U$49</f>
        <v>#DIV/0!</v>
      </c>
      <c r="V58" s="320"/>
      <c r="W58" s="1304">
        <f t="shared" si="17"/>
        <v>1</v>
      </c>
      <c r="X58" s="1305" t="e">
        <f t="shared" si="18"/>
        <v>#DIV/0!</v>
      </c>
    </row>
    <row r="59" spans="1:24" s="1" customFormat="1" ht="15" customHeight="1" thickBot="1" x14ac:dyDescent="0.25">
      <c r="A59" s="696" t="s">
        <v>54</v>
      </c>
      <c r="B59" s="193">
        <v>0</v>
      </c>
      <c r="C59" s="725">
        <f t="shared" si="8"/>
        <v>0</v>
      </c>
      <c r="D59" s="193">
        <v>0</v>
      </c>
      <c r="E59" s="725">
        <f t="shared" si="9"/>
        <v>0</v>
      </c>
      <c r="F59" s="193">
        <v>0</v>
      </c>
      <c r="G59" s="725">
        <f t="shared" si="10"/>
        <v>0</v>
      </c>
      <c r="H59" s="193">
        <v>0</v>
      </c>
      <c r="I59" s="725">
        <f t="shared" si="11"/>
        <v>0</v>
      </c>
      <c r="J59" s="193">
        <v>0</v>
      </c>
      <c r="K59" s="725">
        <f t="shared" si="12"/>
        <v>0</v>
      </c>
      <c r="L59" s="1024">
        <v>0</v>
      </c>
      <c r="M59" s="725">
        <f>L59/M$49</f>
        <v>0</v>
      </c>
      <c r="N59" s="1024">
        <v>0</v>
      </c>
      <c r="O59" s="725">
        <f>N59/O$49</f>
        <v>0</v>
      </c>
      <c r="P59" s="1024">
        <v>0</v>
      </c>
      <c r="Q59" s="725">
        <f>P59/Q$49</f>
        <v>0</v>
      </c>
      <c r="R59" s="1024">
        <v>0</v>
      </c>
      <c r="S59" s="725">
        <f>R59/S$49</f>
        <v>0</v>
      </c>
      <c r="T59" s="193"/>
      <c r="U59" s="726" t="e">
        <f>T59/U$49</f>
        <v>#DIV/0!</v>
      </c>
      <c r="V59" s="320"/>
      <c r="W59" s="1306">
        <f t="shared" si="17"/>
        <v>0</v>
      </c>
      <c r="X59" s="1307" t="e">
        <f t="shared" si="18"/>
        <v>#DIV/0!</v>
      </c>
    </row>
    <row r="60" spans="1:24" s="1" customFormat="1" ht="18" customHeight="1" x14ac:dyDescent="0.2">
      <c r="A60" s="680" t="s">
        <v>55</v>
      </c>
      <c r="B60" s="734"/>
      <c r="C60" s="733"/>
      <c r="D60" s="734"/>
      <c r="E60" s="733"/>
      <c r="F60" s="734"/>
      <c r="G60" s="733"/>
      <c r="H60" s="734"/>
      <c r="I60" s="733"/>
      <c r="J60" s="734"/>
      <c r="K60" s="733"/>
      <c r="L60" s="734"/>
      <c r="M60" s="733"/>
      <c r="N60" s="734"/>
      <c r="O60" s="733"/>
      <c r="P60" s="734"/>
      <c r="Q60" s="733"/>
      <c r="R60" s="734"/>
      <c r="S60" s="733"/>
      <c r="T60" s="734"/>
      <c r="U60" s="735"/>
      <c r="V60" s="320"/>
      <c r="W60" s="1308"/>
      <c r="X60" s="1309"/>
    </row>
    <row r="61" spans="1:24" s="1" customFormat="1" ht="15" customHeight="1" x14ac:dyDescent="0.2">
      <c r="A61" s="200" t="s">
        <v>56</v>
      </c>
      <c r="B61" s="478">
        <v>0</v>
      </c>
      <c r="C61" s="192">
        <f>B61/C$49</f>
        <v>0</v>
      </c>
      <c r="D61" s="477">
        <v>1</v>
      </c>
      <c r="E61" s="192">
        <f>D61/E$49</f>
        <v>0.25</v>
      </c>
      <c r="F61" s="478">
        <v>1</v>
      </c>
      <c r="G61" s="192">
        <f>F61/G$49</f>
        <v>0.33333333333333331</v>
      </c>
      <c r="H61" s="478">
        <v>1</v>
      </c>
      <c r="I61" s="192">
        <f>H61/I$49</f>
        <v>0.33333333333333331</v>
      </c>
      <c r="J61" s="478">
        <v>0</v>
      </c>
      <c r="K61" s="192">
        <f>J61/K$49</f>
        <v>0</v>
      </c>
      <c r="L61" s="478">
        <v>0</v>
      </c>
      <c r="M61" s="192">
        <f>L61/M$49</f>
        <v>0</v>
      </c>
      <c r="N61" s="478">
        <v>0</v>
      </c>
      <c r="O61" s="192">
        <f>N61/O$49</f>
        <v>0</v>
      </c>
      <c r="P61" s="478">
        <v>0</v>
      </c>
      <c r="Q61" s="192">
        <f>P61/Q$49</f>
        <v>0</v>
      </c>
      <c r="R61" s="478">
        <v>1</v>
      </c>
      <c r="S61" s="192">
        <f>R61/S$49</f>
        <v>0.14285714285714285</v>
      </c>
      <c r="T61" s="209"/>
      <c r="U61" s="203" t="e">
        <f>T61/U$49</f>
        <v>#DIV/0!</v>
      </c>
      <c r="V61" s="320"/>
      <c r="W61" s="1304">
        <f t="shared" si="17"/>
        <v>0.25</v>
      </c>
      <c r="X61" s="1305" t="e">
        <f t="shared" si="18"/>
        <v>#DIV/0!</v>
      </c>
    </row>
    <row r="62" spans="1:24" s="1" customFormat="1" ht="15" customHeight="1" thickBot="1" x14ac:dyDescent="0.25">
      <c r="A62" s="696" t="s">
        <v>57</v>
      </c>
      <c r="B62" s="1024">
        <v>2</v>
      </c>
      <c r="C62" s="725">
        <f>B62/C$49</f>
        <v>1</v>
      </c>
      <c r="D62" s="1024">
        <v>3</v>
      </c>
      <c r="E62" s="725">
        <f>D62/E$49</f>
        <v>0.75</v>
      </c>
      <c r="F62" s="1024">
        <v>2</v>
      </c>
      <c r="G62" s="725">
        <f>F62/G$49</f>
        <v>0.66666666666666663</v>
      </c>
      <c r="H62" s="1024">
        <v>2</v>
      </c>
      <c r="I62" s="725">
        <f>H62/I$49</f>
        <v>0.66666666666666663</v>
      </c>
      <c r="J62" s="1024">
        <v>3</v>
      </c>
      <c r="K62" s="725">
        <f>J62/K$49</f>
        <v>1</v>
      </c>
      <c r="L62" s="1024">
        <v>4</v>
      </c>
      <c r="M62" s="725">
        <f>L62/M$49</f>
        <v>1</v>
      </c>
      <c r="N62" s="1024">
        <v>5</v>
      </c>
      <c r="O62" s="725">
        <f>N62/O$49</f>
        <v>1</v>
      </c>
      <c r="P62" s="1024">
        <v>6</v>
      </c>
      <c r="Q62" s="725">
        <f>P62/Q$49</f>
        <v>1</v>
      </c>
      <c r="R62" s="1024">
        <v>6</v>
      </c>
      <c r="S62" s="725">
        <f>R62/S$49</f>
        <v>0.8571428571428571</v>
      </c>
      <c r="T62" s="730"/>
      <c r="U62" s="726" t="e">
        <f>T62/U$49</f>
        <v>#DIV/0!</v>
      </c>
      <c r="V62" s="320"/>
      <c r="W62" s="1306">
        <f t="shared" si="17"/>
        <v>5.25</v>
      </c>
      <c r="X62" s="1307" t="e">
        <f t="shared" si="18"/>
        <v>#DIV/0!</v>
      </c>
    </row>
    <row r="63" spans="1:24" s="1" customFormat="1" ht="18" customHeight="1" x14ac:dyDescent="0.2">
      <c r="A63" s="680" t="s">
        <v>58</v>
      </c>
      <c r="B63" s="1025"/>
      <c r="C63" s="740"/>
      <c r="D63" s="1025"/>
      <c r="E63" s="740"/>
      <c r="F63" s="1025"/>
      <c r="G63" s="740"/>
      <c r="H63" s="1025"/>
      <c r="I63" s="740"/>
      <c r="J63" s="1025"/>
      <c r="K63" s="740"/>
      <c r="L63" s="1025"/>
      <c r="M63" s="740"/>
      <c r="N63" s="1025"/>
      <c r="O63" s="740"/>
      <c r="P63" s="1025"/>
      <c r="Q63" s="740"/>
      <c r="R63" s="1025"/>
      <c r="S63" s="740"/>
      <c r="T63" s="741"/>
      <c r="U63" s="742"/>
      <c r="V63" s="320"/>
      <c r="W63" s="1308"/>
      <c r="X63" s="1309"/>
    </row>
    <row r="64" spans="1:24" s="1" customFormat="1" ht="15" customHeight="1" x14ac:dyDescent="0.2">
      <c r="A64" s="200" t="s">
        <v>59</v>
      </c>
      <c r="B64" s="477">
        <v>0</v>
      </c>
      <c r="C64" s="192">
        <f>B64/C$49</f>
        <v>0</v>
      </c>
      <c r="D64" s="477">
        <v>0</v>
      </c>
      <c r="E64" s="192">
        <f>D64/E$49</f>
        <v>0</v>
      </c>
      <c r="F64" s="477">
        <v>0</v>
      </c>
      <c r="G64" s="192">
        <f>F64/G$49</f>
        <v>0</v>
      </c>
      <c r="H64" s="477">
        <v>0</v>
      </c>
      <c r="I64" s="192">
        <f>H64/I$49</f>
        <v>0</v>
      </c>
      <c r="J64" s="477">
        <v>0</v>
      </c>
      <c r="K64" s="192">
        <f>J64/K$49</f>
        <v>0</v>
      </c>
      <c r="L64" s="477">
        <v>0</v>
      </c>
      <c r="M64" s="192">
        <f>L64/M$49</f>
        <v>0</v>
      </c>
      <c r="N64" s="477">
        <v>1</v>
      </c>
      <c r="O64" s="192">
        <f>N64/O$49</f>
        <v>0.2</v>
      </c>
      <c r="P64" s="477">
        <v>2</v>
      </c>
      <c r="Q64" s="192">
        <f>P64/Q$49</f>
        <v>0.33333333333333331</v>
      </c>
      <c r="R64" s="477">
        <v>2</v>
      </c>
      <c r="S64" s="192">
        <f>R64/S$49</f>
        <v>0.2857142857142857</v>
      </c>
      <c r="T64" s="211"/>
      <c r="U64" s="203" t="e">
        <f>T64/U$49</f>
        <v>#DIV/0!</v>
      </c>
      <c r="V64" s="320"/>
      <c r="W64" s="1304">
        <f t="shared" si="17"/>
        <v>1.25</v>
      </c>
      <c r="X64" s="1305" t="e">
        <f t="shared" si="18"/>
        <v>#DIV/0!</v>
      </c>
    </row>
    <row r="65" spans="1:24" s="1" customFormat="1" ht="15" customHeight="1" x14ac:dyDescent="0.2">
      <c r="A65" s="200" t="s">
        <v>60</v>
      </c>
      <c r="B65" s="477">
        <v>0</v>
      </c>
      <c r="C65" s="192">
        <f>B65/C$49</f>
        <v>0</v>
      </c>
      <c r="D65" s="477">
        <v>1</v>
      </c>
      <c r="E65" s="192">
        <f>D65/E$49</f>
        <v>0.25</v>
      </c>
      <c r="F65" s="477">
        <v>2</v>
      </c>
      <c r="G65" s="192">
        <f>F65/G$49</f>
        <v>0.66666666666666663</v>
      </c>
      <c r="H65" s="477">
        <v>2</v>
      </c>
      <c r="I65" s="192">
        <f>H65/I$49</f>
        <v>0.66666666666666663</v>
      </c>
      <c r="J65" s="477">
        <v>1</v>
      </c>
      <c r="K65" s="192">
        <f>J65/K$49</f>
        <v>0.33333333333333331</v>
      </c>
      <c r="L65" s="477">
        <v>1</v>
      </c>
      <c r="M65" s="192">
        <f>L65/M$49</f>
        <v>0.25</v>
      </c>
      <c r="N65" s="477">
        <v>2</v>
      </c>
      <c r="O65" s="192">
        <f>N65/O$49</f>
        <v>0.4</v>
      </c>
      <c r="P65" s="477">
        <v>1</v>
      </c>
      <c r="Q65" s="192">
        <f>P65/Q$49</f>
        <v>0.16666666666666666</v>
      </c>
      <c r="R65" s="477">
        <v>1</v>
      </c>
      <c r="S65" s="192">
        <f>R65/S$49</f>
        <v>0.14285714285714285</v>
      </c>
      <c r="T65" s="211"/>
      <c r="U65" s="203" t="e">
        <f>T65/U$49</f>
        <v>#DIV/0!</v>
      </c>
      <c r="V65" s="320"/>
      <c r="W65" s="1304">
        <f t="shared" si="17"/>
        <v>1.25</v>
      </c>
      <c r="X65" s="1305" t="e">
        <f t="shared" si="18"/>
        <v>#DIV/0!</v>
      </c>
    </row>
    <row r="66" spans="1:24" s="1" customFormat="1" ht="15" customHeight="1" thickBot="1" x14ac:dyDescent="0.25">
      <c r="A66" s="696" t="s">
        <v>61</v>
      </c>
      <c r="B66" s="1024">
        <v>2</v>
      </c>
      <c r="C66" s="725">
        <f>B66/C$49</f>
        <v>1</v>
      </c>
      <c r="D66" s="1024">
        <v>3</v>
      </c>
      <c r="E66" s="725">
        <f>D66/E$49</f>
        <v>0.75</v>
      </c>
      <c r="F66" s="1024">
        <v>1</v>
      </c>
      <c r="G66" s="725">
        <f>F66/G$49</f>
        <v>0.33333333333333331</v>
      </c>
      <c r="H66" s="1024">
        <v>1</v>
      </c>
      <c r="I66" s="725">
        <f>H66/I$49</f>
        <v>0.33333333333333331</v>
      </c>
      <c r="J66" s="1024">
        <v>2</v>
      </c>
      <c r="K66" s="725">
        <f>J66/K$49</f>
        <v>0.66666666666666663</v>
      </c>
      <c r="L66" s="1024">
        <v>3</v>
      </c>
      <c r="M66" s="725">
        <f>L66/M$49</f>
        <v>0.75</v>
      </c>
      <c r="N66" s="1024">
        <v>2</v>
      </c>
      <c r="O66" s="725">
        <f>N66/O$49</f>
        <v>0.4</v>
      </c>
      <c r="P66" s="1024">
        <v>3</v>
      </c>
      <c r="Q66" s="725">
        <f>P66/Q$49</f>
        <v>0.5</v>
      </c>
      <c r="R66" s="1024">
        <v>4</v>
      </c>
      <c r="S66" s="725">
        <f>R66/S$49</f>
        <v>0.5714285714285714</v>
      </c>
      <c r="T66" s="730"/>
      <c r="U66" s="726" t="e">
        <f>T66/U$49</f>
        <v>#DIV/0!</v>
      </c>
      <c r="V66" s="320"/>
      <c r="W66" s="1306">
        <f t="shared" si="17"/>
        <v>3</v>
      </c>
      <c r="X66" s="1307" t="e">
        <f t="shared" si="18"/>
        <v>#DIV/0!</v>
      </c>
    </row>
    <row r="67" spans="1:24" s="1" customFormat="1" ht="18" customHeight="1" x14ac:dyDescent="0.2">
      <c r="A67" s="680" t="s">
        <v>62</v>
      </c>
      <c r="B67" s="1025"/>
      <c r="C67" s="740"/>
      <c r="D67" s="1025"/>
      <c r="E67" s="740"/>
      <c r="F67" s="1025"/>
      <c r="G67" s="740"/>
      <c r="H67" s="1025"/>
      <c r="I67" s="740"/>
      <c r="J67" s="1025"/>
      <c r="K67" s="740"/>
      <c r="L67" s="1025"/>
      <c r="M67" s="740"/>
      <c r="N67" s="1025"/>
      <c r="O67" s="740"/>
      <c r="P67" s="1025"/>
      <c r="Q67" s="740"/>
      <c r="R67" s="1025"/>
      <c r="S67" s="740"/>
      <c r="T67" s="741"/>
      <c r="U67" s="742"/>
      <c r="V67" s="320"/>
      <c r="W67" s="1308"/>
      <c r="X67" s="1309"/>
    </row>
    <row r="68" spans="1:24" s="1" customFormat="1" ht="15" customHeight="1" x14ac:dyDescent="0.2">
      <c r="A68" s="200" t="s">
        <v>63</v>
      </c>
      <c r="B68" s="477">
        <v>0</v>
      </c>
      <c r="C68" s="192">
        <f>B68/C$49</f>
        <v>0</v>
      </c>
      <c r="D68" s="477">
        <v>2</v>
      </c>
      <c r="E68" s="192">
        <f>D68/E$49</f>
        <v>0.5</v>
      </c>
      <c r="F68" s="477">
        <v>2</v>
      </c>
      <c r="G68" s="192">
        <f>F68/G$49</f>
        <v>0.66666666666666663</v>
      </c>
      <c r="H68" s="477">
        <v>2</v>
      </c>
      <c r="I68" s="192">
        <f>H68/I$49</f>
        <v>0.66666666666666663</v>
      </c>
      <c r="J68" s="477">
        <v>1</v>
      </c>
      <c r="K68" s="192">
        <f>J68/K$49</f>
        <v>0.33333333333333331</v>
      </c>
      <c r="L68" s="477">
        <v>2</v>
      </c>
      <c r="M68" s="192">
        <f>L68/M$49</f>
        <v>0.5</v>
      </c>
      <c r="N68" s="477">
        <v>4</v>
      </c>
      <c r="O68" s="192">
        <f>N68/O$49</f>
        <v>0.8</v>
      </c>
      <c r="P68" s="477">
        <v>6</v>
      </c>
      <c r="Q68" s="192">
        <f>P68/Q$49</f>
        <v>1</v>
      </c>
      <c r="R68" s="477">
        <v>7</v>
      </c>
      <c r="S68" s="192">
        <f>R68/S$49</f>
        <v>1</v>
      </c>
      <c r="T68" s="211"/>
      <c r="U68" s="203" t="e">
        <f>T68/U$49</f>
        <v>#DIV/0!</v>
      </c>
      <c r="V68" s="320"/>
      <c r="W68" s="1304">
        <f t="shared" si="17"/>
        <v>4.75</v>
      </c>
      <c r="X68" s="1305" t="e">
        <f t="shared" si="18"/>
        <v>#DIV/0!</v>
      </c>
    </row>
    <row r="69" spans="1:24" s="1" customFormat="1" ht="15" customHeight="1" x14ac:dyDescent="0.2">
      <c r="A69" s="200" t="s">
        <v>64</v>
      </c>
      <c r="B69" s="477">
        <v>2</v>
      </c>
      <c r="C69" s="192">
        <f>B69/C$49</f>
        <v>1</v>
      </c>
      <c r="D69" s="477">
        <v>2</v>
      </c>
      <c r="E69" s="192">
        <f>D69/E$49</f>
        <v>0.5</v>
      </c>
      <c r="F69" s="477">
        <v>1</v>
      </c>
      <c r="G69" s="192">
        <f>F69/G$49</f>
        <v>0.33333333333333331</v>
      </c>
      <c r="H69" s="477">
        <v>1</v>
      </c>
      <c r="I69" s="192">
        <f>H69/I$49</f>
        <v>0.33333333333333331</v>
      </c>
      <c r="J69" s="477">
        <v>2</v>
      </c>
      <c r="K69" s="192">
        <f>J69/K$49</f>
        <v>0.66666666666666663</v>
      </c>
      <c r="L69" s="477">
        <v>2</v>
      </c>
      <c r="M69" s="192">
        <f>L69/M$49</f>
        <v>0.5</v>
      </c>
      <c r="N69" s="477">
        <v>1</v>
      </c>
      <c r="O69" s="192">
        <f>N69/O$49</f>
        <v>0.2</v>
      </c>
      <c r="P69" s="477">
        <v>0</v>
      </c>
      <c r="Q69" s="192">
        <f>P69/Q$49</f>
        <v>0</v>
      </c>
      <c r="R69" s="477">
        <v>0</v>
      </c>
      <c r="S69" s="192">
        <f>R69/S$49</f>
        <v>0</v>
      </c>
      <c r="T69" s="211"/>
      <c r="U69" s="203" t="e">
        <f>T69/U$49</f>
        <v>#DIV/0!</v>
      </c>
      <c r="V69" s="320"/>
      <c r="W69" s="1304">
        <f t="shared" si="17"/>
        <v>0.75</v>
      </c>
      <c r="X69" s="1305" t="e">
        <f t="shared" si="18"/>
        <v>#DIV/0!</v>
      </c>
    </row>
    <row r="70" spans="1:24" s="1" customFormat="1" ht="15" customHeight="1" x14ac:dyDescent="0.2">
      <c r="A70" s="200" t="s">
        <v>65</v>
      </c>
      <c r="B70" s="477">
        <v>0</v>
      </c>
      <c r="C70" s="192">
        <f>B70/C$49</f>
        <v>0</v>
      </c>
      <c r="D70" s="477">
        <v>0</v>
      </c>
      <c r="E70" s="192">
        <f>D70/E$49</f>
        <v>0</v>
      </c>
      <c r="F70" s="477">
        <v>0</v>
      </c>
      <c r="G70" s="192">
        <f>F70/G$49</f>
        <v>0</v>
      </c>
      <c r="H70" s="477">
        <v>0</v>
      </c>
      <c r="I70" s="192">
        <f>H70/I$49</f>
        <v>0</v>
      </c>
      <c r="J70" s="477">
        <v>0</v>
      </c>
      <c r="K70" s="192">
        <f>J70/K$49</f>
        <v>0</v>
      </c>
      <c r="L70" s="477">
        <v>0</v>
      </c>
      <c r="M70" s="192">
        <f>L70/M$49</f>
        <v>0</v>
      </c>
      <c r="N70" s="477">
        <v>0</v>
      </c>
      <c r="O70" s="192">
        <f>N70/O$49</f>
        <v>0</v>
      </c>
      <c r="P70" s="477">
        <v>0</v>
      </c>
      <c r="Q70" s="192">
        <f>P70/Q$49</f>
        <v>0</v>
      </c>
      <c r="R70" s="477">
        <v>0</v>
      </c>
      <c r="S70" s="192">
        <f>R70/S$49</f>
        <v>0</v>
      </c>
      <c r="T70" s="211"/>
      <c r="U70" s="203" t="e">
        <f>T70/U$49</f>
        <v>#DIV/0!</v>
      </c>
      <c r="V70" s="195"/>
      <c r="W70" s="1304">
        <f t="shared" si="17"/>
        <v>0</v>
      </c>
      <c r="X70" s="1305" t="e">
        <f t="shared" si="18"/>
        <v>#DIV/0!</v>
      </c>
    </row>
    <row r="71" spans="1:24" s="1" customFormat="1" ht="15" customHeight="1" thickBot="1" x14ac:dyDescent="0.25">
      <c r="A71" s="212" t="s">
        <v>66</v>
      </c>
      <c r="B71" s="479">
        <v>0</v>
      </c>
      <c r="C71" s="215">
        <f>B71/C$49</f>
        <v>0</v>
      </c>
      <c r="D71" s="479">
        <v>0</v>
      </c>
      <c r="E71" s="215">
        <f>D71/E$49</f>
        <v>0</v>
      </c>
      <c r="F71" s="479">
        <v>0</v>
      </c>
      <c r="G71" s="215">
        <f>F71/G$49</f>
        <v>0</v>
      </c>
      <c r="H71" s="479">
        <v>0</v>
      </c>
      <c r="I71" s="215">
        <f>H71/I$49</f>
        <v>0</v>
      </c>
      <c r="J71" s="479">
        <v>0</v>
      </c>
      <c r="K71" s="215">
        <f>J71/K$49</f>
        <v>0</v>
      </c>
      <c r="L71" s="479">
        <v>0</v>
      </c>
      <c r="M71" s="215">
        <f>L71/M$49</f>
        <v>0</v>
      </c>
      <c r="N71" s="479">
        <v>0</v>
      </c>
      <c r="O71" s="215">
        <f>N71/O$49</f>
        <v>0</v>
      </c>
      <c r="P71" s="479">
        <v>0</v>
      </c>
      <c r="Q71" s="215">
        <f>P71/Q$49</f>
        <v>0</v>
      </c>
      <c r="R71" s="479">
        <v>0</v>
      </c>
      <c r="S71" s="215">
        <f>R71/S$49</f>
        <v>0</v>
      </c>
      <c r="T71" s="217"/>
      <c r="U71" s="218" t="e">
        <f>T71/U$49</f>
        <v>#DIV/0!</v>
      </c>
      <c r="V71" s="195"/>
      <c r="W71" s="1310">
        <f t="shared" si="17"/>
        <v>0</v>
      </c>
      <c r="X71" s="1311" t="e">
        <f t="shared" si="18"/>
        <v>#DIV/0!</v>
      </c>
    </row>
    <row r="72" spans="1:24" ht="15" customHeight="1" thickTop="1" x14ac:dyDescent="0.2">
      <c r="A72" s="743" t="s">
        <v>248</v>
      </c>
    </row>
    <row r="73" spans="1:24" ht="15" customHeight="1" x14ac:dyDescent="0.2">
      <c r="A73" s="1"/>
      <c r="H73" s="65" t="s">
        <v>19</v>
      </c>
      <c r="J73" s="65" t="s">
        <v>19</v>
      </c>
      <c r="L73" s="65" t="s">
        <v>19</v>
      </c>
      <c r="N73" s="65" t="s">
        <v>19</v>
      </c>
      <c r="P73" s="65" t="s">
        <v>19</v>
      </c>
      <c r="R73" s="65" t="s">
        <v>19</v>
      </c>
      <c r="T73" s="65" t="s">
        <v>19</v>
      </c>
    </row>
    <row r="74" spans="1:24" ht="15" customHeight="1" x14ac:dyDescent="0.2">
      <c r="A74" s="1"/>
    </row>
    <row r="75" spans="1:24" x14ac:dyDescent="0.2">
      <c r="A75" s="1"/>
    </row>
    <row r="76" spans="1:24" x14ac:dyDescent="0.2">
      <c r="A76" s="1"/>
    </row>
    <row r="77" spans="1:24" x14ac:dyDescent="0.2">
      <c r="A77" s="1"/>
    </row>
    <row r="78" spans="1:24" x14ac:dyDescent="0.2">
      <c r="A78" s="1"/>
    </row>
    <row r="79" spans="1:24" x14ac:dyDescent="0.2">
      <c r="A79" s="1"/>
    </row>
    <row r="80" spans="1:24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x14ac:dyDescent="0.2">
      <c r="A84" s="1"/>
    </row>
    <row r="85" spans="1:1" x14ac:dyDescent="0.2">
      <c r="A85" s="1"/>
    </row>
    <row r="86" spans="1:1" x14ac:dyDescent="0.2">
      <c r="A86" s="1"/>
    </row>
    <row r="87" spans="1:1" x14ac:dyDescent="0.2">
      <c r="A87" s="1"/>
    </row>
    <row r="88" spans="1:1" x14ac:dyDescent="0.2">
      <c r="A88" s="1"/>
    </row>
    <row r="89" spans="1:1" x14ac:dyDescent="0.2">
      <c r="A89" s="1"/>
    </row>
    <row r="90" spans="1:1" x14ac:dyDescent="0.2">
      <c r="A90" s="1"/>
    </row>
    <row r="91" spans="1:1" x14ac:dyDescent="0.2">
      <c r="A91" s="1"/>
    </row>
    <row r="92" spans="1:1" x14ac:dyDescent="0.2">
      <c r="A92" s="1"/>
    </row>
    <row r="93" spans="1:1" x14ac:dyDescent="0.2">
      <c r="A93" s="1"/>
    </row>
    <row r="94" spans="1:1" x14ac:dyDescent="0.2">
      <c r="A94" s="1"/>
    </row>
    <row r="95" spans="1:1" x14ac:dyDescent="0.2">
      <c r="A95" s="1"/>
    </row>
    <row r="96" spans="1:1" x14ac:dyDescent="0.2">
      <c r="A96" s="1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x14ac:dyDescent="0.2">
      <c r="A100" s="1"/>
    </row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x14ac:dyDescent="0.2">
      <c r="A107" s="1"/>
    </row>
    <row r="108" spans="1:1" x14ac:dyDescent="0.2">
      <c r="A108" s="1"/>
    </row>
    <row r="109" spans="1:1" x14ac:dyDescent="0.2">
      <c r="A109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x14ac:dyDescent="0.2">
      <c r="A120" s="1"/>
    </row>
    <row r="121" spans="1:1" x14ac:dyDescent="0.2">
      <c r="A121" s="1"/>
    </row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x14ac:dyDescent="0.2">
      <c r="A128" s="1"/>
    </row>
    <row r="129" spans="1:1" x14ac:dyDescent="0.2">
      <c r="A129" s="1"/>
    </row>
    <row r="130" spans="1:1" x14ac:dyDescent="0.2">
      <c r="A130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x14ac:dyDescent="0.2">
      <c r="A152" s="1"/>
    </row>
    <row r="153" spans="1:1" x14ac:dyDescent="0.2">
      <c r="A153" s="1"/>
    </row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  <row r="177" spans="1:1" x14ac:dyDescent="0.2">
      <c r="A177" s="1"/>
    </row>
    <row r="178" spans="1:1" x14ac:dyDescent="0.2">
      <c r="A178" s="1"/>
    </row>
    <row r="179" spans="1:1" x14ac:dyDescent="0.2">
      <c r="A179" s="1"/>
    </row>
    <row r="180" spans="1:1" x14ac:dyDescent="0.2">
      <c r="A180" s="1"/>
    </row>
    <row r="181" spans="1:1" x14ac:dyDescent="0.2">
      <c r="A181" s="1"/>
    </row>
    <row r="182" spans="1:1" x14ac:dyDescent="0.2">
      <c r="A182" s="1"/>
    </row>
    <row r="183" spans="1:1" x14ac:dyDescent="0.2">
      <c r="A183" s="1"/>
    </row>
    <row r="184" spans="1:1" x14ac:dyDescent="0.2">
      <c r="A184" s="1"/>
    </row>
    <row r="185" spans="1:1" x14ac:dyDescent="0.2">
      <c r="A185" s="1"/>
    </row>
    <row r="186" spans="1:1" x14ac:dyDescent="0.2">
      <c r="A186" s="1"/>
    </row>
    <row r="187" spans="1:1" x14ac:dyDescent="0.2">
      <c r="A187" s="1"/>
    </row>
    <row r="188" spans="1:1" x14ac:dyDescent="0.2">
      <c r="A188" s="1"/>
    </row>
    <row r="189" spans="1:1" x14ac:dyDescent="0.2">
      <c r="A189" s="1"/>
    </row>
    <row r="190" spans="1:1" x14ac:dyDescent="0.2">
      <c r="A190" s="1"/>
    </row>
    <row r="191" spans="1:1" x14ac:dyDescent="0.2">
      <c r="A191" s="1"/>
    </row>
    <row r="192" spans="1:1" x14ac:dyDescent="0.2">
      <c r="A192" s="1"/>
    </row>
    <row r="193" spans="1:1" x14ac:dyDescent="0.2">
      <c r="A193" s="1"/>
    </row>
    <row r="194" spans="1:1" x14ac:dyDescent="0.2">
      <c r="A194" s="1"/>
    </row>
    <row r="195" spans="1:1" x14ac:dyDescent="0.2">
      <c r="A195" s="1"/>
    </row>
    <row r="196" spans="1:1" x14ac:dyDescent="0.2">
      <c r="A196" s="1"/>
    </row>
    <row r="197" spans="1:1" x14ac:dyDescent="0.2">
      <c r="A197" s="1"/>
    </row>
    <row r="198" spans="1:1" x14ac:dyDescent="0.2">
      <c r="A198" s="1"/>
    </row>
    <row r="199" spans="1:1" x14ac:dyDescent="0.2">
      <c r="A199" s="1"/>
    </row>
    <row r="200" spans="1:1" x14ac:dyDescent="0.2">
      <c r="A200" s="1"/>
    </row>
    <row r="201" spans="1:1" x14ac:dyDescent="0.2">
      <c r="A201" s="1"/>
    </row>
    <row r="202" spans="1:1" x14ac:dyDescent="0.2">
      <c r="A202" s="1"/>
    </row>
    <row r="203" spans="1:1" x14ac:dyDescent="0.2">
      <c r="A203" s="1"/>
    </row>
    <row r="204" spans="1:1" x14ac:dyDescent="0.2">
      <c r="A204" s="1"/>
    </row>
    <row r="205" spans="1:1" x14ac:dyDescent="0.2">
      <c r="A205" s="1"/>
    </row>
    <row r="206" spans="1:1" x14ac:dyDescent="0.2">
      <c r="A206" s="1"/>
    </row>
    <row r="207" spans="1:1" x14ac:dyDescent="0.2">
      <c r="A207" s="1"/>
    </row>
    <row r="208" spans="1:1" x14ac:dyDescent="0.2">
      <c r="A208" s="1"/>
    </row>
    <row r="209" spans="1:1" x14ac:dyDescent="0.2">
      <c r="A209" s="1"/>
    </row>
    <row r="210" spans="1:1" x14ac:dyDescent="0.2">
      <c r="A210" s="1"/>
    </row>
    <row r="211" spans="1:1" x14ac:dyDescent="0.2">
      <c r="A211" s="1"/>
    </row>
    <row r="212" spans="1:1" x14ac:dyDescent="0.2">
      <c r="A212" s="1"/>
    </row>
    <row r="213" spans="1:1" x14ac:dyDescent="0.2">
      <c r="A213" s="1"/>
    </row>
    <row r="214" spans="1:1" x14ac:dyDescent="0.2">
      <c r="A214" s="1"/>
    </row>
    <row r="215" spans="1:1" x14ac:dyDescent="0.2">
      <c r="A215" s="1"/>
    </row>
    <row r="216" spans="1:1" x14ac:dyDescent="0.2">
      <c r="A216" s="1"/>
    </row>
    <row r="217" spans="1:1" x14ac:dyDescent="0.2">
      <c r="A217" s="1"/>
    </row>
    <row r="218" spans="1:1" x14ac:dyDescent="0.2">
      <c r="A218" s="1"/>
    </row>
    <row r="219" spans="1:1" x14ac:dyDescent="0.2">
      <c r="A219" s="1"/>
    </row>
    <row r="220" spans="1:1" x14ac:dyDescent="0.2">
      <c r="A220" s="1"/>
    </row>
    <row r="221" spans="1:1" x14ac:dyDescent="0.2">
      <c r="A221" s="1"/>
    </row>
    <row r="222" spans="1:1" x14ac:dyDescent="0.2">
      <c r="A222" s="1"/>
    </row>
    <row r="223" spans="1:1" x14ac:dyDescent="0.2">
      <c r="A223" s="1"/>
    </row>
    <row r="224" spans="1:1" x14ac:dyDescent="0.2">
      <c r="A224" s="1"/>
    </row>
    <row r="225" spans="1:1" x14ac:dyDescent="0.2">
      <c r="A225" s="1"/>
    </row>
    <row r="226" spans="1:1" x14ac:dyDescent="0.2">
      <c r="A226" s="1"/>
    </row>
    <row r="227" spans="1:1" x14ac:dyDescent="0.2">
      <c r="A227" s="1"/>
    </row>
    <row r="228" spans="1:1" x14ac:dyDescent="0.2">
      <c r="A228" s="1"/>
    </row>
    <row r="229" spans="1:1" x14ac:dyDescent="0.2">
      <c r="A229" s="1"/>
    </row>
    <row r="230" spans="1:1" x14ac:dyDescent="0.2">
      <c r="A230" s="1"/>
    </row>
    <row r="231" spans="1:1" x14ac:dyDescent="0.2">
      <c r="A231" s="1"/>
    </row>
    <row r="232" spans="1:1" x14ac:dyDescent="0.2">
      <c r="A232" s="1"/>
    </row>
    <row r="233" spans="1:1" x14ac:dyDescent="0.2">
      <c r="A233" s="1"/>
    </row>
    <row r="234" spans="1:1" x14ac:dyDescent="0.2">
      <c r="A234" s="1"/>
    </row>
    <row r="235" spans="1:1" x14ac:dyDescent="0.2">
      <c r="A235" s="1"/>
    </row>
    <row r="236" spans="1:1" x14ac:dyDescent="0.2">
      <c r="A236" s="1"/>
    </row>
    <row r="237" spans="1:1" x14ac:dyDescent="0.2">
      <c r="A237" s="1"/>
    </row>
    <row r="238" spans="1:1" x14ac:dyDescent="0.2">
      <c r="A238" s="1"/>
    </row>
    <row r="239" spans="1:1" x14ac:dyDescent="0.2">
      <c r="A239" s="1"/>
    </row>
    <row r="240" spans="1:1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6" spans="1:1" x14ac:dyDescent="0.2">
      <c r="A296" s="1"/>
    </row>
    <row r="297" spans="1:1" x14ac:dyDescent="0.2">
      <c r="A297" s="1"/>
    </row>
    <row r="298" spans="1:1" x14ac:dyDescent="0.2">
      <c r="A298" s="1"/>
    </row>
    <row r="299" spans="1:1" x14ac:dyDescent="0.2">
      <c r="A299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  <row r="303" spans="1:1" x14ac:dyDescent="0.2">
      <c r="A303" s="1"/>
    </row>
    <row r="304" spans="1:1" x14ac:dyDescent="0.2">
      <c r="A304" s="1"/>
    </row>
    <row r="305" spans="1:1" x14ac:dyDescent="0.2">
      <c r="A305" s="1"/>
    </row>
    <row r="306" spans="1:1" x14ac:dyDescent="0.2">
      <c r="A306" s="1"/>
    </row>
    <row r="307" spans="1:1" x14ac:dyDescent="0.2">
      <c r="A307" s="1"/>
    </row>
    <row r="308" spans="1:1" x14ac:dyDescent="0.2">
      <c r="A308" s="1"/>
    </row>
    <row r="309" spans="1:1" x14ac:dyDescent="0.2">
      <c r="A309" s="1"/>
    </row>
    <row r="310" spans="1:1" x14ac:dyDescent="0.2">
      <c r="A310" s="1"/>
    </row>
    <row r="311" spans="1:1" x14ac:dyDescent="0.2">
      <c r="A311" s="1"/>
    </row>
    <row r="312" spans="1:1" x14ac:dyDescent="0.2">
      <c r="A312" s="1"/>
    </row>
    <row r="313" spans="1:1" x14ac:dyDescent="0.2">
      <c r="A313" s="1"/>
    </row>
    <row r="314" spans="1:1" x14ac:dyDescent="0.2">
      <c r="A314" s="1"/>
    </row>
    <row r="315" spans="1:1" x14ac:dyDescent="0.2">
      <c r="A315" s="1"/>
    </row>
    <row r="316" spans="1:1" x14ac:dyDescent="0.2">
      <c r="A316" s="1"/>
    </row>
    <row r="317" spans="1:1" x14ac:dyDescent="0.2">
      <c r="A317" s="1"/>
    </row>
    <row r="318" spans="1:1" x14ac:dyDescent="0.2">
      <c r="A318" s="1"/>
    </row>
    <row r="319" spans="1:1" x14ac:dyDescent="0.2">
      <c r="A319" s="1"/>
    </row>
    <row r="320" spans="1:1" x14ac:dyDescent="0.2">
      <c r="A320" s="1"/>
    </row>
    <row r="321" spans="1:1" x14ac:dyDescent="0.2">
      <c r="A321" s="1"/>
    </row>
    <row r="322" spans="1:1" x14ac:dyDescent="0.2">
      <c r="A322" s="1"/>
    </row>
    <row r="323" spans="1:1" x14ac:dyDescent="0.2">
      <c r="A323" s="1"/>
    </row>
    <row r="324" spans="1:1" x14ac:dyDescent="0.2">
      <c r="A324" s="1"/>
    </row>
    <row r="325" spans="1:1" x14ac:dyDescent="0.2">
      <c r="A325" s="1"/>
    </row>
    <row r="326" spans="1:1" x14ac:dyDescent="0.2">
      <c r="A326" s="1"/>
    </row>
    <row r="327" spans="1:1" x14ac:dyDescent="0.2">
      <c r="A327" s="1"/>
    </row>
    <row r="328" spans="1:1" x14ac:dyDescent="0.2">
      <c r="A328" s="1"/>
    </row>
    <row r="329" spans="1:1" x14ac:dyDescent="0.2">
      <c r="A329" s="1"/>
    </row>
    <row r="330" spans="1:1" x14ac:dyDescent="0.2">
      <c r="A330" s="1"/>
    </row>
    <row r="331" spans="1:1" x14ac:dyDescent="0.2">
      <c r="A331" s="1"/>
    </row>
    <row r="332" spans="1:1" x14ac:dyDescent="0.2">
      <c r="A332" s="1"/>
    </row>
    <row r="333" spans="1:1" x14ac:dyDescent="0.2">
      <c r="A333" s="1"/>
    </row>
    <row r="334" spans="1:1" x14ac:dyDescent="0.2">
      <c r="A334" s="1"/>
    </row>
    <row r="335" spans="1:1" x14ac:dyDescent="0.2">
      <c r="A335" s="1"/>
    </row>
    <row r="336" spans="1:1" x14ac:dyDescent="0.2">
      <c r="A336" s="1"/>
    </row>
    <row r="337" spans="1:1" x14ac:dyDescent="0.2">
      <c r="A337" s="1"/>
    </row>
    <row r="338" spans="1:1" x14ac:dyDescent="0.2">
      <c r="A338" s="1"/>
    </row>
    <row r="339" spans="1:1" x14ac:dyDescent="0.2">
      <c r="A339" s="1"/>
    </row>
    <row r="340" spans="1:1" x14ac:dyDescent="0.2">
      <c r="A340" s="1"/>
    </row>
    <row r="341" spans="1:1" x14ac:dyDescent="0.2">
      <c r="A341" s="1"/>
    </row>
    <row r="342" spans="1:1" x14ac:dyDescent="0.2">
      <c r="A342" s="1"/>
    </row>
    <row r="343" spans="1:1" x14ac:dyDescent="0.2">
      <c r="A343" s="1"/>
    </row>
    <row r="344" spans="1:1" x14ac:dyDescent="0.2">
      <c r="A344" s="1"/>
    </row>
    <row r="345" spans="1:1" x14ac:dyDescent="0.2">
      <c r="A345" s="1"/>
    </row>
    <row r="346" spans="1:1" x14ac:dyDescent="0.2">
      <c r="A346" s="1"/>
    </row>
    <row r="347" spans="1:1" x14ac:dyDescent="0.2">
      <c r="A347" s="1"/>
    </row>
    <row r="348" spans="1:1" x14ac:dyDescent="0.2">
      <c r="A348" s="1"/>
    </row>
    <row r="349" spans="1:1" x14ac:dyDescent="0.2">
      <c r="A349" s="1"/>
    </row>
    <row r="350" spans="1:1" x14ac:dyDescent="0.2">
      <c r="A350" s="1"/>
    </row>
    <row r="351" spans="1:1" x14ac:dyDescent="0.2">
      <c r="A351" s="1"/>
    </row>
    <row r="352" spans="1:1" x14ac:dyDescent="0.2">
      <c r="A352" s="1"/>
    </row>
    <row r="353" spans="1:1" x14ac:dyDescent="0.2">
      <c r="A353" s="1"/>
    </row>
    <row r="354" spans="1:1" x14ac:dyDescent="0.2">
      <c r="A354" s="1"/>
    </row>
    <row r="355" spans="1:1" x14ac:dyDescent="0.2">
      <c r="A355" s="1"/>
    </row>
    <row r="356" spans="1:1" x14ac:dyDescent="0.2">
      <c r="A356" s="1"/>
    </row>
    <row r="357" spans="1:1" x14ac:dyDescent="0.2">
      <c r="A357" s="1"/>
    </row>
    <row r="358" spans="1:1" x14ac:dyDescent="0.2">
      <c r="A358" s="1"/>
    </row>
    <row r="359" spans="1:1" x14ac:dyDescent="0.2">
      <c r="A359" s="1"/>
    </row>
    <row r="360" spans="1:1" x14ac:dyDescent="0.2">
      <c r="A360" s="1"/>
    </row>
    <row r="361" spans="1:1" x14ac:dyDescent="0.2">
      <c r="A361" s="1"/>
    </row>
    <row r="362" spans="1:1" x14ac:dyDescent="0.2">
      <c r="A362" s="1"/>
    </row>
    <row r="363" spans="1:1" x14ac:dyDescent="0.2">
      <c r="A363" s="1"/>
    </row>
    <row r="364" spans="1:1" x14ac:dyDescent="0.2">
      <c r="A364" s="1"/>
    </row>
    <row r="365" spans="1:1" x14ac:dyDescent="0.2">
      <c r="A365" s="1"/>
    </row>
    <row r="366" spans="1:1" x14ac:dyDescent="0.2">
      <c r="A366" s="1"/>
    </row>
    <row r="367" spans="1:1" x14ac:dyDescent="0.2">
      <c r="A367" s="1"/>
    </row>
    <row r="368" spans="1:1" x14ac:dyDescent="0.2">
      <c r="A368" s="1"/>
    </row>
    <row r="369" spans="1:1" x14ac:dyDescent="0.2">
      <c r="A369" s="1"/>
    </row>
    <row r="370" spans="1:1" x14ac:dyDescent="0.2">
      <c r="A370" s="1"/>
    </row>
    <row r="371" spans="1:1" x14ac:dyDescent="0.2">
      <c r="A371" s="1"/>
    </row>
    <row r="372" spans="1:1" x14ac:dyDescent="0.2">
      <c r="A372" s="1"/>
    </row>
    <row r="373" spans="1:1" x14ac:dyDescent="0.2">
      <c r="A373" s="1"/>
    </row>
    <row r="374" spans="1:1" x14ac:dyDescent="0.2">
      <c r="A374" s="1"/>
    </row>
    <row r="375" spans="1:1" x14ac:dyDescent="0.2">
      <c r="A375" s="1"/>
    </row>
    <row r="376" spans="1:1" x14ac:dyDescent="0.2">
      <c r="A376" s="1"/>
    </row>
    <row r="377" spans="1:1" x14ac:dyDescent="0.2">
      <c r="A377" s="1"/>
    </row>
    <row r="378" spans="1:1" x14ac:dyDescent="0.2">
      <c r="A378" s="1"/>
    </row>
    <row r="379" spans="1:1" x14ac:dyDescent="0.2">
      <c r="A379" s="1"/>
    </row>
    <row r="380" spans="1:1" x14ac:dyDescent="0.2">
      <c r="A380" s="1"/>
    </row>
    <row r="381" spans="1:1" x14ac:dyDescent="0.2">
      <c r="A381" s="1"/>
    </row>
    <row r="382" spans="1:1" x14ac:dyDescent="0.2">
      <c r="A382" s="1"/>
    </row>
    <row r="383" spans="1:1" x14ac:dyDescent="0.2">
      <c r="A383" s="1"/>
    </row>
    <row r="384" spans="1:1" x14ac:dyDescent="0.2">
      <c r="A384" s="1"/>
    </row>
    <row r="385" spans="1:1" x14ac:dyDescent="0.2">
      <c r="A385" s="1"/>
    </row>
    <row r="386" spans="1:1" x14ac:dyDescent="0.2">
      <c r="A386" s="1"/>
    </row>
    <row r="387" spans="1:1" x14ac:dyDescent="0.2">
      <c r="A387" s="1"/>
    </row>
    <row r="388" spans="1:1" x14ac:dyDescent="0.2">
      <c r="A388" s="1"/>
    </row>
    <row r="389" spans="1:1" x14ac:dyDescent="0.2">
      <c r="A389" s="1"/>
    </row>
    <row r="390" spans="1:1" x14ac:dyDescent="0.2">
      <c r="A390" s="1"/>
    </row>
    <row r="391" spans="1:1" x14ac:dyDescent="0.2">
      <c r="A391" s="1"/>
    </row>
    <row r="392" spans="1:1" x14ac:dyDescent="0.2">
      <c r="A392" s="1"/>
    </row>
    <row r="393" spans="1:1" x14ac:dyDescent="0.2">
      <c r="A393" s="1"/>
    </row>
    <row r="394" spans="1:1" x14ac:dyDescent="0.2">
      <c r="A394" s="1"/>
    </row>
    <row r="395" spans="1:1" x14ac:dyDescent="0.2">
      <c r="A395" s="1"/>
    </row>
    <row r="396" spans="1:1" x14ac:dyDescent="0.2">
      <c r="A396" s="1"/>
    </row>
    <row r="397" spans="1:1" x14ac:dyDescent="0.2">
      <c r="A397" s="1"/>
    </row>
    <row r="398" spans="1:1" x14ac:dyDescent="0.2">
      <c r="A398" s="1"/>
    </row>
    <row r="399" spans="1:1" x14ac:dyDescent="0.2">
      <c r="A399" s="1"/>
    </row>
    <row r="400" spans="1:1" x14ac:dyDescent="0.2">
      <c r="A400" s="1"/>
    </row>
    <row r="401" spans="1:1" x14ac:dyDescent="0.2">
      <c r="A401" s="1"/>
    </row>
    <row r="402" spans="1:1" x14ac:dyDescent="0.2">
      <c r="A402" s="1"/>
    </row>
    <row r="403" spans="1:1" x14ac:dyDescent="0.2">
      <c r="A403" s="1"/>
    </row>
    <row r="404" spans="1:1" x14ac:dyDescent="0.2">
      <c r="A404" s="1"/>
    </row>
    <row r="405" spans="1:1" x14ac:dyDescent="0.2">
      <c r="A405" s="1"/>
    </row>
    <row r="406" spans="1:1" x14ac:dyDescent="0.2">
      <c r="A406" s="1"/>
    </row>
    <row r="407" spans="1:1" x14ac:dyDescent="0.2">
      <c r="A407" s="1"/>
    </row>
    <row r="408" spans="1:1" x14ac:dyDescent="0.2">
      <c r="A408" s="1"/>
    </row>
    <row r="409" spans="1:1" x14ac:dyDescent="0.2">
      <c r="A409" s="1"/>
    </row>
    <row r="410" spans="1:1" x14ac:dyDescent="0.2">
      <c r="A410" s="1"/>
    </row>
    <row r="411" spans="1:1" x14ac:dyDescent="0.2">
      <c r="A411" s="1"/>
    </row>
    <row r="412" spans="1:1" x14ac:dyDescent="0.2">
      <c r="A412" s="1"/>
    </row>
    <row r="413" spans="1:1" x14ac:dyDescent="0.2">
      <c r="A413" s="1"/>
    </row>
    <row r="414" spans="1:1" x14ac:dyDescent="0.2">
      <c r="A414" s="1"/>
    </row>
    <row r="415" spans="1:1" x14ac:dyDescent="0.2">
      <c r="A415" s="1"/>
    </row>
    <row r="416" spans="1:1" x14ac:dyDescent="0.2">
      <c r="A416" s="1"/>
    </row>
    <row r="417" spans="1:1" x14ac:dyDescent="0.2">
      <c r="A417" s="1"/>
    </row>
    <row r="418" spans="1:1" x14ac:dyDescent="0.2">
      <c r="A418" s="1"/>
    </row>
  </sheetData>
  <mergeCells count="77">
    <mergeCell ref="B9:C9"/>
    <mergeCell ref="D9:E9"/>
    <mergeCell ref="F9:G9"/>
    <mergeCell ref="H9:I9"/>
    <mergeCell ref="J9:K9"/>
    <mergeCell ref="L9:M9"/>
    <mergeCell ref="N9:O9"/>
    <mergeCell ref="R9:S9"/>
    <mergeCell ref="W9:X9"/>
    <mergeCell ref="P9:Q9"/>
    <mergeCell ref="T9:U9"/>
    <mergeCell ref="B18:C18"/>
    <mergeCell ref="D18:E18"/>
    <mergeCell ref="F18:G18"/>
    <mergeCell ref="H18:I18"/>
    <mergeCell ref="J18:K18"/>
    <mergeCell ref="L18:M18"/>
    <mergeCell ref="N18:O18"/>
    <mergeCell ref="P22:Q22"/>
    <mergeCell ref="R22:S22"/>
    <mergeCell ref="W22:X22"/>
    <mergeCell ref="R18:S18"/>
    <mergeCell ref="W18:X18"/>
    <mergeCell ref="P18:Q18"/>
    <mergeCell ref="T18:U18"/>
    <mergeCell ref="T22:U22"/>
    <mergeCell ref="J22:K22"/>
    <mergeCell ref="L22:M22"/>
    <mergeCell ref="N22:O22"/>
    <mergeCell ref="B22:C22"/>
    <mergeCell ref="D22:E22"/>
    <mergeCell ref="F22:G22"/>
    <mergeCell ref="H22:I22"/>
    <mergeCell ref="B31:C31"/>
    <mergeCell ref="D31:E31"/>
    <mergeCell ref="F31:G31"/>
    <mergeCell ref="H31:I31"/>
    <mergeCell ref="P31:Q31"/>
    <mergeCell ref="J31:K31"/>
    <mergeCell ref="L31:M31"/>
    <mergeCell ref="N31:O31"/>
    <mergeCell ref="R24:S24"/>
    <mergeCell ref="W24:X24"/>
    <mergeCell ref="P24:Q24"/>
    <mergeCell ref="B24:C24"/>
    <mergeCell ref="D24:E24"/>
    <mergeCell ref="F24:G24"/>
    <mergeCell ref="H24:I24"/>
    <mergeCell ref="J24:K24"/>
    <mergeCell ref="L24:M24"/>
    <mergeCell ref="N24:O24"/>
    <mergeCell ref="T24:U24"/>
    <mergeCell ref="R31:S31"/>
    <mergeCell ref="W34:X34"/>
    <mergeCell ref="P34:Q34"/>
    <mergeCell ref="R34:S34"/>
    <mergeCell ref="J34:K34"/>
    <mergeCell ref="L34:M34"/>
    <mergeCell ref="N34:O34"/>
    <mergeCell ref="W31:X31"/>
    <mergeCell ref="T31:U31"/>
    <mergeCell ref="T34:U34"/>
    <mergeCell ref="P37:Q37"/>
    <mergeCell ref="R37:S37"/>
    <mergeCell ref="W37:X37"/>
    <mergeCell ref="B37:C37"/>
    <mergeCell ref="D37:E37"/>
    <mergeCell ref="F37:G37"/>
    <mergeCell ref="H37:I37"/>
    <mergeCell ref="J37:K37"/>
    <mergeCell ref="T37:U37"/>
    <mergeCell ref="B34:C34"/>
    <mergeCell ref="D34:E34"/>
    <mergeCell ref="F34:G34"/>
    <mergeCell ref="L37:M37"/>
    <mergeCell ref="N37:O37"/>
    <mergeCell ref="H34:I34"/>
  </mergeCells>
  <printOptions horizontalCentered="1"/>
  <pageMargins left="0.7" right="0.7" top="0.5" bottom="0.5" header="0.25" footer="0.25"/>
  <pageSetup scale="70" orientation="landscape" r:id="rId1"/>
  <headerFooter alignWithMargins="0">
    <oddFooter>&amp;LPrepared by Planning and Analysis&amp;C&amp;P of &amp;N&amp;RUpdated &amp;D</oddFooter>
  </headerFooter>
  <rowBreaks count="1" manualBreakCount="1">
    <brk id="35" max="21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A424"/>
  <sheetViews>
    <sheetView view="pageBreakPreview" zoomScaleNormal="100" zoomScaleSheetLayoutView="100" workbookViewId="0">
      <pane xSplit="1" ySplit="1" topLeftCell="T2" activePane="bottomRight" state="frozen"/>
      <selection activeCell="T36" sqref="T36:U36"/>
      <selection pane="topRight" activeCell="T36" sqref="T36:U36"/>
      <selection pane="bottomLeft" activeCell="T36" sqref="T36:U36"/>
      <selection pane="bottomRight" activeCell="T36" sqref="T36:U36"/>
    </sheetView>
  </sheetViews>
  <sheetFormatPr defaultColWidth="10.28515625" defaultRowHeight="12.75" x14ac:dyDescent="0.2"/>
  <cols>
    <col min="1" max="1" width="33.5703125" customWidth="1"/>
    <col min="2" max="2" width="6.7109375" hidden="1" customWidth="1"/>
    <col min="3" max="3" width="10.7109375" hidden="1" customWidth="1"/>
    <col min="4" max="4" width="6.7109375" hidden="1" customWidth="1"/>
    <col min="5" max="5" width="10.7109375" hidden="1" customWidth="1"/>
    <col min="6" max="6" width="6.7109375" customWidth="1"/>
    <col min="7" max="7" width="10.7109375" customWidth="1"/>
    <col min="8" max="8" width="6.7109375" customWidth="1"/>
    <col min="9" max="9" width="10.7109375" customWidth="1"/>
    <col min="10" max="10" width="6.7109375" customWidth="1"/>
    <col min="11" max="11" width="10.7109375" customWidth="1"/>
    <col min="12" max="12" width="6.7109375" customWidth="1"/>
    <col min="13" max="13" width="10.7109375" customWidth="1"/>
    <col min="14" max="14" width="6.7109375" customWidth="1"/>
    <col min="15" max="15" width="10.7109375" customWidth="1"/>
    <col min="16" max="16" width="6.7109375" customWidth="1"/>
    <col min="17" max="17" width="10.7109375" customWidth="1"/>
    <col min="18" max="18" width="6.7109375" customWidth="1"/>
    <col min="19" max="19" width="10.7109375" customWidth="1"/>
    <col min="20" max="20" width="6.7109375" customWidth="1"/>
    <col min="21" max="21" width="10.7109375" customWidth="1"/>
    <col min="22" max="22" width="3.28515625" customWidth="1"/>
    <col min="23" max="23" width="6.7109375" customWidth="1"/>
    <col min="24" max="24" width="10.7109375" customWidth="1"/>
    <col min="25" max="25" width="1.5703125" customWidth="1"/>
  </cols>
  <sheetData>
    <row r="1" spans="1:26" ht="15.75" x14ac:dyDescent="0.25">
      <c r="A1" s="667" t="s">
        <v>240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</row>
    <row r="2" spans="1:26" ht="15.75" x14ac:dyDescent="0.25">
      <c r="A2" s="667" t="s">
        <v>241</v>
      </c>
    </row>
    <row r="3" spans="1:26" ht="15.75" x14ac:dyDescent="0.25">
      <c r="A3" s="667"/>
    </row>
    <row r="4" spans="1:26" ht="15.75" x14ac:dyDescent="0.25">
      <c r="A4" s="668" t="s">
        <v>261</v>
      </c>
    </row>
    <row r="5" spans="1:26" ht="15.75" x14ac:dyDescent="0.25">
      <c r="A5" s="668"/>
    </row>
    <row r="6" spans="1:26" x14ac:dyDescent="0.2">
      <c r="A6" s="669" t="s">
        <v>284</v>
      </c>
    </row>
    <row r="7" spans="1:26" x14ac:dyDescent="0.2">
      <c r="A7" s="720">
        <v>3670020230</v>
      </c>
    </row>
    <row r="8" spans="1:26" ht="13.5" thickBot="1" x14ac:dyDescent="0.25">
      <c r="A8" s="1"/>
    </row>
    <row r="9" spans="1:26" ht="15" customHeight="1" thickTop="1" x14ac:dyDescent="0.2">
      <c r="A9" s="4"/>
      <c r="B9" s="1401" t="s">
        <v>0</v>
      </c>
      <c r="C9" s="1398"/>
      <c r="D9" s="1401" t="s">
        <v>1</v>
      </c>
      <c r="E9" s="1398"/>
      <c r="F9" s="1401" t="s">
        <v>2</v>
      </c>
      <c r="G9" s="1398"/>
      <c r="H9" s="1401" t="s">
        <v>3</v>
      </c>
      <c r="I9" s="1398"/>
      <c r="J9" s="1401" t="s">
        <v>4</v>
      </c>
      <c r="K9" s="1398"/>
      <c r="L9" s="1401" t="s">
        <v>5</v>
      </c>
      <c r="M9" s="1398"/>
      <c r="N9" s="1401" t="s">
        <v>6</v>
      </c>
      <c r="O9" s="1398"/>
      <c r="P9" s="1401" t="s">
        <v>7</v>
      </c>
      <c r="Q9" s="1398"/>
      <c r="R9" s="1401" t="s">
        <v>8</v>
      </c>
      <c r="S9" s="1398"/>
      <c r="T9" s="1401" t="s">
        <v>301</v>
      </c>
      <c r="U9" s="1402"/>
      <c r="W9" s="1407" t="s">
        <v>9</v>
      </c>
      <c r="X9" s="1408"/>
    </row>
    <row r="10" spans="1:26" ht="15" customHeight="1" x14ac:dyDescent="0.2">
      <c r="A10" s="5"/>
      <c r="B10" s="68" t="s">
        <v>287</v>
      </c>
      <c r="C10" s="8" t="s">
        <v>10</v>
      </c>
      <c r="D10" s="68" t="s">
        <v>287</v>
      </c>
      <c r="E10" s="8" t="s">
        <v>10</v>
      </c>
      <c r="F10" s="68" t="s">
        <v>287</v>
      </c>
      <c r="G10" s="8" t="s">
        <v>10</v>
      </c>
      <c r="H10" s="68" t="s">
        <v>287</v>
      </c>
      <c r="I10" s="8" t="s">
        <v>10</v>
      </c>
      <c r="J10" s="68" t="s">
        <v>287</v>
      </c>
      <c r="K10" s="8" t="s">
        <v>10</v>
      </c>
      <c r="L10" s="68" t="s">
        <v>287</v>
      </c>
      <c r="M10" s="8" t="s">
        <v>10</v>
      </c>
      <c r="N10" s="68" t="s">
        <v>287</v>
      </c>
      <c r="O10" s="8" t="s">
        <v>10</v>
      </c>
      <c r="P10" s="68" t="s">
        <v>287</v>
      </c>
      <c r="Q10" s="8" t="s">
        <v>10</v>
      </c>
      <c r="R10" s="68" t="s">
        <v>287</v>
      </c>
      <c r="S10" s="8" t="s">
        <v>10</v>
      </c>
      <c r="T10" s="68" t="s">
        <v>287</v>
      </c>
      <c r="U10" s="97" t="s">
        <v>10</v>
      </c>
      <c r="W10" s="6" t="s">
        <v>287</v>
      </c>
      <c r="X10" s="7" t="s">
        <v>11</v>
      </c>
    </row>
    <row r="11" spans="1:26" ht="15" customHeight="1" thickBot="1" x14ac:dyDescent="0.25">
      <c r="A11" s="70" t="s">
        <v>77</v>
      </c>
      <c r="B11" s="69" t="s">
        <v>12</v>
      </c>
      <c r="C11" s="922" t="s">
        <v>13</v>
      </c>
      <c r="D11" s="69" t="s">
        <v>12</v>
      </c>
      <c r="E11" s="922" t="s">
        <v>13</v>
      </c>
      <c r="F11" s="69" t="s">
        <v>12</v>
      </c>
      <c r="G11" s="922" t="s">
        <v>13</v>
      </c>
      <c r="H11" s="69" t="s">
        <v>12</v>
      </c>
      <c r="I11" s="922" t="s">
        <v>13</v>
      </c>
      <c r="J11" s="69" t="s">
        <v>12</v>
      </c>
      <c r="K11" s="922" t="s">
        <v>13</v>
      </c>
      <c r="L11" s="69" t="s">
        <v>12</v>
      </c>
      <c r="M11" s="922" t="s">
        <v>13</v>
      </c>
      <c r="N11" s="69" t="s">
        <v>12</v>
      </c>
      <c r="O11" s="922" t="s">
        <v>13</v>
      </c>
      <c r="P11" s="69" t="s">
        <v>12</v>
      </c>
      <c r="Q11" s="922" t="s">
        <v>13</v>
      </c>
      <c r="R11" s="69" t="s">
        <v>12</v>
      </c>
      <c r="S11" s="922" t="s">
        <v>13</v>
      </c>
      <c r="T11" s="69" t="s">
        <v>12</v>
      </c>
      <c r="U11" s="10" t="s">
        <v>13</v>
      </c>
      <c r="W11" s="9" t="s">
        <v>12</v>
      </c>
      <c r="X11" s="10" t="s">
        <v>13</v>
      </c>
    </row>
    <row r="12" spans="1:26" ht="15" customHeight="1" x14ac:dyDescent="0.2">
      <c r="A12" s="412" t="s">
        <v>307</v>
      </c>
      <c r="B12" s="258"/>
      <c r="C12" s="259"/>
      <c r="D12" s="11"/>
      <c r="E12" s="12"/>
      <c r="F12" s="13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5"/>
      <c r="W12" s="16"/>
      <c r="X12" s="17"/>
    </row>
    <row r="13" spans="1:26" s="23" customFormat="1" ht="15" customHeight="1" x14ac:dyDescent="0.2">
      <c r="A13" s="18" t="s">
        <v>15</v>
      </c>
      <c r="B13" s="20">
        <v>114</v>
      </c>
      <c r="C13" s="262"/>
      <c r="D13" s="22">
        <v>98</v>
      </c>
      <c r="E13" s="264"/>
      <c r="F13" s="20">
        <v>108</v>
      </c>
      <c r="G13" s="264"/>
      <c r="H13" s="20">
        <v>110</v>
      </c>
      <c r="I13" s="264"/>
      <c r="J13" s="20">
        <v>81</v>
      </c>
      <c r="K13" s="264"/>
      <c r="L13" s="20">
        <v>84</v>
      </c>
      <c r="M13" s="264"/>
      <c r="N13" s="20">
        <v>86</v>
      </c>
      <c r="O13" s="264"/>
      <c r="P13" s="20">
        <v>82</v>
      </c>
      <c r="Q13" s="264"/>
      <c r="R13" s="20">
        <f>38+39</f>
        <v>77</v>
      </c>
      <c r="S13" s="264"/>
      <c r="T13" s="20">
        <v>75</v>
      </c>
      <c r="U13" s="266"/>
      <c r="W13" s="16">
        <f>AVERAGE(N13,L13,R13,T13,P13)</f>
        <v>80.8</v>
      </c>
      <c r="X13" s="24"/>
    </row>
    <row r="14" spans="1:26" s="23" customFormat="1" ht="15" customHeight="1" thickBot="1" x14ac:dyDescent="0.25">
      <c r="A14" s="27" t="s">
        <v>16</v>
      </c>
      <c r="B14" s="29">
        <v>154</v>
      </c>
      <c r="C14" s="263"/>
      <c r="D14" s="86">
        <v>143</v>
      </c>
      <c r="E14" s="265"/>
      <c r="F14" s="29">
        <v>147</v>
      </c>
      <c r="G14" s="265"/>
      <c r="H14" s="29">
        <v>133</v>
      </c>
      <c r="I14" s="265"/>
      <c r="J14" s="29">
        <v>130</v>
      </c>
      <c r="K14" s="265"/>
      <c r="L14" s="29">
        <v>129</v>
      </c>
      <c r="M14" s="265"/>
      <c r="N14" s="29">
        <v>124</v>
      </c>
      <c r="O14" s="265"/>
      <c r="P14" s="29">
        <v>96</v>
      </c>
      <c r="Q14" s="265"/>
      <c r="R14" s="29">
        <v>101</v>
      </c>
      <c r="S14" s="265"/>
      <c r="T14" s="29">
        <v>102</v>
      </c>
      <c r="U14" s="267"/>
      <c r="W14" s="16">
        <f>AVERAGE(N14,L14,R14,T14,P14)</f>
        <v>110.4</v>
      </c>
      <c r="X14" s="174"/>
    </row>
    <row r="15" spans="1:26" s="73" customFormat="1" ht="15" customHeight="1" thickBot="1" x14ac:dyDescent="0.25">
      <c r="A15" s="98" t="s">
        <v>17</v>
      </c>
      <c r="B15" s="89">
        <f t="shared" ref="B15:R15" si="0">SUM(B13:B14)</f>
        <v>268</v>
      </c>
      <c r="C15" s="100">
        <v>64</v>
      </c>
      <c r="D15" s="89">
        <f t="shared" si="0"/>
        <v>241</v>
      </c>
      <c r="E15" s="100">
        <v>47</v>
      </c>
      <c r="F15" s="89">
        <f t="shared" si="0"/>
        <v>255</v>
      </c>
      <c r="G15" s="100">
        <v>59</v>
      </c>
      <c r="H15" s="89">
        <f t="shared" si="0"/>
        <v>243</v>
      </c>
      <c r="I15" s="100">
        <v>56</v>
      </c>
      <c r="J15" s="89">
        <f t="shared" si="0"/>
        <v>211</v>
      </c>
      <c r="K15" s="100">
        <v>55</v>
      </c>
      <c r="L15" s="89">
        <f t="shared" si="0"/>
        <v>213</v>
      </c>
      <c r="M15" s="100">
        <v>52</v>
      </c>
      <c r="N15" s="640">
        <f t="shared" si="0"/>
        <v>210</v>
      </c>
      <c r="O15" s="100">
        <v>67</v>
      </c>
      <c r="P15" s="89">
        <f t="shared" si="0"/>
        <v>178</v>
      </c>
      <c r="Q15" s="1231">
        <v>35</v>
      </c>
      <c r="R15" s="1232">
        <f t="shared" si="0"/>
        <v>178</v>
      </c>
      <c r="S15" s="100">
        <v>51</v>
      </c>
      <c r="T15" s="1232">
        <v>177</v>
      </c>
      <c r="U15" s="1275">
        <f t="shared" ref="U15" si="1">SUM(U13:U14)</f>
        <v>0</v>
      </c>
      <c r="W15" s="482">
        <f>AVERAGE(N15,L15,R15,T15,P15)</f>
        <v>191.2</v>
      </c>
      <c r="X15" s="483">
        <f>AVERAGE(O15,M15,K15,S15,Q15)</f>
        <v>52</v>
      </c>
    </row>
    <row r="16" spans="1:26" s="23" customFormat="1" ht="15" customHeight="1" x14ac:dyDescent="0.2">
      <c r="A16" s="28" t="s">
        <v>18</v>
      </c>
      <c r="B16" s="439">
        <v>23</v>
      </c>
      <c r="C16" s="440">
        <v>6</v>
      </c>
      <c r="D16" s="439">
        <v>22</v>
      </c>
      <c r="E16" s="413">
        <v>14</v>
      </c>
      <c r="F16" s="441">
        <v>21</v>
      </c>
      <c r="G16" s="413">
        <v>5</v>
      </c>
      <c r="H16" s="441">
        <v>15</v>
      </c>
      <c r="I16" s="413">
        <v>2</v>
      </c>
      <c r="J16" s="441">
        <v>19</v>
      </c>
      <c r="K16" s="413">
        <v>13</v>
      </c>
      <c r="L16" s="441">
        <v>23</v>
      </c>
      <c r="M16" s="413">
        <v>6</v>
      </c>
      <c r="N16" s="441">
        <v>21</v>
      </c>
      <c r="O16" s="413">
        <v>11</v>
      </c>
      <c r="P16" s="441">
        <v>22</v>
      </c>
      <c r="Q16" s="413">
        <v>12</v>
      </c>
      <c r="R16" s="441">
        <v>25</v>
      </c>
      <c r="S16" s="413">
        <v>8</v>
      </c>
      <c r="T16" s="20">
        <v>32</v>
      </c>
      <c r="U16" s="152"/>
      <c r="W16" s="16">
        <f>AVERAGE(N16,L16,R16,T16,P16)</f>
        <v>24.6</v>
      </c>
      <c r="X16" s="470">
        <f t="shared" ref="X16:X20" si="2">AVERAGE(O16,M16,K16,S16,Q16)</f>
        <v>10</v>
      </c>
      <c r="Z16" s="23" t="s">
        <v>19</v>
      </c>
    </row>
    <row r="17" spans="1:24" s="23" customFormat="1" ht="15" customHeight="1" x14ac:dyDescent="0.2">
      <c r="A17" s="28" t="s">
        <v>20</v>
      </c>
      <c r="B17" s="249">
        <v>29</v>
      </c>
      <c r="C17" s="250">
        <f>9+1</f>
        <v>10</v>
      </c>
      <c r="D17" s="249">
        <v>25</v>
      </c>
      <c r="E17" s="251">
        <v>13</v>
      </c>
      <c r="F17" s="252">
        <v>16</v>
      </c>
      <c r="G17" s="251">
        <v>3</v>
      </c>
      <c r="H17" s="252">
        <v>25</v>
      </c>
      <c r="I17" s="251">
        <v>5</v>
      </c>
      <c r="J17" s="252">
        <v>24</v>
      </c>
      <c r="K17" s="251">
        <v>15</v>
      </c>
      <c r="L17" s="252">
        <v>17</v>
      </c>
      <c r="M17" s="251">
        <v>5</v>
      </c>
      <c r="N17" s="252">
        <v>12</v>
      </c>
      <c r="O17" s="251">
        <v>4</v>
      </c>
      <c r="P17" s="252">
        <v>11</v>
      </c>
      <c r="Q17" s="251">
        <v>3</v>
      </c>
      <c r="R17" s="252">
        <v>10</v>
      </c>
      <c r="S17" s="251">
        <v>1</v>
      </c>
      <c r="T17" s="20">
        <v>10</v>
      </c>
      <c r="U17" s="152"/>
      <c r="W17" s="16">
        <f>AVERAGE(N17,L17,R17,T17,P17)</f>
        <v>12</v>
      </c>
      <c r="X17" s="470">
        <f t="shared" si="2"/>
        <v>5.6</v>
      </c>
    </row>
    <row r="18" spans="1:24" ht="15" customHeight="1" x14ac:dyDescent="0.2">
      <c r="A18" s="269" t="s">
        <v>132</v>
      </c>
      <c r="B18" s="258"/>
      <c r="C18" s="259"/>
      <c r="D18" s="11"/>
      <c r="E18" s="12"/>
      <c r="F18" s="13"/>
      <c r="G18" s="12"/>
      <c r="H18" s="13"/>
      <c r="I18" s="12"/>
      <c r="J18" s="13"/>
      <c r="K18" s="12"/>
      <c r="L18" s="13"/>
      <c r="M18" s="12"/>
      <c r="N18" s="13"/>
      <c r="O18" s="12"/>
      <c r="P18" s="13"/>
      <c r="Q18" s="12"/>
      <c r="R18" s="13"/>
      <c r="S18" s="12"/>
      <c r="T18" s="13"/>
      <c r="U18" s="1318"/>
      <c r="W18" s="16"/>
      <c r="X18" s="17"/>
    </row>
    <row r="19" spans="1:24" s="23" customFormat="1" ht="15" customHeight="1" x14ac:dyDescent="0.2">
      <c r="A19" s="28" t="s">
        <v>20</v>
      </c>
      <c r="B19" s="20">
        <v>18</v>
      </c>
      <c r="C19" s="26">
        <v>7</v>
      </c>
      <c r="D19" s="22">
        <v>20</v>
      </c>
      <c r="E19" s="25">
        <v>6</v>
      </c>
      <c r="F19" s="20">
        <v>23</v>
      </c>
      <c r="G19" s="25">
        <v>5</v>
      </c>
      <c r="H19" s="20">
        <v>21</v>
      </c>
      <c r="I19" s="25">
        <v>6</v>
      </c>
      <c r="J19" s="20">
        <v>20</v>
      </c>
      <c r="K19" s="25">
        <v>4</v>
      </c>
      <c r="L19" s="20">
        <v>24</v>
      </c>
      <c r="M19" s="25">
        <v>9</v>
      </c>
      <c r="N19" s="20">
        <v>32</v>
      </c>
      <c r="O19" s="25">
        <v>7</v>
      </c>
      <c r="P19" s="20">
        <v>25</v>
      </c>
      <c r="Q19" s="25">
        <v>9</v>
      </c>
      <c r="R19" s="20">
        <v>20</v>
      </c>
      <c r="S19" s="25">
        <v>11</v>
      </c>
      <c r="T19" s="20">
        <v>19</v>
      </c>
      <c r="U19" s="152"/>
      <c r="W19" s="16">
        <f>AVERAGE(N19,L19,R19,T19,P19)</f>
        <v>24</v>
      </c>
      <c r="X19" s="470">
        <f t="shared" si="2"/>
        <v>8</v>
      </c>
    </row>
    <row r="20" spans="1:24" s="23" customFormat="1" ht="15" customHeight="1" thickBot="1" x14ac:dyDescent="0.25">
      <c r="A20" s="30" t="s">
        <v>21</v>
      </c>
      <c r="B20" s="33">
        <v>1</v>
      </c>
      <c r="C20" s="34">
        <v>0</v>
      </c>
      <c r="D20" s="31">
        <v>1</v>
      </c>
      <c r="E20" s="32">
        <v>1</v>
      </c>
      <c r="F20" s="33">
        <v>4</v>
      </c>
      <c r="G20" s="32">
        <v>1</v>
      </c>
      <c r="H20" s="33">
        <v>3</v>
      </c>
      <c r="I20" s="32">
        <v>1</v>
      </c>
      <c r="J20" s="33">
        <v>3</v>
      </c>
      <c r="K20" s="32">
        <v>2</v>
      </c>
      <c r="L20" s="33">
        <v>2</v>
      </c>
      <c r="M20" s="32">
        <v>1</v>
      </c>
      <c r="N20" s="33">
        <v>3</v>
      </c>
      <c r="O20" s="32">
        <v>2</v>
      </c>
      <c r="P20" s="33">
        <v>3</v>
      </c>
      <c r="Q20" s="32">
        <v>3</v>
      </c>
      <c r="R20" s="33">
        <v>5</v>
      </c>
      <c r="S20" s="32">
        <v>0</v>
      </c>
      <c r="T20" s="33">
        <v>4</v>
      </c>
      <c r="U20" s="1282"/>
      <c r="W20" s="16">
        <f>AVERAGE(N20,L20,R20,T20,P20)</f>
        <v>3.4</v>
      </c>
      <c r="X20" s="470">
        <f t="shared" si="2"/>
        <v>1.6</v>
      </c>
    </row>
    <row r="21" spans="1:24" ht="18" customHeight="1" thickTop="1" thickBot="1" x14ac:dyDescent="0.25">
      <c r="A21" s="298" t="s">
        <v>71</v>
      </c>
      <c r="B21" s="1380"/>
      <c r="C21" s="1381"/>
      <c r="D21" s="1380"/>
      <c r="E21" s="1381"/>
      <c r="F21" s="1380"/>
      <c r="G21" s="1381"/>
      <c r="H21" s="1380"/>
      <c r="I21" s="1381"/>
      <c r="J21" s="1380"/>
      <c r="K21" s="1381"/>
      <c r="L21" s="1380"/>
      <c r="M21" s="1381"/>
      <c r="N21" s="1380"/>
      <c r="O21" s="1381"/>
      <c r="P21" s="1380"/>
      <c r="Q21" s="1381"/>
      <c r="R21" s="1380"/>
      <c r="S21" s="1381"/>
      <c r="T21" s="1380"/>
      <c r="U21" s="1383"/>
      <c r="V21" s="226"/>
      <c r="W21" s="1382"/>
      <c r="X21" s="1383"/>
    </row>
    <row r="22" spans="1:24" ht="15" customHeight="1" x14ac:dyDescent="0.2">
      <c r="A22" s="299" t="s">
        <v>79</v>
      </c>
      <c r="B22" s="300"/>
      <c r="C22" s="385"/>
      <c r="D22" s="384"/>
      <c r="E22" s="385"/>
      <c r="F22" s="384"/>
      <c r="G22" s="385"/>
      <c r="H22" s="384"/>
      <c r="I22" s="385"/>
      <c r="J22" s="384"/>
      <c r="K22" s="385"/>
      <c r="L22" s="384"/>
      <c r="M22" s="385"/>
      <c r="N22" s="384"/>
      <c r="O22" s="385"/>
      <c r="P22" s="384"/>
      <c r="Q22" s="385"/>
      <c r="R22" s="384"/>
      <c r="S22" s="385"/>
      <c r="T22" s="384"/>
      <c r="U22" s="386"/>
      <c r="V22" s="226"/>
      <c r="W22" s="853"/>
      <c r="X22" s="852" t="e">
        <f>AVERAGE(O22,M22,I22,K22,Q22)</f>
        <v>#DIV/0!</v>
      </c>
    </row>
    <row r="23" spans="1:24" ht="15" customHeight="1" x14ac:dyDescent="0.2">
      <c r="A23" s="305" t="s">
        <v>72</v>
      </c>
      <c r="B23" s="304"/>
      <c r="C23" s="388">
        <v>0.54</v>
      </c>
      <c r="D23" s="387"/>
      <c r="E23" s="388">
        <v>0.44</v>
      </c>
      <c r="F23" s="387"/>
      <c r="G23" s="388">
        <v>0.52</v>
      </c>
      <c r="H23" s="387"/>
      <c r="I23" s="388">
        <v>0.54</v>
      </c>
      <c r="J23" s="387"/>
      <c r="K23" s="388">
        <v>0.53</v>
      </c>
      <c r="L23" s="387"/>
      <c r="M23" s="388">
        <v>0.62</v>
      </c>
      <c r="N23" s="387"/>
      <c r="O23" s="388">
        <v>0.61</v>
      </c>
      <c r="P23" s="387"/>
      <c r="Q23" s="388">
        <v>0.52</v>
      </c>
      <c r="R23" s="387"/>
      <c r="S23" s="388"/>
      <c r="T23" s="387"/>
      <c r="U23" s="1271"/>
      <c r="V23" s="226"/>
      <c r="W23" s="853"/>
      <c r="X23" s="1255">
        <f t="shared" ref="X23:X24" si="3">AVERAGE(O23,M23,K23,S23,Q23)</f>
        <v>0.57000000000000006</v>
      </c>
    </row>
    <row r="24" spans="1:24" ht="15" customHeight="1" thickBot="1" x14ac:dyDescent="0.25">
      <c r="A24" s="539" t="s">
        <v>73</v>
      </c>
      <c r="B24" s="546"/>
      <c r="C24" s="541">
        <v>0.37</v>
      </c>
      <c r="D24" s="540"/>
      <c r="E24" s="541">
        <v>0.39</v>
      </c>
      <c r="F24" s="540"/>
      <c r="G24" s="541">
        <v>0.31</v>
      </c>
      <c r="H24" s="540"/>
      <c r="I24" s="541">
        <v>0.42</v>
      </c>
      <c r="J24" s="540"/>
      <c r="K24" s="541">
        <v>0.38</v>
      </c>
      <c r="L24" s="540"/>
      <c r="M24" s="541">
        <v>0.32</v>
      </c>
      <c r="N24" s="540"/>
      <c r="O24" s="541">
        <v>0.37</v>
      </c>
      <c r="P24" s="540"/>
      <c r="Q24" s="541">
        <v>0.44</v>
      </c>
      <c r="R24" s="540"/>
      <c r="S24" s="541"/>
      <c r="T24" s="540"/>
      <c r="U24" s="1272"/>
      <c r="V24" s="226"/>
      <c r="W24" s="854"/>
      <c r="X24" s="1255">
        <f t="shared" si="3"/>
        <v>0.37749999999999995</v>
      </c>
    </row>
    <row r="25" spans="1:24" ht="18" customHeight="1" thickTop="1" thickBot="1" x14ac:dyDescent="0.25">
      <c r="A25" s="221" t="s">
        <v>78</v>
      </c>
      <c r="B25" s="1380"/>
      <c r="C25" s="1381"/>
      <c r="D25" s="1380"/>
      <c r="E25" s="1381"/>
      <c r="F25" s="1380"/>
      <c r="G25" s="1381"/>
      <c r="H25" s="1380"/>
      <c r="I25" s="1381"/>
      <c r="J25" s="1380"/>
      <c r="K25" s="1381"/>
      <c r="L25" s="1380"/>
      <c r="M25" s="1381"/>
      <c r="N25" s="1380"/>
      <c r="O25" s="1381"/>
      <c r="P25" s="1380"/>
      <c r="Q25" s="1381"/>
      <c r="R25" s="1380"/>
      <c r="S25" s="1381"/>
      <c r="T25" s="1380"/>
      <c r="U25" s="1383"/>
      <c r="V25" s="226"/>
      <c r="W25" s="1382"/>
      <c r="X25" s="1383"/>
    </row>
    <row r="26" spans="1:24" ht="15" customHeight="1" thickBot="1" x14ac:dyDescent="0.25">
      <c r="A26" s="222" t="s">
        <v>148</v>
      </c>
      <c r="B26" s="223"/>
      <c r="C26" s="224">
        <v>25.2</v>
      </c>
      <c r="D26" s="223"/>
      <c r="E26" s="224">
        <v>25.5</v>
      </c>
      <c r="F26" s="223"/>
      <c r="G26" s="224">
        <v>25.4</v>
      </c>
      <c r="H26" s="223"/>
      <c r="I26" s="224">
        <v>25.7</v>
      </c>
      <c r="J26" s="223"/>
      <c r="K26" s="224">
        <v>25.3</v>
      </c>
      <c r="L26" s="223"/>
      <c r="M26" s="224">
        <v>25.6</v>
      </c>
      <c r="N26" s="223"/>
      <c r="O26" s="224">
        <v>26.2</v>
      </c>
      <c r="P26" s="223"/>
      <c r="Q26" s="224">
        <v>25.9</v>
      </c>
      <c r="R26" s="223"/>
      <c r="S26" s="224">
        <v>25.7</v>
      </c>
      <c r="T26" s="223"/>
      <c r="U26" s="225"/>
      <c r="V26" s="226"/>
      <c r="W26" s="247"/>
      <c r="X26" s="757">
        <f>AVERAGE(O26,M26,S26,U26,Q26)</f>
        <v>25.85</v>
      </c>
    </row>
    <row r="27" spans="1:24" ht="18" customHeight="1" thickTop="1" thickBot="1" x14ac:dyDescent="0.25">
      <c r="A27" s="314" t="s">
        <v>22</v>
      </c>
      <c r="B27" s="1380"/>
      <c r="C27" s="1381"/>
      <c r="D27" s="1380"/>
      <c r="E27" s="1381"/>
      <c r="F27" s="1380"/>
      <c r="G27" s="1381"/>
      <c r="H27" s="1380"/>
      <c r="I27" s="1381"/>
      <c r="J27" s="1380"/>
      <c r="K27" s="1381"/>
      <c r="L27" s="1380"/>
      <c r="M27" s="1381"/>
      <c r="N27" s="1380"/>
      <c r="O27" s="1381"/>
      <c r="P27" s="1380"/>
      <c r="Q27" s="1381"/>
      <c r="R27" s="1380"/>
      <c r="S27" s="1381"/>
      <c r="T27" s="1380"/>
      <c r="U27" s="1383"/>
      <c r="V27" s="226"/>
      <c r="W27" s="1382"/>
      <c r="X27" s="1383"/>
    </row>
    <row r="28" spans="1:24" ht="15" customHeight="1" x14ac:dyDescent="0.2">
      <c r="A28" s="305" t="s">
        <v>24</v>
      </c>
      <c r="B28" s="315"/>
      <c r="C28" s="209">
        <v>1023</v>
      </c>
      <c r="D28" s="316"/>
      <c r="E28" s="321">
        <v>1386</v>
      </c>
      <c r="F28" s="315"/>
      <c r="G28" s="321">
        <v>1485</v>
      </c>
      <c r="H28" s="315"/>
      <c r="I28" s="321">
        <v>1401</v>
      </c>
      <c r="J28" s="315"/>
      <c r="K28" s="321">
        <v>993</v>
      </c>
      <c r="L28" s="315"/>
      <c r="M28" s="321">
        <v>3339</v>
      </c>
      <c r="N28" s="315"/>
      <c r="O28" s="321">
        <v>3192</v>
      </c>
      <c r="P28" s="315"/>
      <c r="Q28" s="321">
        <v>3117</v>
      </c>
      <c r="R28" s="315"/>
      <c r="S28" s="321">
        <v>2925</v>
      </c>
      <c r="T28" s="315"/>
      <c r="U28" s="1273"/>
      <c r="V28" s="226"/>
      <c r="W28" s="50"/>
      <c r="X28" s="51">
        <f>AVERAGE(O28,M28,S28,K28,Q28)</f>
        <v>2713.2</v>
      </c>
    </row>
    <row r="29" spans="1:24" ht="15" customHeight="1" x14ac:dyDescent="0.2">
      <c r="A29" s="305" t="s">
        <v>25</v>
      </c>
      <c r="B29" s="315"/>
      <c r="C29" s="209">
        <v>6346</v>
      </c>
      <c r="D29" s="316"/>
      <c r="E29" s="321">
        <v>6561</v>
      </c>
      <c r="F29" s="315"/>
      <c r="G29" s="321">
        <v>6106</v>
      </c>
      <c r="H29" s="315"/>
      <c r="I29" s="321">
        <v>6364</v>
      </c>
      <c r="J29" s="315"/>
      <c r="K29" s="321">
        <v>5431</v>
      </c>
      <c r="L29" s="315"/>
      <c r="M29" s="321">
        <v>3415</v>
      </c>
      <c r="N29" s="315"/>
      <c r="O29" s="321">
        <v>2869</v>
      </c>
      <c r="P29" s="315"/>
      <c r="Q29" s="321">
        <v>2844</v>
      </c>
      <c r="R29" s="315"/>
      <c r="S29" s="321">
        <v>2765</v>
      </c>
      <c r="T29" s="315"/>
      <c r="U29" s="1273"/>
      <c r="V29" s="226"/>
      <c r="W29" s="52"/>
      <c r="X29" s="51">
        <f t="shared" ref="X29:X32" si="4">AVERAGE(O29,M29,S29,K29,Q29)</f>
        <v>3464.8</v>
      </c>
    </row>
    <row r="30" spans="1:24" ht="15" customHeight="1" x14ac:dyDescent="0.2">
      <c r="A30" s="305" t="s">
        <v>26</v>
      </c>
      <c r="B30" s="315"/>
      <c r="C30" s="209">
        <v>1186</v>
      </c>
      <c r="D30" s="316"/>
      <c r="E30" s="321">
        <v>1019</v>
      </c>
      <c r="F30" s="315"/>
      <c r="G30" s="321">
        <v>1185</v>
      </c>
      <c r="H30" s="315"/>
      <c r="I30" s="321">
        <v>930</v>
      </c>
      <c r="J30" s="315"/>
      <c r="K30" s="321">
        <v>910</v>
      </c>
      <c r="L30" s="315"/>
      <c r="M30" s="321">
        <v>798</v>
      </c>
      <c r="N30" s="315"/>
      <c r="O30" s="321">
        <v>886</v>
      </c>
      <c r="P30" s="315"/>
      <c r="Q30" s="321">
        <v>865</v>
      </c>
      <c r="R30" s="315"/>
      <c r="S30" s="321">
        <v>605</v>
      </c>
      <c r="T30" s="315"/>
      <c r="U30" s="1273"/>
      <c r="V30" s="226"/>
      <c r="W30" s="52"/>
      <c r="X30" s="51">
        <f t="shared" si="4"/>
        <v>812.8</v>
      </c>
    </row>
    <row r="31" spans="1:24" ht="15" customHeight="1" thickBot="1" x14ac:dyDescent="0.25">
      <c r="A31" s="1238" t="s">
        <v>27</v>
      </c>
      <c r="B31" s="83"/>
      <c r="C31" s="324">
        <v>42</v>
      </c>
      <c r="D31" s="316"/>
      <c r="E31" s="325">
        <v>30</v>
      </c>
      <c r="F31" s="315"/>
      <c r="G31" s="325">
        <v>152</v>
      </c>
      <c r="H31" s="315"/>
      <c r="I31" s="325">
        <v>253</v>
      </c>
      <c r="J31" s="315"/>
      <c r="K31" s="325">
        <v>285</v>
      </c>
      <c r="L31" s="315"/>
      <c r="M31" s="325">
        <v>200</v>
      </c>
      <c r="N31" s="315"/>
      <c r="O31" s="325">
        <v>134</v>
      </c>
      <c r="P31" s="83"/>
      <c r="Q31" s="325">
        <v>107</v>
      </c>
      <c r="R31" s="315"/>
      <c r="S31" s="325">
        <v>91</v>
      </c>
      <c r="T31" s="83"/>
      <c r="U31" s="1274"/>
      <c r="V31" s="226"/>
      <c r="W31" s="63"/>
      <c r="X31" s="484">
        <f t="shared" si="4"/>
        <v>163.4</v>
      </c>
    </row>
    <row r="32" spans="1:24" ht="15" customHeight="1" thickBot="1" x14ac:dyDescent="0.25">
      <c r="A32" s="850" t="s">
        <v>28</v>
      </c>
      <c r="B32" s="328"/>
      <c r="C32" s="329">
        <f>SUM(C28:C31)</f>
        <v>8597</v>
      </c>
      <c r="D32" s="330"/>
      <c r="E32" s="331">
        <f>SUM(E28:E31)</f>
        <v>8996</v>
      </c>
      <c r="F32" s="328"/>
      <c r="G32" s="331">
        <f>SUM(G28:G31)</f>
        <v>8928</v>
      </c>
      <c r="H32" s="328"/>
      <c r="I32" s="331">
        <f>SUM(I28:I31)</f>
        <v>8948</v>
      </c>
      <c r="J32" s="328"/>
      <c r="K32" s="331">
        <f>SUM(K28:K31)</f>
        <v>7619</v>
      </c>
      <c r="L32" s="328"/>
      <c r="M32" s="331">
        <f>SUM(M28:M31)</f>
        <v>7752</v>
      </c>
      <c r="N32" s="328"/>
      <c r="O32" s="331">
        <f>SUM(O28:O31)</f>
        <v>7081</v>
      </c>
      <c r="P32" s="328"/>
      <c r="Q32" s="331">
        <f>SUM(Q28:Q31)</f>
        <v>6933</v>
      </c>
      <c r="R32" s="328"/>
      <c r="S32" s="331">
        <f>SUM(S28:S31)</f>
        <v>6386</v>
      </c>
      <c r="T32" s="328"/>
      <c r="U32" s="1277">
        <f>SUM(U28:U31)</f>
        <v>0</v>
      </c>
      <c r="V32" s="226"/>
      <c r="W32" s="485"/>
      <c r="X32" s="486">
        <f t="shared" si="4"/>
        <v>7154.2</v>
      </c>
    </row>
    <row r="33" spans="1:27" ht="15" customHeight="1" thickTop="1" thickBot="1" x14ac:dyDescent="0.25">
      <c r="A33" s="37"/>
      <c r="B33" s="332"/>
      <c r="C33" s="333"/>
      <c r="D33" s="332"/>
      <c r="E33" s="333"/>
      <c r="F33" s="332"/>
      <c r="G33" s="333"/>
      <c r="H33" s="332"/>
      <c r="I33" s="333"/>
      <c r="J33" s="332"/>
      <c r="K33" s="333"/>
      <c r="L33" s="332"/>
      <c r="M33" s="333"/>
      <c r="N33" s="332"/>
      <c r="O33" s="333"/>
      <c r="P33" s="332"/>
      <c r="Q33" s="333"/>
      <c r="R33" s="332"/>
      <c r="S33" s="333"/>
      <c r="T33" s="332"/>
      <c r="U33" s="333"/>
      <c r="V33" s="334"/>
      <c r="W33" s="335"/>
      <c r="X33" s="333"/>
    </row>
    <row r="34" spans="1:27" ht="18" customHeight="1" thickTop="1" thickBot="1" x14ac:dyDescent="0.25">
      <c r="A34" s="175" t="s">
        <v>29</v>
      </c>
      <c r="B34" s="1385" t="s">
        <v>30</v>
      </c>
      <c r="C34" s="1395"/>
      <c r="D34" s="1385" t="s">
        <v>31</v>
      </c>
      <c r="E34" s="1396"/>
      <c r="F34" s="1385" t="s">
        <v>32</v>
      </c>
      <c r="G34" s="1396"/>
      <c r="H34" s="1385" t="s">
        <v>33</v>
      </c>
      <c r="I34" s="1396"/>
      <c r="J34" s="1385" t="s">
        <v>34</v>
      </c>
      <c r="K34" s="1396"/>
      <c r="L34" s="1385" t="s">
        <v>35</v>
      </c>
      <c r="M34" s="1396"/>
      <c r="N34" s="1385" t="s">
        <v>36</v>
      </c>
      <c r="O34" s="1396"/>
      <c r="P34" s="1385" t="s">
        <v>37</v>
      </c>
      <c r="Q34" s="1396"/>
      <c r="R34" s="1385" t="s">
        <v>38</v>
      </c>
      <c r="S34" s="1396"/>
      <c r="T34" s="1385" t="s">
        <v>302</v>
      </c>
      <c r="U34" s="1386"/>
      <c r="V34" s="176"/>
      <c r="W34" s="1382" t="s">
        <v>9</v>
      </c>
      <c r="X34" s="1383"/>
      <c r="Y34" s="56"/>
      <c r="Z34" s="56"/>
      <c r="AA34" s="57"/>
    </row>
    <row r="35" spans="1:27" ht="15" customHeight="1" x14ac:dyDescent="0.2">
      <c r="A35" s="1070" t="s">
        <v>290</v>
      </c>
      <c r="B35" s="177"/>
      <c r="C35" s="178">
        <v>0.28599999999999998</v>
      </c>
      <c r="D35" s="179"/>
      <c r="E35" s="180">
        <v>0.27900000000000003</v>
      </c>
      <c r="F35" s="181"/>
      <c r="G35" s="180">
        <v>0.25800000000000001</v>
      </c>
      <c r="H35" s="181"/>
      <c r="I35" s="180">
        <v>0.26400000000000001</v>
      </c>
      <c r="J35" s="181"/>
      <c r="K35" s="180">
        <v>0.24399999999999999</v>
      </c>
      <c r="L35" s="181"/>
      <c r="M35" s="180">
        <v>0.26400000000000001</v>
      </c>
      <c r="N35" s="181"/>
      <c r="O35" s="180">
        <v>0.26</v>
      </c>
      <c r="P35" s="181"/>
      <c r="Q35" s="180">
        <v>0.25900000000000001</v>
      </c>
      <c r="R35" s="181"/>
      <c r="S35" s="180">
        <v>0.27700000000000002</v>
      </c>
      <c r="T35" s="181"/>
      <c r="U35" s="182">
        <v>0.25900000000000001</v>
      </c>
      <c r="V35" s="183"/>
      <c r="W35" s="469"/>
      <c r="X35" s="594">
        <f>AVERAGE(Q35,O35,M35,U35,S35)</f>
        <v>0.26379999999999998</v>
      </c>
      <c r="Y35" s="56"/>
      <c r="Z35" s="56"/>
      <c r="AA35" s="57"/>
    </row>
    <row r="36" spans="1:27" ht="15" customHeight="1" x14ac:dyDescent="0.2">
      <c r="A36" s="1069" t="s">
        <v>245</v>
      </c>
      <c r="B36" s="184"/>
      <c r="C36" s="185">
        <v>5.0999999999999997E-2</v>
      </c>
      <c r="D36" s="184"/>
      <c r="E36" s="185">
        <v>9.5000000000000001E-2</v>
      </c>
      <c r="F36" s="186"/>
      <c r="G36" s="185">
        <v>6.3E-2</v>
      </c>
      <c r="H36" s="186"/>
      <c r="I36" s="185">
        <v>7.3999999999999996E-2</v>
      </c>
      <c r="J36" s="186"/>
      <c r="K36" s="185">
        <v>8.2000000000000003E-2</v>
      </c>
      <c r="L36" s="186"/>
      <c r="M36" s="185">
        <v>6.6000000000000003E-2</v>
      </c>
      <c r="N36" s="186"/>
      <c r="O36" s="185">
        <v>8.1000000000000003E-2</v>
      </c>
      <c r="P36" s="186"/>
      <c r="Q36" s="185">
        <v>8.8999999999999996E-2</v>
      </c>
      <c r="R36" s="186"/>
      <c r="S36" s="185">
        <v>6.6000000000000003E-2</v>
      </c>
      <c r="T36" s="186"/>
      <c r="U36" s="187">
        <v>7.0000000000000007E-2</v>
      </c>
      <c r="V36" s="183"/>
      <c r="W36" s="469"/>
      <c r="X36" s="594">
        <f>AVERAGE(Q36,O36,M36,U36,S36)</f>
        <v>7.4399999999999994E-2</v>
      </c>
      <c r="Y36" s="56"/>
      <c r="Z36" s="56"/>
      <c r="AA36" s="57"/>
    </row>
    <row r="37" spans="1:27" ht="15" customHeight="1" thickBot="1" x14ac:dyDescent="0.25">
      <c r="A37" s="189" t="s">
        <v>243</v>
      </c>
      <c r="B37" s="1403">
        <f>1-C35-C36</f>
        <v>0.66299999999999992</v>
      </c>
      <c r="C37" s="1404"/>
      <c r="D37" s="1403">
        <f>1-E35-E36</f>
        <v>0.626</v>
      </c>
      <c r="E37" s="1404"/>
      <c r="F37" s="1403">
        <f>1-G35-G36</f>
        <v>0.67900000000000005</v>
      </c>
      <c r="G37" s="1404"/>
      <c r="H37" s="1403">
        <f>1-I35-I36</f>
        <v>0.66200000000000003</v>
      </c>
      <c r="I37" s="1404"/>
      <c r="J37" s="1403">
        <f>1-K35-K36</f>
        <v>0.67400000000000004</v>
      </c>
      <c r="K37" s="1404"/>
      <c r="L37" s="1403">
        <f>1-M35-M36</f>
        <v>0.66999999999999993</v>
      </c>
      <c r="M37" s="1404"/>
      <c r="N37" s="1403">
        <f>1-O35-O36</f>
        <v>0.65900000000000003</v>
      </c>
      <c r="O37" s="1404"/>
      <c r="P37" s="1403">
        <f>1-Q35-Q36</f>
        <v>0.65200000000000002</v>
      </c>
      <c r="Q37" s="1404"/>
      <c r="R37" s="1403">
        <f>1-S35-S36</f>
        <v>0.65700000000000003</v>
      </c>
      <c r="S37" s="1404"/>
      <c r="T37" s="1403">
        <f>1-U35-U36</f>
        <v>0.67100000000000004</v>
      </c>
      <c r="U37" s="1406"/>
      <c r="V37" s="183"/>
      <c r="W37" s="1390">
        <f>1-X35-X36</f>
        <v>0.66179999999999994</v>
      </c>
      <c r="X37" s="1391"/>
      <c r="Y37" s="58"/>
      <c r="Z37" s="56"/>
      <c r="AA37" s="57"/>
    </row>
    <row r="38" spans="1:27" s="3" customFormat="1" ht="18" customHeight="1" thickTop="1" thickBot="1" x14ac:dyDescent="0.25">
      <c r="A38" s="194" t="s">
        <v>67</v>
      </c>
      <c r="B38" s="227" t="s">
        <v>39</v>
      </c>
      <c r="C38" s="228" t="s">
        <v>74</v>
      </c>
      <c r="D38" s="227" t="s">
        <v>39</v>
      </c>
      <c r="E38" s="228" t="s">
        <v>74</v>
      </c>
      <c r="F38" s="227" t="s">
        <v>39</v>
      </c>
      <c r="G38" s="228" t="s">
        <v>74</v>
      </c>
      <c r="H38" s="227" t="s">
        <v>39</v>
      </c>
      <c r="I38" s="228" t="s">
        <v>74</v>
      </c>
      <c r="J38" s="227" t="s">
        <v>39</v>
      </c>
      <c r="K38" s="228" t="s">
        <v>74</v>
      </c>
      <c r="L38" s="227" t="s">
        <v>39</v>
      </c>
      <c r="M38" s="228" t="s">
        <v>74</v>
      </c>
      <c r="N38" s="227" t="s">
        <v>39</v>
      </c>
      <c r="O38" s="228" t="s">
        <v>74</v>
      </c>
      <c r="P38" s="227" t="s">
        <v>39</v>
      </c>
      <c r="Q38" s="228" t="s">
        <v>74</v>
      </c>
      <c r="R38" s="227" t="s">
        <v>39</v>
      </c>
      <c r="S38" s="228" t="s">
        <v>74</v>
      </c>
      <c r="T38" s="227" t="s">
        <v>39</v>
      </c>
      <c r="U38" s="229" t="s">
        <v>74</v>
      </c>
      <c r="V38" s="230"/>
      <c r="W38" s="1071" t="s">
        <v>39</v>
      </c>
      <c r="X38" s="229" t="s">
        <v>74</v>
      </c>
    </row>
    <row r="39" spans="1:27" ht="15" customHeight="1" x14ac:dyDescent="0.2">
      <c r="A39" s="233" t="s">
        <v>234</v>
      </c>
      <c r="B39" s="234"/>
      <c r="C39" s="235"/>
      <c r="D39" s="834"/>
      <c r="E39" s="835"/>
      <c r="F39" s="834"/>
      <c r="G39" s="835"/>
      <c r="H39" s="234">
        <v>4</v>
      </c>
      <c r="I39" s="235">
        <f>H39/SUM(H17)</f>
        <v>0.16</v>
      </c>
      <c r="J39" s="234">
        <v>6</v>
      </c>
      <c r="K39" s="235">
        <f>J39/SUM(J17)</f>
        <v>0.25</v>
      </c>
      <c r="L39" s="234">
        <v>6</v>
      </c>
      <c r="M39" s="235">
        <f>L39/SUM(L17)</f>
        <v>0.35294117647058826</v>
      </c>
      <c r="N39" s="234">
        <v>4</v>
      </c>
      <c r="O39" s="235">
        <f>N39/SUM(N17)</f>
        <v>0.33333333333333331</v>
      </c>
      <c r="P39" s="234">
        <v>3</v>
      </c>
      <c r="Q39" s="235">
        <f>P39/SUM(P17)</f>
        <v>0.27272727272727271</v>
      </c>
      <c r="R39" s="234">
        <v>3</v>
      </c>
      <c r="S39" s="235">
        <f>R39/SUM(R17)</f>
        <v>0.3</v>
      </c>
      <c r="T39" s="234"/>
      <c r="U39" s="236">
        <f>T39/SUM(T17)</f>
        <v>0</v>
      </c>
      <c r="V39" s="643"/>
      <c r="W39" s="237">
        <f>AVERAGE(N39,L39,R39,T39,P39)</f>
        <v>4</v>
      </c>
      <c r="X39" s="480">
        <f>W39/W17</f>
        <v>0.33333333333333331</v>
      </c>
    </row>
    <row r="40" spans="1:27" ht="15" customHeight="1" thickBot="1" x14ac:dyDescent="0.25">
      <c r="A40" s="238" t="s">
        <v>235</v>
      </c>
      <c r="B40" s="239"/>
      <c r="C40" s="240"/>
      <c r="D40" s="836"/>
      <c r="E40" s="837"/>
      <c r="F40" s="836"/>
      <c r="G40" s="837"/>
      <c r="H40" s="239">
        <v>6</v>
      </c>
      <c r="I40" s="240">
        <f>H40/SUM(H19)</f>
        <v>0.2857142857142857</v>
      </c>
      <c r="J40" s="239">
        <v>4</v>
      </c>
      <c r="K40" s="240">
        <f>J40/SUM(J19)</f>
        <v>0.2</v>
      </c>
      <c r="L40" s="239">
        <v>5</v>
      </c>
      <c r="M40" s="240">
        <f>L40/SUM(L19)</f>
        <v>0.20833333333333334</v>
      </c>
      <c r="N40" s="239">
        <v>6</v>
      </c>
      <c r="O40" s="240">
        <f>N40/SUM(N19)</f>
        <v>0.1875</v>
      </c>
      <c r="P40" s="239">
        <v>10</v>
      </c>
      <c r="Q40" s="240">
        <f>P40/SUM(P19)</f>
        <v>0.4</v>
      </c>
      <c r="R40" s="239">
        <v>8</v>
      </c>
      <c r="S40" s="240">
        <f>R40/SUM(R19)</f>
        <v>0.4</v>
      </c>
      <c r="T40" s="239"/>
      <c r="U40" s="1072">
        <f>T40/SUM(T19)</f>
        <v>0</v>
      </c>
      <c r="V40" s="644"/>
      <c r="W40" s="242">
        <f>AVERAGE(N40,L40,R40,T40,P40)</f>
        <v>7.25</v>
      </c>
      <c r="X40" s="241">
        <f>W40/W19</f>
        <v>0.30208333333333331</v>
      </c>
    </row>
    <row r="41" spans="1:27" ht="15" customHeight="1" thickTop="1" x14ac:dyDescent="0.2">
      <c r="A41" s="37" t="s">
        <v>288</v>
      </c>
      <c r="B41" s="1061"/>
      <c r="C41" s="1062"/>
      <c r="D41" s="1061"/>
      <c r="E41" s="1062"/>
      <c r="F41" s="1061"/>
      <c r="G41" s="1062"/>
      <c r="H41" s="1061"/>
      <c r="I41" s="1062"/>
      <c r="J41" s="1061"/>
      <c r="K41" s="1062"/>
      <c r="L41" s="1061"/>
      <c r="M41" s="1062"/>
      <c r="N41" s="1061"/>
      <c r="O41" s="1062"/>
      <c r="P41" s="1061"/>
      <c r="Q41" s="1062"/>
      <c r="R41" s="1061"/>
      <c r="S41" s="1062"/>
      <c r="T41" s="1061"/>
      <c r="U41" s="1063"/>
      <c r="V41" s="334"/>
      <c r="W41" s="1064"/>
      <c r="X41" s="1062"/>
    </row>
    <row r="42" spans="1:27" s="85" customFormat="1" ht="15" customHeight="1" thickBot="1" x14ac:dyDescent="0.25">
      <c r="A42" s="649"/>
      <c r="B42" s="650"/>
      <c r="C42" s="650"/>
      <c r="D42" s="650"/>
      <c r="E42" s="650"/>
      <c r="F42" s="650"/>
      <c r="G42" s="650"/>
      <c r="H42" s="650"/>
      <c r="I42" s="650"/>
      <c r="J42" s="650"/>
      <c r="K42" s="650"/>
      <c r="L42" s="650"/>
      <c r="M42" s="650"/>
      <c r="N42" s="650"/>
      <c r="O42" s="650"/>
      <c r="P42" s="650"/>
      <c r="Q42" s="650"/>
      <c r="R42" s="650"/>
      <c r="S42" s="650"/>
      <c r="T42" s="650"/>
      <c r="U42" s="650"/>
      <c r="V42" s="651"/>
      <c r="W42" s="650"/>
      <c r="X42" s="650"/>
      <c r="Y42" s="56"/>
      <c r="Z42" s="56"/>
      <c r="AA42" s="57"/>
    </row>
    <row r="43" spans="1:27" s="1" customFormat="1" ht="18.75" customHeight="1" thickTop="1" thickBot="1" x14ac:dyDescent="0.25">
      <c r="A43" s="175" t="s">
        <v>247</v>
      </c>
      <c r="B43" s="1385" t="s">
        <v>30</v>
      </c>
      <c r="C43" s="1395"/>
      <c r="D43" s="1385" t="s">
        <v>31</v>
      </c>
      <c r="E43" s="1396"/>
      <c r="F43" s="1385" t="s">
        <v>32</v>
      </c>
      <c r="G43" s="1396"/>
      <c r="H43" s="1385" t="s">
        <v>33</v>
      </c>
      <c r="I43" s="1396"/>
      <c r="J43" s="1385" t="s">
        <v>34</v>
      </c>
      <c r="K43" s="1396"/>
      <c r="L43" s="1385" t="s">
        <v>35</v>
      </c>
      <c r="M43" s="1396"/>
      <c r="N43" s="1385" t="s">
        <v>36</v>
      </c>
      <c r="O43" s="1396"/>
      <c r="P43" s="1385" t="s">
        <v>37</v>
      </c>
      <c r="Q43" s="1396"/>
      <c r="R43" s="1385" t="s">
        <v>38</v>
      </c>
      <c r="S43" s="1396"/>
      <c r="T43" s="1385" t="s">
        <v>302</v>
      </c>
      <c r="U43" s="1386"/>
      <c r="V43" s="195"/>
      <c r="W43" s="1382" t="s">
        <v>9</v>
      </c>
      <c r="X43" s="1383"/>
    </row>
    <row r="44" spans="1:27" s="1" customFormat="1" ht="24" x14ac:dyDescent="0.2">
      <c r="A44" s="715" t="s">
        <v>289</v>
      </c>
      <c r="B44" s="711"/>
      <c r="C44" s="529"/>
      <c r="D44" s="711"/>
      <c r="E44" s="712"/>
      <c r="F44" s="711"/>
      <c r="G44" s="712"/>
      <c r="H44" s="711"/>
      <c r="I44" s="712"/>
      <c r="J44" s="711"/>
      <c r="K44" s="712"/>
      <c r="L44" s="711"/>
      <c r="M44" s="712"/>
      <c r="N44" s="711"/>
      <c r="O44" s="712"/>
      <c r="P44" s="711"/>
      <c r="Q44" s="712"/>
      <c r="R44" s="711"/>
      <c r="S44" s="712"/>
      <c r="T44" s="713"/>
      <c r="U44" s="714"/>
      <c r="V44" s="195"/>
      <c r="W44" s="272"/>
      <c r="X44" s="271"/>
    </row>
    <row r="45" spans="1:27" s="1" customFormat="1" ht="24" x14ac:dyDescent="0.2">
      <c r="A45" s="721" t="s">
        <v>237</v>
      </c>
      <c r="B45" s="186"/>
      <c r="C45" s="653">
        <v>10</v>
      </c>
      <c r="D45" s="186"/>
      <c r="E45" s="653">
        <v>14</v>
      </c>
      <c r="F45" s="186"/>
      <c r="G45" s="653">
        <v>14</v>
      </c>
      <c r="H45" s="186"/>
      <c r="I45" s="653">
        <v>14</v>
      </c>
      <c r="J45" s="186"/>
      <c r="K45" s="653">
        <v>15</v>
      </c>
      <c r="L45" s="186"/>
      <c r="M45" s="653">
        <v>16</v>
      </c>
      <c r="N45" s="186"/>
      <c r="O45" s="653">
        <v>16</v>
      </c>
      <c r="P45" s="186"/>
      <c r="Q45" s="653">
        <v>16</v>
      </c>
      <c r="R45" s="186"/>
      <c r="S45" s="653">
        <v>15</v>
      </c>
      <c r="T45" s="654"/>
      <c r="U45" s="659"/>
      <c r="V45" s="195"/>
      <c r="W45" s="347"/>
      <c r="X45" s="659">
        <f>AVERAGE(O45,M45,S45,U45,Q45)</f>
        <v>15.75</v>
      </c>
    </row>
    <row r="46" spans="1:27" s="1" customFormat="1" ht="24" x14ac:dyDescent="0.2">
      <c r="A46" s="721" t="s">
        <v>239</v>
      </c>
      <c r="B46" s="654"/>
      <c r="C46" s="716">
        <v>10</v>
      </c>
      <c r="D46" s="654"/>
      <c r="E46" s="716">
        <v>11</v>
      </c>
      <c r="F46" s="654"/>
      <c r="G46" s="716">
        <v>11</v>
      </c>
      <c r="H46" s="654"/>
      <c r="I46" s="716">
        <v>11</v>
      </c>
      <c r="J46" s="654"/>
      <c r="K46" s="716">
        <v>12</v>
      </c>
      <c r="L46" s="654"/>
      <c r="M46" s="716">
        <v>16</v>
      </c>
      <c r="N46" s="654"/>
      <c r="O46" s="716">
        <v>16</v>
      </c>
      <c r="P46" s="654"/>
      <c r="Q46" s="716">
        <v>16</v>
      </c>
      <c r="R46" s="654"/>
      <c r="S46" s="716">
        <v>15</v>
      </c>
      <c r="T46" s="654"/>
      <c r="U46" s="659"/>
      <c r="V46" s="195"/>
      <c r="W46" s="1252"/>
      <c r="X46" s="394">
        <f t="shared" ref="X46:X47" si="5">AVERAGE(O46,M46,S46,U46,Q46)</f>
        <v>15.75</v>
      </c>
    </row>
    <row r="47" spans="1:27" s="1" customFormat="1" ht="15" customHeight="1" thickBot="1" x14ac:dyDescent="0.25">
      <c r="A47" s="942" t="s">
        <v>238</v>
      </c>
      <c r="B47" s="943"/>
      <c r="C47" s="944">
        <v>10</v>
      </c>
      <c r="D47" s="943"/>
      <c r="E47" s="944">
        <v>14</v>
      </c>
      <c r="F47" s="943"/>
      <c r="G47" s="944">
        <v>14</v>
      </c>
      <c r="H47" s="943"/>
      <c r="I47" s="944">
        <v>14</v>
      </c>
      <c r="J47" s="943"/>
      <c r="K47" s="944">
        <v>15</v>
      </c>
      <c r="L47" s="943"/>
      <c r="M47" s="944">
        <v>16</v>
      </c>
      <c r="N47" s="943"/>
      <c r="O47" s="944">
        <v>16</v>
      </c>
      <c r="P47" s="943"/>
      <c r="Q47" s="944">
        <v>16</v>
      </c>
      <c r="R47" s="943"/>
      <c r="S47" s="944">
        <v>15</v>
      </c>
      <c r="T47" s="956"/>
      <c r="U47" s="947"/>
      <c r="V47" s="195"/>
      <c r="W47" s="950"/>
      <c r="X47" s="1253">
        <f t="shared" si="5"/>
        <v>15.75</v>
      </c>
    </row>
    <row r="48" spans="1:27" s="1" customFormat="1" ht="18" customHeight="1" thickBot="1" x14ac:dyDescent="0.25">
      <c r="A48" s="795" t="s">
        <v>264</v>
      </c>
      <c r="B48" s="1014" t="s">
        <v>40</v>
      </c>
      <c r="C48" s="1015" t="s">
        <v>41</v>
      </c>
      <c r="D48" s="1014" t="s">
        <v>40</v>
      </c>
      <c r="E48" s="1015" t="s">
        <v>41</v>
      </c>
      <c r="F48" s="1014" t="s">
        <v>40</v>
      </c>
      <c r="G48" s="1015" t="s">
        <v>41</v>
      </c>
      <c r="H48" s="1014" t="s">
        <v>40</v>
      </c>
      <c r="I48" s="1015" t="s">
        <v>41</v>
      </c>
      <c r="J48" s="1014" t="s">
        <v>40</v>
      </c>
      <c r="K48" s="1015" t="s">
        <v>41</v>
      </c>
      <c r="L48" s="1014" t="s">
        <v>40</v>
      </c>
      <c r="M48" s="1015" t="s">
        <v>41</v>
      </c>
      <c r="N48" s="1014" t="s">
        <v>40</v>
      </c>
      <c r="O48" s="1015" t="s">
        <v>41</v>
      </c>
      <c r="P48" s="1014" t="s">
        <v>40</v>
      </c>
      <c r="Q48" s="1015" t="s">
        <v>41</v>
      </c>
      <c r="R48" s="1014" t="s">
        <v>40</v>
      </c>
      <c r="S48" s="1015" t="s">
        <v>41</v>
      </c>
      <c r="T48" s="1014" t="s">
        <v>40</v>
      </c>
      <c r="U48" s="1016" t="s">
        <v>41</v>
      </c>
      <c r="V48" s="195"/>
      <c r="W48" s="1254" t="s">
        <v>40</v>
      </c>
      <c r="X48" s="804" t="s">
        <v>41</v>
      </c>
    </row>
    <row r="49" spans="1:24" s="1" customFormat="1" ht="15" customHeight="1" x14ac:dyDescent="0.2">
      <c r="A49" s="680" t="s">
        <v>42</v>
      </c>
      <c r="B49" s="808"/>
      <c r="C49" s="805"/>
      <c r="D49" s="806"/>
      <c r="E49" s="807"/>
      <c r="F49" s="808"/>
      <c r="G49" s="807"/>
      <c r="H49" s="808"/>
      <c r="I49" s="807"/>
      <c r="J49" s="808"/>
      <c r="K49" s="807"/>
      <c r="L49" s="808"/>
      <c r="M49" s="807"/>
      <c r="N49" s="808"/>
      <c r="O49" s="807"/>
      <c r="P49" s="808"/>
      <c r="Q49" s="807"/>
      <c r="R49" s="808"/>
      <c r="S49" s="807"/>
      <c r="T49" s="808"/>
      <c r="U49" s="1013"/>
      <c r="V49" s="195"/>
      <c r="W49" s="1029"/>
      <c r="X49" s="1030"/>
    </row>
    <row r="50" spans="1:24" s="1" customFormat="1" ht="15" customHeight="1" x14ac:dyDescent="0.2">
      <c r="A50" s="678" t="s">
        <v>43</v>
      </c>
      <c r="B50" s="258"/>
      <c r="C50" s="810">
        <v>12</v>
      </c>
      <c r="D50" s="260"/>
      <c r="E50" s="811">
        <v>16</v>
      </c>
      <c r="F50" s="258"/>
      <c r="G50" s="811">
        <v>15</v>
      </c>
      <c r="H50" s="258"/>
      <c r="I50" s="811">
        <v>15</v>
      </c>
      <c r="J50" s="813">
        <v>16</v>
      </c>
      <c r="K50" s="811">
        <v>16</v>
      </c>
      <c r="L50" s="813">
        <v>17</v>
      </c>
      <c r="M50" s="811">
        <v>17</v>
      </c>
      <c r="N50" s="813">
        <v>17</v>
      </c>
      <c r="O50" s="811">
        <v>17</v>
      </c>
      <c r="P50" s="813">
        <v>17</v>
      </c>
      <c r="Q50" s="811">
        <v>17</v>
      </c>
      <c r="R50" s="813">
        <v>16</v>
      </c>
      <c r="S50" s="811">
        <v>17</v>
      </c>
      <c r="T50" s="813"/>
      <c r="U50" s="932"/>
      <c r="V50" s="195"/>
      <c r="W50" s="936">
        <f>AVERAGE(T50,L50,N50,P50,R50)</f>
        <v>16.75</v>
      </c>
      <c r="X50" s="1031">
        <f t="shared" ref="X50:X55" si="6">AVERAGE(O50,M50,S50,U50,Q50)</f>
        <v>17</v>
      </c>
    </row>
    <row r="51" spans="1:24" s="1" customFormat="1" ht="15" customHeight="1" x14ac:dyDescent="0.2">
      <c r="A51" s="678" t="s">
        <v>44</v>
      </c>
      <c r="B51" s="258"/>
      <c r="C51" s="810">
        <v>0</v>
      </c>
      <c r="D51" s="260"/>
      <c r="E51" s="811">
        <v>0</v>
      </c>
      <c r="F51" s="258"/>
      <c r="G51" s="811">
        <v>0</v>
      </c>
      <c r="H51" s="258"/>
      <c r="I51" s="811">
        <v>0</v>
      </c>
      <c r="J51" s="813">
        <v>0</v>
      </c>
      <c r="K51" s="811">
        <v>0</v>
      </c>
      <c r="L51" s="813">
        <v>0</v>
      </c>
      <c r="M51" s="811">
        <v>0</v>
      </c>
      <c r="N51" s="813">
        <v>0</v>
      </c>
      <c r="O51" s="811">
        <v>0</v>
      </c>
      <c r="P51" s="345">
        <v>0.4</v>
      </c>
      <c r="Q51" s="811">
        <v>1</v>
      </c>
      <c r="R51" s="813">
        <v>0.4</v>
      </c>
      <c r="S51" s="811">
        <v>1</v>
      </c>
      <c r="T51" s="345"/>
      <c r="U51" s="932"/>
      <c r="V51" s="195"/>
      <c r="W51" s="936">
        <f t="shared" ref="W51:W55" si="7">AVERAGE(T51,L51,N51,P51,R51)</f>
        <v>0.2</v>
      </c>
      <c r="X51" s="1031">
        <f t="shared" si="6"/>
        <v>0.5</v>
      </c>
    </row>
    <row r="52" spans="1:24" s="1" customFormat="1" ht="15" customHeight="1" x14ac:dyDescent="0.2">
      <c r="A52" s="676" t="s">
        <v>45</v>
      </c>
      <c r="B52" s="345"/>
      <c r="C52" s="815"/>
      <c r="D52" s="663"/>
      <c r="E52" s="816"/>
      <c r="F52" s="345"/>
      <c r="G52" s="816"/>
      <c r="H52" s="345"/>
      <c r="I52" s="816"/>
      <c r="J52" s="345"/>
      <c r="K52" s="816"/>
      <c r="L52" s="345"/>
      <c r="M52" s="816"/>
      <c r="N52" s="345"/>
      <c r="O52" s="816"/>
      <c r="P52" s="345"/>
      <c r="Q52" s="816"/>
      <c r="R52" s="345"/>
      <c r="S52" s="816"/>
      <c r="T52" s="345"/>
      <c r="U52" s="933"/>
      <c r="V52" s="195"/>
      <c r="W52" s="936"/>
      <c r="X52" s="1031"/>
    </row>
    <row r="53" spans="1:24" s="1" customFormat="1" ht="15" customHeight="1" x14ac:dyDescent="0.2">
      <c r="A53" s="678" t="s">
        <v>43</v>
      </c>
      <c r="B53" s="258"/>
      <c r="C53" s="815">
        <v>6</v>
      </c>
      <c r="D53" s="260"/>
      <c r="E53" s="816">
        <v>0</v>
      </c>
      <c r="F53" s="258"/>
      <c r="G53" s="816">
        <v>0</v>
      </c>
      <c r="H53" s="258"/>
      <c r="I53" s="816">
        <v>0</v>
      </c>
      <c r="J53" s="813">
        <v>0</v>
      </c>
      <c r="K53" s="816">
        <v>0</v>
      </c>
      <c r="L53" s="813">
        <v>0</v>
      </c>
      <c r="M53" s="816">
        <v>0</v>
      </c>
      <c r="N53" s="813">
        <v>0</v>
      </c>
      <c r="O53" s="816">
        <v>0</v>
      </c>
      <c r="P53" s="813">
        <v>0</v>
      </c>
      <c r="Q53" s="816">
        <v>0</v>
      </c>
      <c r="R53" s="813">
        <v>0</v>
      </c>
      <c r="S53" s="816">
        <v>0</v>
      </c>
      <c r="T53" s="813"/>
      <c r="U53" s="933"/>
      <c r="V53" s="195"/>
      <c r="W53" s="936">
        <f t="shared" si="7"/>
        <v>0</v>
      </c>
      <c r="X53" s="1031">
        <f t="shared" si="6"/>
        <v>0</v>
      </c>
    </row>
    <row r="54" spans="1:24" s="1" customFormat="1" ht="15" customHeight="1" thickBot="1" x14ac:dyDescent="0.25">
      <c r="A54" s="939" t="s">
        <v>44</v>
      </c>
      <c r="B54" s="1017"/>
      <c r="C54" s="818">
        <v>0</v>
      </c>
      <c r="D54" s="1050"/>
      <c r="E54" s="819">
        <v>1</v>
      </c>
      <c r="F54" s="1017"/>
      <c r="G54" s="819">
        <v>1</v>
      </c>
      <c r="H54" s="1017"/>
      <c r="I54" s="819">
        <v>0</v>
      </c>
      <c r="J54" s="821">
        <v>0</v>
      </c>
      <c r="K54" s="819">
        <v>0</v>
      </c>
      <c r="L54" s="821">
        <v>0</v>
      </c>
      <c r="M54" s="819">
        <v>0</v>
      </c>
      <c r="N54" s="821">
        <v>0</v>
      </c>
      <c r="O54" s="819">
        <v>0</v>
      </c>
      <c r="P54" s="821">
        <v>0</v>
      </c>
      <c r="Q54" s="819">
        <v>0</v>
      </c>
      <c r="R54" s="821">
        <v>0</v>
      </c>
      <c r="S54" s="819"/>
      <c r="T54" s="821"/>
      <c r="U54" s="934"/>
      <c r="V54" s="195"/>
      <c r="W54" s="1020">
        <f t="shared" si="7"/>
        <v>0</v>
      </c>
      <c r="X54" s="1032">
        <f t="shared" si="6"/>
        <v>0</v>
      </c>
    </row>
    <row r="55" spans="1:24" s="1" customFormat="1" ht="15" customHeight="1" thickBot="1" x14ac:dyDescent="0.25">
      <c r="A55" s="796" t="s">
        <v>28</v>
      </c>
      <c r="B55" s="1021"/>
      <c r="C55" s="824">
        <f>SUM(C50:C54)</f>
        <v>18</v>
      </c>
      <c r="D55" s="1022"/>
      <c r="E55" s="826">
        <f>SUM(E50:E54)</f>
        <v>17</v>
      </c>
      <c r="F55" s="1021"/>
      <c r="G55" s="826">
        <f>SUM(G50:G54)</f>
        <v>16</v>
      </c>
      <c r="H55" s="1021"/>
      <c r="I55" s="826">
        <f t="shared" ref="I55:S55" si="8">SUM(I50:I54)</f>
        <v>15</v>
      </c>
      <c r="J55" s="906">
        <f t="shared" si="8"/>
        <v>16</v>
      </c>
      <c r="K55" s="826">
        <f t="shared" si="8"/>
        <v>16</v>
      </c>
      <c r="L55" s="906">
        <f t="shared" si="8"/>
        <v>17</v>
      </c>
      <c r="M55" s="826">
        <f t="shared" si="8"/>
        <v>17</v>
      </c>
      <c r="N55" s="906">
        <f t="shared" si="8"/>
        <v>17</v>
      </c>
      <c r="O55" s="826">
        <f t="shared" si="8"/>
        <v>17</v>
      </c>
      <c r="P55" s="906">
        <f t="shared" si="8"/>
        <v>17.399999999999999</v>
      </c>
      <c r="Q55" s="826">
        <f t="shared" si="8"/>
        <v>18</v>
      </c>
      <c r="R55" s="906">
        <f t="shared" si="8"/>
        <v>16.399999999999999</v>
      </c>
      <c r="S55" s="826">
        <f t="shared" si="8"/>
        <v>18</v>
      </c>
      <c r="T55" s="906">
        <f t="shared" ref="T55:U55" si="9">SUM(T50:T54)</f>
        <v>0</v>
      </c>
      <c r="U55" s="1023">
        <f t="shared" si="9"/>
        <v>0</v>
      </c>
      <c r="V55" s="195"/>
      <c r="W55" s="1028">
        <f t="shared" si="7"/>
        <v>13.559999999999999</v>
      </c>
      <c r="X55" s="1033">
        <f t="shared" si="6"/>
        <v>14</v>
      </c>
    </row>
    <row r="56" spans="1:24" s="1" customFormat="1" ht="18" customHeight="1" thickBot="1" x14ac:dyDescent="0.25">
      <c r="A56" s="795" t="s">
        <v>253</v>
      </c>
      <c r="B56" s="801" t="s">
        <v>39</v>
      </c>
      <c r="C56" s="954" t="s">
        <v>46</v>
      </c>
      <c r="D56" s="801" t="s">
        <v>39</v>
      </c>
      <c r="E56" s="798" t="s">
        <v>46</v>
      </c>
      <c r="F56" s="799" t="s">
        <v>39</v>
      </c>
      <c r="G56" s="798" t="s">
        <v>46</v>
      </c>
      <c r="H56" s="799" t="s">
        <v>39</v>
      </c>
      <c r="I56" s="798" t="s">
        <v>46</v>
      </c>
      <c r="J56" s="799" t="s">
        <v>39</v>
      </c>
      <c r="K56" s="798" t="s">
        <v>46</v>
      </c>
      <c r="L56" s="799" t="s">
        <v>39</v>
      </c>
      <c r="M56" s="798" t="s">
        <v>46</v>
      </c>
      <c r="N56" s="799" t="s">
        <v>39</v>
      </c>
      <c r="O56" s="798" t="s">
        <v>46</v>
      </c>
      <c r="P56" s="799" t="s">
        <v>39</v>
      </c>
      <c r="Q56" s="798" t="s">
        <v>46</v>
      </c>
      <c r="R56" s="799" t="s">
        <v>39</v>
      </c>
      <c r="S56" s="798" t="s">
        <v>46</v>
      </c>
      <c r="T56" s="799" t="s">
        <v>39</v>
      </c>
      <c r="U56" s="804" t="s">
        <v>46</v>
      </c>
      <c r="V56" s="195"/>
      <c r="W56" s="832" t="s">
        <v>39</v>
      </c>
      <c r="X56" s="804" t="s">
        <v>46</v>
      </c>
    </row>
    <row r="57" spans="1:24" s="1" customFormat="1" ht="18" customHeight="1" x14ac:dyDescent="0.2">
      <c r="A57" s="680" t="s">
        <v>265</v>
      </c>
      <c r="B57" s="938"/>
      <c r="C57" s="196"/>
      <c r="D57" s="938"/>
      <c r="E57" s="197"/>
      <c r="F57" s="937"/>
      <c r="G57" s="197"/>
      <c r="H57" s="937"/>
      <c r="I57" s="197"/>
      <c r="J57" s="937"/>
      <c r="K57" s="197"/>
      <c r="L57" s="937"/>
      <c r="M57" s="197"/>
      <c r="N57" s="937"/>
      <c r="O57" s="197"/>
      <c r="P57" s="937"/>
      <c r="Q57" s="197"/>
      <c r="R57" s="937"/>
      <c r="S57" s="197"/>
      <c r="T57" s="937"/>
      <c r="U57" s="199"/>
      <c r="V57" s="195"/>
      <c r="W57" s="1026"/>
      <c r="X57" s="199"/>
    </row>
    <row r="58" spans="1:24" s="1" customFormat="1" ht="15" customHeight="1" x14ac:dyDescent="0.2">
      <c r="A58" s="706" t="s">
        <v>47</v>
      </c>
      <c r="B58" s="201">
        <v>15</v>
      </c>
      <c r="C58" s="191">
        <f t="shared" ref="C58:C65" si="10">B58/C$55</f>
        <v>0.83333333333333337</v>
      </c>
      <c r="D58" s="201">
        <f>12+1</f>
        <v>13</v>
      </c>
      <c r="E58" s="192">
        <f t="shared" ref="E58:E65" si="11">D58/E$55</f>
        <v>0.76470588235294112</v>
      </c>
      <c r="F58" s="202">
        <v>13</v>
      </c>
      <c r="G58" s="192">
        <f t="shared" ref="G58:G65" si="12">F58/G$55</f>
        <v>0.8125</v>
      </c>
      <c r="H58" s="202">
        <v>12</v>
      </c>
      <c r="I58" s="192">
        <f t="shared" ref="I58:I65" si="13">H58/I$55</f>
        <v>0.8</v>
      </c>
      <c r="J58" s="202">
        <f>12</f>
        <v>12</v>
      </c>
      <c r="K58" s="192">
        <f t="shared" ref="K58:K65" si="14">J58/K$55</f>
        <v>0.75</v>
      </c>
      <c r="L58" s="202">
        <v>13</v>
      </c>
      <c r="M58" s="192">
        <f t="shared" ref="M58:M63" si="15">L58/M$55</f>
        <v>0.76470588235294112</v>
      </c>
      <c r="N58" s="202">
        <v>13</v>
      </c>
      <c r="O58" s="192">
        <f t="shared" ref="O58:Q63" si="16">N58/O$55</f>
        <v>0.76470588235294112</v>
      </c>
      <c r="P58" s="202">
        <v>13</v>
      </c>
      <c r="Q58" s="192">
        <f t="shared" si="16"/>
        <v>0.72222222222222221</v>
      </c>
      <c r="R58" s="202">
        <v>14</v>
      </c>
      <c r="S58" s="192">
        <f t="shared" ref="S58:S63" si="17">R58/S$55</f>
        <v>0.77777777777777779</v>
      </c>
      <c r="T58" s="202"/>
      <c r="U58" s="203" t="e">
        <f t="shared" ref="U58:U63" si="18">T58/U$55</f>
        <v>#DIV/0!</v>
      </c>
      <c r="V58" s="204"/>
      <c r="W58" s="205">
        <f>AVERAGE(N58,L58,R58,T58,P58)</f>
        <v>13.25</v>
      </c>
      <c r="X58" s="206" t="e">
        <f>AVERAGE(O58,M58,S58,U58,Q58)</f>
        <v>#DIV/0!</v>
      </c>
    </row>
    <row r="59" spans="1:24" s="1" customFormat="1" ht="15" customHeight="1" x14ac:dyDescent="0.2">
      <c r="A59" s="207" t="s">
        <v>48</v>
      </c>
      <c r="B59" s="201">
        <v>1</v>
      </c>
      <c r="C59" s="191">
        <f t="shared" si="10"/>
        <v>5.5555555555555552E-2</v>
      </c>
      <c r="D59" s="201">
        <v>1</v>
      </c>
      <c r="E59" s="192">
        <f t="shared" si="11"/>
        <v>5.8823529411764705E-2</v>
      </c>
      <c r="F59" s="202">
        <v>1</v>
      </c>
      <c r="G59" s="192">
        <f t="shared" si="12"/>
        <v>6.25E-2</v>
      </c>
      <c r="H59" s="202">
        <v>1</v>
      </c>
      <c r="I59" s="192">
        <f t="shared" si="13"/>
        <v>6.6666666666666666E-2</v>
      </c>
      <c r="J59" s="202">
        <f>1</f>
        <v>1</v>
      </c>
      <c r="K59" s="192">
        <f t="shared" si="14"/>
        <v>6.25E-2</v>
      </c>
      <c r="L59" s="202">
        <v>1</v>
      </c>
      <c r="M59" s="192">
        <f t="shared" si="15"/>
        <v>5.8823529411764705E-2</v>
      </c>
      <c r="N59" s="202">
        <v>1</v>
      </c>
      <c r="O59" s="192">
        <f t="shared" si="16"/>
        <v>5.8823529411764705E-2</v>
      </c>
      <c r="P59" s="202">
        <v>1</v>
      </c>
      <c r="Q59" s="192">
        <f t="shared" si="16"/>
        <v>5.5555555555555552E-2</v>
      </c>
      <c r="R59" s="202">
        <v>1</v>
      </c>
      <c r="S59" s="192">
        <f t="shared" si="17"/>
        <v>5.5555555555555552E-2</v>
      </c>
      <c r="T59" s="202"/>
      <c r="U59" s="203" t="e">
        <f t="shared" si="18"/>
        <v>#DIV/0!</v>
      </c>
      <c r="V59" s="204"/>
      <c r="W59" s="205">
        <f t="shared" ref="W59:X77" si="19">AVERAGE(N59,L59,R59,T59,P59)</f>
        <v>1</v>
      </c>
      <c r="X59" s="206" t="e">
        <f t="shared" si="19"/>
        <v>#DIV/0!</v>
      </c>
    </row>
    <row r="60" spans="1:24" s="1" customFormat="1" ht="15" customHeight="1" x14ac:dyDescent="0.2">
      <c r="A60" s="207" t="s">
        <v>49</v>
      </c>
      <c r="B60" s="201">
        <v>0</v>
      </c>
      <c r="C60" s="191">
        <f t="shared" si="10"/>
        <v>0</v>
      </c>
      <c r="D60" s="201">
        <v>0</v>
      </c>
      <c r="E60" s="192">
        <f t="shared" si="11"/>
        <v>0</v>
      </c>
      <c r="F60" s="202">
        <v>0</v>
      </c>
      <c r="G60" s="192">
        <f t="shared" si="12"/>
        <v>0</v>
      </c>
      <c r="H60" s="202">
        <v>0</v>
      </c>
      <c r="I60" s="192">
        <f t="shared" si="13"/>
        <v>0</v>
      </c>
      <c r="J60" s="202">
        <f>0</f>
        <v>0</v>
      </c>
      <c r="K60" s="192">
        <f t="shared" si="14"/>
        <v>0</v>
      </c>
      <c r="L60" s="202">
        <v>0</v>
      </c>
      <c r="M60" s="192">
        <f t="shared" si="15"/>
        <v>0</v>
      </c>
      <c r="N60" s="202">
        <v>0</v>
      </c>
      <c r="O60" s="192">
        <f t="shared" si="16"/>
        <v>0</v>
      </c>
      <c r="P60" s="202">
        <v>0</v>
      </c>
      <c r="Q60" s="192">
        <f t="shared" si="16"/>
        <v>0</v>
      </c>
      <c r="R60" s="202">
        <v>1</v>
      </c>
      <c r="S60" s="192">
        <f t="shared" si="17"/>
        <v>5.5555555555555552E-2</v>
      </c>
      <c r="T60" s="202"/>
      <c r="U60" s="203" t="e">
        <f t="shared" si="18"/>
        <v>#DIV/0!</v>
      </c>
      <c r="V60" s="204"/>
      <c r="W60" s="205">
        <f t="shared" si="19"/>
        <v>0.25</v>
      </c>
      <c r="X60" s="206" t="e">
        <f t="shared" si="19"/>
        <v>#DIV/0!</v>
      </c>
    </row>
    <row r="61" spans="1:24" s="1" customFormat="1" ht="15" customHeight="1" x14ac:dyDescent="0.2">
      <c r="A61" s="207" t="s">
        <v>50</v>
      </c>
      <c r="B61" s="201">
        <v>0</v>
      </c>
      <c r="C61" s="191">
        <f t="shared" si="10"/>
        <v>0</v>
      </c>
      <c r="D61" s="201">
        <v>0</v>
      </c>
      <c r="E61" s="192">
        <f t="shared" si="11"/>
        <v>0</v>
      </c>
      <c r="F61" s="202">
        <v>0</v>
      </c>
      <c r="G61" s="192">
        <f t="shared" si="12"/>
        <v>0</v>
      </c>
      <c r="H61" s="202">
        <v>0</v>
      </c>
      <c r="I61" s="192">
        <f t="shared" si="13"/>
        <v>0</v>
      </c>
      <c r="J61" s="202">
        <f>0</f>
        <v>0</v>
      </c>
      <c r="K61" s="192">
        <f t="shared" si="14"/>
        <v>0</v>
      </c>
      <c r="L61" s="202">
        <v>0</v>
      </c>
      <c r="M61" s="192">
        <f t="shared" si="15"/>
        <v>0</v>
      </c>
      <c r="N61" s="202">
        <v>0</v>
      </c>
      <c r="O61" s="192">
        <f t="shared" si="16"/>
        <v>0</v>
      </c>
      <c r="P61" s="202">
        <v>0</v>
      </c>
      <c r="Q61" s="192">
        <f t="shared" si="16"/>
        <v>0</v>
      </c>
      <c r="R61" s="202">
        <v>0</v>
      </c>
      <c r="S61" s="192">
        <f t="shared" si="17"/>
        <v>0</v>
      </c>
      <c r="T61" s="202"/>
      <c r="U61" s="203" t="e">
        <f t="shared" si="18"/>
        <v>#DIV/0!</v>
      </c>
      <c r="V61" s="204"/>
      <c r="W61" s="205">
        <f t="shared" si="19"/>
        <v>0</v>
      </c>
      <c r="X61" s="206" t="e">
        <f t="shared" si="19"/>
        <v>#DIV/0!</v>
      </c>
    </row>
    <row r="62" spans="1:24" s="1" customFormat="1" ht="15" customHeight="1" x14ac:dyDescent="0.2">
      <c r="A62" s="207" t="s">
        <v>51</v>
      </c>
      <c r="B62" s="201">
        <v>2</v>
      </c>
      <c r="C62" s="191">
        <f t="shared" si="10"/>
        <v>0.1111111111111111</v>
      </c>
      <c r="D62" s="201">
        <v>2</v>
      </c>
      <c r="E62" s="192">
        <f t="shared" si="11"/>
        <v>0.11764705882352941</v>
      </c>
      <c r="F62" s="202">
        <v>2</v>
      </c>
      <c r="G62" s="192">
        <f t="shared" si="12"/>
        <v>0.125</v>
      </c>
      <c r="H62" s="202">
        <v>2</v>
      </c>
      <c r="I62" s="192">
        <f t="shared" si="13"/>
        <v>0.13333333333333333</v>
      </c>
      <c r="J62" s="202">
        <f>3</f>
        <v>3</v>
      </c>
      <c r="K62" s="192">
        <f t="shared" si="14"/>
        <v>0.1875</v>
      </c>
      <c r="L62" s="202">
        <v>2</v>
      </c>
      <c r="M62" s="192">
        <f t="shared" si="15"/>
        <v>0.11764705882352941</v>
      </c>
      <c r="N62" s="202">
        <v>1</v>
      </c>
      <c r="O62" s="192">
        <f t="shared" si="16"/>
        <v>5.8823529411764705E-2</v>
      </c>
      <c r="P62" s="202">
        <v>2</v>
      </c>
      <c r="Q62" s="192">
        <f t="shared" si="16"/>
        <v>0.1111111111111111</v>
      </c>
      <c r="R62" s="202">
        <v>1</v>
      </c>
      <c r="S62" s="192">
        <f t="shared" si="17"/>
        <v>5.5555555555555552E-2</v>
      </c>
      <c r="T62" s="202"/>
      <c r="U62" s="203" t="e">
        <f t="shared" si="18"/>
        <v>#DIV/0!</v>
      </c>
      <c r="V62" s="204"/>
      <c r="W62" s="205">
        <f t="shared" si="19"/>
        <v>1.5</v>
      </c>
      <c r="X62" s="206" t="e">
        <f t="shared" si="19"/>
        <v>#DIV/0!</v>
      </c>
    </row>
    <row r="63" spans="1:24" s="1" customFormat="1" ht="15" customHeight="1" x14ac:dyDescent="0.2">
      <c r="A63" s="207" t="s">
        <v>52</v>
      </c>
      <c r="B63" s="201">
        <v>0</v>
      </c>
      <c r="C63" s="191">
        <f t="shared" si="10"/>
        <v>0</v>
      </c>
      <c r="D63" s="201">
        <v>1</v>
      </c>
      <c r="E63" s="192">
        <f t="shared" si="11"/>
        <v>5.8823529411764705E-2</v>
      </c>
      <c r="F63" s="202">
        <v>0</v>
      </c>
      <c r="G63" s="192">
        <f t="shared" si="12"/>
        <v>0</v>
      </c>
      <c r="H63" s="202">
        <v>0</v>
      </c>
      <c r="I63" s="192">
        <f t="shared" si="13"/>
        <v>0</v>
      </c>
      <c r="J63" s="202">
        <f>0</f>
        <v>0</v>
      </c>
      <c r="K63" s="192">
        <f t="shared" si="14"/>
        <v>0</v>
      </c>
      <c r="L63" s="202">
        <v>1</v>
      </c>
      <c r="M63" s="192">
        <f t="shared" si="15"/>
        <v>5.8823529411764705E-2</v>
      </c>
      <c r="N63" s="202">
        <v>2</v>
      </c>
      <c r="O63" s="192">
        <f t="shared" si="16"/>
        <v>0.11764705882352941</v>
      </c>
      <c r="P63" s="202">
        <v>2</v>
      </c>
      <c r="Q63" s="192">
        <f t="shared" si="16"/>
        <v>0.1111111111111111</v>
      </c>
      <c r="R63" s="202">
        <v>1</v>
      </c>
      <c r="S63" s="192">
        <f t="shared" si="17"/>
        <v>5.5555555555555552E-2</v>
      </c>
      <c r="T63" s="202"/>
      <c r="U63" s="203" t="e">
        <f t="shared" si="18"/>
        <v>#DIV/0!</v>
      </c>
      <c r="V63" s="204"/>
      <c r="W63" s="205">
        <f t="shared" si="19"/>
        <v>1.5</v>
      </c>
      <c r="X63" s="206" t="e">
        <f t="shared" si="19"/>
        <v>#DIV/0!</v>
      </c>
    </row>
    <row r="64" spans="1:24" s="1" customFormat="1" ht="15" customHeight="1" x14ac:dyDescent="0.2">
      <c r="A64" s="207" t="s">
        <v>53</v>
      </c>
      <c r="B64" s="190"/>
      <c r="C64" s="191">
        <f t="shared" si="10"/>
        <v>0</v>
      </c>
      <c r="D64" s="1223"/>
      <c r="E64" s="1224"/>
      <c r="F64" s="1225"/>
      <c r="G64" s="1224"/>
      <c r="H64" s="193">
        <v>0</v>
      </c>
      <c r="I64" s="192">
        <f t="shared" si="13"/>
        <v>0</v>
      </c>
      <c r="J64" s="193">
        <f>0</f>
        <v>0</v>
      </c>
      <c r="K64" s="192">
        <f t="shared" si="14"/>
        <v>0</v>
      </c>
      <c r="L64" s="193">
        <v>0</v>
      </c>
      <c r="M64" s="192">
        <f>L64/M$55</f>
        <v>0</v>
      </c>
      <c r="N64" s="193">
        <v>0</v>
      </c>
      <c r="O64" s="192">
        <f>N64/O$55</f>
        <v>0</v>
      </c>
      <c r="P64" s="193">
        <v>0</v>
      </c>
      <c r="Q64" s="192">
        <f>P64/Q$55</f>
        <v>0</v>
      </c>
      <c r="R64" s="193">
        <v>0</v>
      </c>
      <c r="S64" s="192">
        <f>R64/S$55</f>
        <v>0</v>
      </c>
      <c r="T64" s="202"/>
      <c r="U64" s="203" t="e">
        <f>T64/U$55</f>
        <v>#DIV/0!</v>
      </c>
      <c r="V64" s="204"/>
      <c r="W64" s="205">
        <f t="shared" si="19"/>
        <v>0</v>
      </c>
      <c r="X64" s="206" t="e">
        <f t="shared" si="19"/>
        <v>#DIV/0!</v>
      </c>
    </row>
    <row r="65" spans="1:24" s="1" customFormat="1" ht="15" customHeight="1" thickBot="1" x14ac:dyDescent="0.25">
      <c r="A65" s="696" t="s">
        <v>54</v>
      </c>
      <c r="B65" s="190">
        <v>0</v>
      </c>
      <c r="C65" s="724">
        <f t="shared" si="10"/>
        <v>0</v>
      </c>
      <c r="D65" s="190">
        <v>0</v>
      </c>
      <c r="E65" s="725">
        <f t="shared" si="11"/>
        <v>0</v>
      </c>
      <c r="F65" s="193">
        <v>0</v>
      </c>
      <c r="G65" s="725">
        <f t="shared" si="12"/>
        <v>0</v>
      </c>
      <c r="H65" s="193">
        <v>0</v>
      </c>
      <c r="I65" s="725">
        <f t="shared" si="13"/>
        <v>0</v>
      </c>
      <c r="J65" s="193">
        <f>0</f>
        <v>0</v>
      </c>
      <c r="K65" s="725">
        <f t="shared" si="14"/>
        <v>0</v>
      </c>
      <c r="L65" s="193">
        <v>0</v>
      </c>
      <c r="M65" s="725">
        <f>L65/M$55</f>
        <v>0</v>
      </c>
      <c r="N65" s="193">
        <v>0</v>
      </c>
      <c r="O65" s="725">
        <f>N65/O$55</f>
        <v>0</v>
      </c>
      <c r="P65" s="193">
        <v>0</v>
      </c>
      <c r="Q65" s="725">
        <f>P65/Q$55</f>
        <v>0</v>
      </c>
      <c r="R65" s="193">
        <v>0</v>
      </c>
      <c r="S65" s="725">
        <f>R65/S$55</f>
        <v>0</v>
      </c>
      <c r="T65" s="193"/>
      <c r="U65" s="726" t="e">
        <f>T65/U$55</f>
        <v>#DIV/0!</v>
      </c>
      <c r="V65" s="204"/>
      <c r="W65" s="727">
        <f t="shared" si="19"/>
        <v>0</v>
      </c>
      <c r="X65" s="728" t="e">
        <f t="shared" si="19"/>
        <v>#DIV/0!</v>
      </c>
    </row>
    <row r="66" spans="1:24" s="1" customFormat="1" ht="18" customHeight="1" x14ac:dyDescent="0.2">
      <c r="A66" s="680" t="s">
        <v>55</v>
      </c>
      <c r="B66" s="731"/>
      <c r="C66" s="732"/>
      <c r="D66" s="731"/>
      <c r="E66" s="733"/>
      <c r="F66" s="734"/>
      <c r="G66" s="733"/>
      <c r="H66" s="734"/>
      <c r="I66" s="733"/>
      <c r="J66" s="734"/>
      <c r="K66" s="733"/>
      <c r="L66" s="734"/>
      <c r="M66" s="733"/>
      <c r="N66" s="734"/>
      <c r="O66" s="733"/>
      <c r="P66" s="734"/>
      <c r="Q66" s="733"/>
      <c r="R66" s="734"/>
      <c r="S66" s="733"/>
      <c r="T66" s="734"/>
      <c r="U66" s="735"/>
      <c r="V66" s="204"/>
      <c r="W66" s="736"/>
      <c r="X66" s="737"/>
    </row>
    <row r="67" spans="1:24" s="1" customFormat="1" ht="15" customHeight="1" x14ac:dyDescent="0.2">
      <c r="A67" s="200" t="s">
        <v>56</v>
      </c>
      <c r="B67" s="208">
        <v>16</v>
      </c>
      <c r="C67" s="191">
        <f>B67/C$55</f>
        <v>0.88888888888888884</v>
      </c>
      <c r="D67" s="208">
        <f>13+1</f>
        <v>14</v>
      </c>
      <c r="E67" s="192">
        <f>D67/E$55</f>
        <v>0.82352941176470584</v>
      </c>
      <c r="F67" s="209">
        <v>12</v>
      </c>
      <c r="G67" s="192">
        <f>F67/G$55</f>
        <v>0.75</v>
      </c>
      <c r="H67" s="209">
        <v>11</v>
      </c>
      <c r="I67" s="192">
        <f>H67/I$55</f>
        <v>0.73333333333333328</v>
      </c>
      <c r="J67" s="209">
        <v>12</v>
      </c>
      <c r="K67" s="192">
        <f>J67/K$55</f>
        <v>0.75</v>
      </c>
      <c r="L67" s="209">
        <v>13</v>
      </c>
      <c r="M67" s="192">
        <f>L67/M$55</f>
        <v>0.76470588235294112</v>
      </c>
      <c r="N67" s="209">
        <v>13</v>
      </c>
      <c r="O67" s="192">
        <f>N67/O$55</f>
        <v>0.76470588235294112</v>
      </c>
      <c r="P67" s="209">
        <v>14</v>
      </c>
      <c r="Q67" s="192">
        <f>P67/Q$55</f>
        <v>0.77777777777777779</v>
      </c>
      <c r="R67" s="209">
        <v>13</v>
      </c>
      <c r="S67" s="192">
        <f>R67/S$55</f>
        <v>0.72222222222222221</v>
      </c>
      <c r="T67" s="209"/>
      <c r="U67" s="203" t="e">
        <f>T67/U$55</f>
        <v>#DIV/0!</v>
      </c>
      <c r="V67" s="204"/>
      <c r="W67" s="205">
        <f t="shared" si="19"/>
        <v>13.25</v>
      </c>
      <c r="X67" s="206" t="e">
        <f t="shared" si="19"/>
        <v>#DIV/0!</v>
      </c>
    </row>
    <row r="68" spans="1:24" s="1" customFormat="1" ht="15" customHeight="1" thickBot="1" x14ac:dyDescent="0.25">
      <c r="A68" s="696" t="s">
        <v>57</v>
      </c>
      <c r="B68" s="729">
        <v>3</v>
      </c>
      <c r="C68" s="724">
        <f>B68/C$55</f>
        <v>0.16666666666666666</v>
      </c>
      <c r="D68" s="729">
        <v>3</v>
      </c>
      <c r="E68" s="725">
        <f>D68/E$55</f>
        <v>0.17647058823529413</v>
      </c>
      <c r="F68" s="730">
        <v>4</v>
      </c>
      <c r="G68" s="725">
        <f>F68/G$55</f>
        <v>0.25</v>
      </c>
      <c r="H68" s="730">
        <v>4</v>
      </c>
      <c r="I68" s="725">
        <f>H68/I$55</f>
        <v>0.26666666666666666</v>
      </c>
      <c r="J68" s="730">
        <v>4</v>
      </c>
      <c r="K68" s="725">
        <f>J68/K$55</f>
        <v>0.25</v>
      </c>
      <c r="L68" s="730">
        <v>4</v>
      </c>
      <c r="M68" s="725">
        <f>L68/M$55</f>
        <v>0.23529411764705882</v>
      </c>
      <c r="N68" s="730">
        <v>4</v>
      </c>
      <c r="O68" s="725">
        <f>N68/O$55</f>
        <v>0.23529411764705882</v>
      </c>
      <c r="P68" s="730">
        <v>4</v>
      </c>
      <c r="Q68" s="725">
        <f>P68/Q$55</f>
        <v>0.22222222222222221</v>
      </c>
      <c r="R68" s="730">
        <v>5</v>
      </c>
      <c r="S68" s="725">
        <f>R68/S$55</f>
        <v>0.27777777777777779</v>
      </c>
      <c r="T68" s="730"/>
      <c r="U68" s="726" t="e">
        <f>T68/U$55</f>
        <v>#DIV/0!</v>
      </c>
      <c r="V68" s="204"/>
      <c r="W68" s="727">
        <f t="shared" si="19"/>
        <v>4.25</v>
      </c>
      <c r="X68" s="728" t="e">
        <f t="shared" si="19"/>
        <v>#DIV/0!</v>
      </c>
    </row>
    <row r="69" spans="1:24" s="1" customFormat="1" ht="18" customHeight="1" x14ac:dyDescent="0.2">
      <c r="A69" s="680" t="s">
        <v>58</v>
      </c>
      <c r="B69" s="738"/>
      <c r="C69" s="739"/>
      <c r="D69" s="738"/>
      <c r="E69" s="740"/>
      <c r="F69" s="741"/>
      <c r="G69" s="740"/>
      <c r="H69" s="741"/>
      <c r="I69" s="740"/>
      <c r="J69" s="741"/>
      <c r="K69" s="740"/>
      <c r="L69" s="741"/>
      <c r="M69" s="740"/>
      <c r="N69" s="741"/>
      <c r="O69" s="740"/>
      <c r="P69" s="741"/>
      <c r="Q69" s="740"/>
      <c r="R69" s="741"/>
      <c r="S69" s="740"/>
      <c r="T69" s="741"/>
      <c r="U69" s="742"/>
      <c r="V69" s="204"/>
      <c r="W69" s="736"/>
      <c r="X69" s="737"/>
    </row>
    <row r="70" spans="1:24" s="1" customFormat="1" ht="15" customHeight="1" x14ac:dyDescent="0.2">
      <c r="A70" s="200" t="s">
        <v>59</v>
      </c>
      <c r="B70" s="210">
        <v>11</v>
      </c>
      <c r="C70" s="191">
        <f>B70/C$55</f>
        <v>0.61111111111111116</v>
      </c>
      <c r="D70" s="210">
        <v>10</v>
      </c>
      <c r="E70" s="192">
        <f>D70/E$55</f>
        <v>0.58823529411764708</v>
      </c>
      <c r="F70" s="211">
        <v>9</v>
      </c>
      <c r="G70" s="192">
        <f>F70/G$55</f>
        <v>0.5625</v>
      </c>
      <c r="H70" s="211">
        <v>10</v>
      </c>
      <c r="I70" s="192">
        <f>H70/I$55</f>
        <v>0.66666666666666663</v>
      </c>
      <c r="J70" s="211">
        <v>10</v>
      </c>
      <c r="K70" s="192">
        <f>J70/K$55</f>
        <v>0.625</v>
      </c>
      <c r="L70" s="211">
        <v>9</v>
      </c>
      <c r="M70" s="192">
        <f>L70/M$55</f>
        <v>0.52941176470588236</v>
      </c>
      <c r="N70" s="211">
        <v>8</v>
      </c>
      <c r="O70" s="192">
        <f>N70/O$55</f>
        <v>0.47058823529411764</v>
      </c>
      <c r="P70" s="211">
        <v>9</v>
      </c>
      <c r="Q70" s="192">
        <f>P70/Q$55</f>
        <v>0.5</v>
      </c>
      <c r="R70" s="211">
        <v>10</v>
      </c>
      <c r="S70" s="192">
        <f>R70/S$55</f>
        <v>0.55555555555555558</v>
      </c>
      <c r="T70" s="211"/>
      <c r="U70" s="203" t="e">
        <f>T70/U$55</f>
        <v>#DIV/0!</v>
      </c>
      <c r="V70" s="204"/>
      <c r="W70" s="205">
        <f t="shared" si="19"/>
        <v>9</v>
      </c>
      <c r="X70" s="206" t="e">
        <f t="shared" si="19"/>
        <v>#DIV/0!</v>
      </c>
    </row>
    <row r="71" spans="1:24" s="1" customFormat="1" ht="15" customHeight="1" x14ac:dyDescent="0.2">
      <c r="A71" s="200" t="s">
        <v>60</v>
      </c>
      <c r="B71" s="210">
        <v>0</v>
      </c>
      <c r="C71" s="191">
        <f>B71/C$55</f>
        <v>0</v>
      </c>
      <c r="D71" s="210">
        <v>4</v>
      </c>
      <c r="E71" s="192">
        <f>D71/E$55</f>
        <v>0.23529411764705882</v>
      </c>
      <c r="F71" s="211">
        <v>5</v>
      </c>
      <c r="G71" s="192">
        <f>F71/G$55</f>
        <v>0.3125</v>
      </c>
      <c r="H71" s="211">
        <v>4</v>
      </c>
      <c r="I71" s="192">
        <f>H71/I$55</f>
        <v>0.26666666666666666</v>
      </c>
      <c r="J71" s="211">
        <v>5</v>
      </c>
      <c r="K71" s="192">
        <f>J71/K$55</f>
        <v>0.3125</v>
      </c>
      <c r="L71" s="211">
        <v>7</v>
      </c>
      <c r="M71" s="192">
        <f>L71/M$55</f>
        <v>0.41176470588235292</v>
      </c>
      <c r="N71" s="211">
        <v>8</v>
      </c>
      <c r="O71" s="192">
        <f>N71/O$55</f>
        <v>0.47058823529411764</v>
      </c>
      <c r="P71" s="211">
        <v>7</v>
      </c>
      <c r="Q71" s="192">
        <f>P71/Q$55</f>
        <v>0.3888888888888889</v>
      </c>
      <c r="R71" s="211">
        <v>7</v>
      </c>
      <c r="S71" s="192">
        <f>R71/S$55</f>
        <v>0.3888888888888889</v>
      </c>
      <c r="T71" s="211"/>
      <c r="U71" s="203" t="e">
        <f>T71/U$55</f>
        <v>#DIV/0!</v>
      </c>
      <c r="V71" s="204"/>
      <c r="W71" s="205">
        <f t="shared" si="19"/>
        <v>7.25</v>
      </c>
      <c r="X71" s="206" t="e">
        <f t="shared" si="19"/>
        <v>#DIV/0!</v>
      </c>
    </row>
    <row r="72" spans="1:24" s="1" customFormat="1" ht="15" customHeight="1" thickBot="1" x14ac:dyDescent="0.25">
      <c r="A72" s="696" t="s">
        <v>61</v>
      </c>
      <c r="B72" s="729">
        <v>6</v>
      </c>
      <c r="C72" s="724">
        <f>B72/C$55</f>
        <v>0.33333333333333331</v>
      </c>
      <c r="D72" s="729">
        <f>2+1</f>
        <v>3</v>
      </c>
      <c r="E72" s="725">
        <f>D72/E$55</f>
        <v>0.17647058823529413</v>
      </c>
      <c r="F72" s="730">
        <v>2</v>
      </c>
      <c r="G72" s="725">
        <f>F72/G$55</f>
        <v>0.125</v>
      </c>
      <c r="H72" s="730">
        <v>1</v>
      </c>
      <c r="I72" s="725">
        <f>H72/I$55</f>
        <v>6.6666666666666666E-2</v>
      </c>
      <c r="J72" s="730">
        <v>1</v>
      </c>
      <c r="K72" s="725">
        <f>J72/K$55</f>
        <v>6.25E-2</v>
      </c>
      <c r="L72" s="730">
        <v>1</v>
      </c>
      <c r="M72" s="725">
        <f>L72/M$55</f>
        <v>5.8823529411764705E-2</v>
      </c>
      <c r="N72" s="730">
        <v>1</v>
      </c>
      <c r="O72" s="725">
        <f>N72/O$55</f>
        <v>5.8823529411764705E-2</v>
      </c>
      <c r="P72" s="730">
        <v>2</v>
      </c>
      <c r="Q72" s="725">
        <f>P72/Q$55</f>
        <v>0.1111111111111111</v>
      </c>
      <c r="R72" s="730">
        <v>1</v>
      </c>
      <c r="S72" s="725">
        <f>R72/S$55</f>
        <v>5.5555555555555552E-2</v>
      </c>
      <c r="T72" s="730"/>
      <c r="U72" s="726" t="e">
        <f>T72/U$55</f>
        <v>#DIV/0!</v>
      </c>
      <c r="V72" s="204"/>
      <c r="W72" s="727">
        <f t="shared" si="19"/>
        <v>1.25</v>
      </c>
      <c r="X72" s="728" t="e">
        <f t="shared" si="19"/>
        <v>#DIV/0!</v>
      </c>
    </row>
    <row r="73" spans="1:24" s="1" customFormat="1" ht="18" customHeight="1" x14ac:dyDescent="0.2">
      <c r="A73" s="680" t="s">
        <v>62</v>
      </c>
      <c r="B73" s="738"/>
      <c r="C73" s="739"/>
      <c r="D73" s="738"/>
      <c r="E73" s="740"/>
      <c r="F73" s="741"/>
      <c r="G73" s="740"/>
      <c r="H73" s="741"/>
      <c r="I73" s="740"/>
      <c r="J73" s="741"/>
      <c r="K73" s="740"/>
      <c r="L73" s="741"/>
      <c r="M73" s="740"/>
      <c r="N73" s="741"/>
      <c r="O73" s="740"/>
      <c r="P73" s="741"/>
      <c r="Q73" s="740"/>
      <c r="R73" s="741"/>
      <c r="S73" s="740"/>
      <c r="T73" s="741"/>
      <c r="U73" s="742"/>
      <c r="V73" s="204"/>
      <c r="W73" s="736"/>
      <c r="X73" s="737"/>
    </row>
    <row r="74" spans="1:24" s="1" customFormat="1" ht="15" customHeight="1" x14ac:dyDescent="0.2">
      <c r="A74" s="200" t="s">
        <v>63</v>
      </c>
      <c r="B74" s="210">
        <v>15</v>
      </c>
      <c r="C74" s="191">
        <f>B74/C$55</f>
        <v>0.83333333333333337</v>
      </c>
      <c r="D74" s="210">
        <f>15+1</f>
        <v>16</v>
      </c>
      <c r="E74" s="192">
        <f>D74/E$55</f>
        <v>0.94117647058823528</v>
      </c>
      <c r="F74" s="211">
        <v>13</v>
      </c>
      <c r="G74" s="192">
        <f>F74/G$55</f>
        <v>0.8125</v>
      </c>
      <c r="H74" s="211">
        <v>12</v>
      </c>
      <c r="I74" s="192">
        <f>H74/I$55</f>
        <v>0.8</v>
      </c>
      <c r="J74" s="211">
        <v>13</v>
      </c>
      <c r="K74" s="192">
        <f>J74/K$55</f>
        <v>0.8125</v>
      </c>
      <c r="L74" s="211">
        <v>17</v>
      </c>
      <c r="M74" s="192">
        <f>L74/M$55</f>
        <v>1</v>
      </c>
      <c r="N74" s="211">
        <v>17</v>
      </c>
      <c r="O74" s="192">
        <f>N74/O$55</f>
        <v>1</v>
      </c>
      <c r="P74" s="211">
        <v>17</v>
      </c>
      <c r="Q74" s="192">
        <f>P74/Q$55</f>
        <v>0.94444444444444442</v>
      </c>
      <c r="R74" s="211">
        <v>18</v>
      </c>
      <c r="S74" s="192">
        <f>R74/S$55</f>
        <v>1</v>
      </c>
      <c r="T74" s="211"/>
      <c r="U74" s="203" t="e">
        <f>T74/U$55</f>
        <v>#DIV/0!</v>
      </c>
      <c r="V74" s="204"/>
      <c r="W74" s="205">
        <f t="shared" si="19"/>
        <v>17.25</v>
      </c>
      <c r="X74" s="206" t="e">
        <f t="shared" si="19"/>
        <v>#DIV/0!</v>
      </c>
    </row>
    <row r="75" spans="1:24" s="1" customFormat="1" ht="15" customHeight="1" x14ac:dyDescent="0.2">
      <c r="A75" s="200" t="s">
        <v>64</v>
      </c>
      <c r="B75" s="210">
        <v>0</v>
      </c>
      <c r="C75" s="191">
        <f>B75/C$55</f>
        <v>0</v>
      </c>
      <c r="D75" s="210">
        <v>1</v>
      </c>
      <c r="E75" s="192">
        <f>D75/E$55</f>
        <v>5.8823529411764705E-2</v>
      </c>
      <c r="F75" s="211">
        <v>3</v>
      </c>
      <c r="G75" s="192">
        <f>F75/G$55</f>
        <v>0.1875</v>
      </c>
      <c r="H75" s="211">
        <v>3</v>
      </c>
      <c r="I75" s="192">
        <f>H75/I$55</f>
        <v>0.2</v>
      </c>
      <c r="J75" s="211">
        <v>3</v>
      </c>
      <c r="K75" s="192">
        <f>J75/K$55</f>
        <v>0.1875</v>
      </c>
      <c r="L75" s="211">
        <v>0</v>
      </c>
      <c r="M75" s="192">
        <f>L75/M$55</f>
        <v>0</v>
      </c>
      <c r="N75" s="211">
        <v>0</v>
      </c>
      <c r="O75" s="192">
        <f>N75/O$55</f>
        <v>0</v>
      </c>
      <c r="P75" s="211">
        <v>1</v>
      </c>
      <c r="Q75" s="192">
        <f>P75/Q$55</f>
        <v>5.5555555555555552E-2</v>
      </c>
      <c r="R75" s="211">
        <v>0</v>
      </c>
      <c r="S75" s="192">
        <f>R75/S$55</f>
        <v>0</v>
      </c>
      <c r="T75" s="211"/>
      <c r="U75" s="203" t="e">
        <f>T75/U$55</f>
        <v>#DIV/0!</v>
      </c>
      <c r="V75" s="204"/>
      <c r="W75" s="205">
        <f t="shared" si="19"/>
        <v>0.25</v>
      </c>
      <c r="X75" s="206" t="e">
        <f t="shared" si="19"/>
        <v>#DIV/0!</v>
      </c>
    </row>
    <row r="76" spans="1:24" s="1" customFormat="1" ht="15" customHeight="1" x14ac:dyDescent="0.2">
      <c r="A76" s="200" t="s">
        <v>65</v>
      </c>
      <c r="B76" s="210">
        <v>0</v>
      </c>
      <c r="C76" s="191">
        <f>B76/C$55</f>
        <v>0</v>
      </c>
      <c r="D76" s="210">
        <v>0</v>
      </c>
      <c r="E76" s="192">
        <f>D76/E$55</f>
        <v>0</v>
      </c>
      <c r="F76" s="211">
        <v>0</v>
      </c>
      <c r="G76" s="192">
        <f>F76/G$55</f>
        <v>0</v>
      </c>
      <c r="H76" s="211">
        <v>0</v>
      </c>
      <c r="I76" s="192">
        <f>H76/I$55</f>
        <v>0</v>
      </c>
      <c r="J76" s="211">
        <v>0</v>
      </c>
      <c r="K76" s="192">
        <f>J76/K$55</f>
        <v>0</v>
      </c>
      <c r="L76" s="211">
        <v>0</v>
      </c>
      <c r="M76" s="192">
        <f>L76/M$55</f>
        <v>0</v>
      </c>
      <c r="N76" s="211">
        <v>0</v>
      </c>
      <c r="O76" s="192">
        <f>N76/O$55</f>
        <v>0</v>
      </c>
      <c r="P76" s="211">
        <v>0</v>
      </c>
      <c r="Q76" s="192">
        <f>P76/Q$55</f>
        <v>0</v>
      </c>
      <c r="R76" s="211">
        <v>0</v>
      </c>
      <c r="S76" s="192">
        <f>R76/S$55</f>
        <v>0</v>
      </c>
      <c r="T76" s="211"/>
      <c r="U76" s="203" t="e">
        <f>T76/U$55</f>
        <v>#DIV/0!</v>
      </c>
      <c r="V76" s="195"/>
      <c r="W76" s="205">
        <f t="shared" si="19"/>
        <v>0</v>
      </c>
      <c r="X76" s="206" t="e">
        <f t="shared" si="19"/>
        <v>#DIV/0!</v>
      </c>
    </row>
    <row r="77" spans="1:24" s="1" customFormat="1" ht="15" customHeight="1" thickBot="1" x14ac:dyDescent="0.25">
      <c r="A77" s="212" t="s">
        <v>66</v>
      </c>
      <c r="B77" s="246">
        <v>0</v>
      </c>
      <c r="C77" s="214">
        <f>B77/C$55</f>
        <v>0</v>
      </c>
      <c r="D77" s="246">
        <v>0</v>
      </c>
      <c r="E77" s="215">
        <f>D77/E$55</f>
        <v>0</v>
      </c>
      <c r="F77" s="217">
        <v>0</v>
      </c>
      <c r="G77" s="215">
        <f>F77/G$55</f>
        <v>0</v>
      </c>
      <c r="H77" s="217">
        <v>0</v>
      </c>
      <c r="I77" s="215">
        <f>H77/I$55</f>
        <v>0</v>
      </c>
      <c r="J77" s="217">
        <v>0</v>
      </c>
      <c r="K77" s="215">
        <f>J77/K$55</f>
        <v>0</v>
      </c>
      <c r="L77" s="217">
        <v>0</v>
      </c>
      <c r="M77" s="215">
        <f>L77/M$55</f>
        <v>0</v>
      </c>
      <c r="N77" s="217">
        <v>0</v>
      </c>
      <c r="O77" s="215">
        <f>N77/O$55</f>
        <v>0</v>
      </c>
      <c r="P77" s="217">
        <v>0</v>
      </c>
      <c r="Q77" s="215">
        <f>P77/Q$55</f>
        <v>0</v>
      </c>
      <c r="R77" s="217">
        <v>0</v>
      </c>
      <c r="S77" s="215">
        <f>R77/S$55</f>
        <v>0</v>
      </c>
      <c r="T77" s="217"/>
      <c r="U77" s="218" t="e">
        <f>T77/U$55</f>
        <v>#DIV/0!</v>
      </c>
      <c r="V77" s="195"/>
      <c r="W77" s="219">
        <f t="shared" si="19"/>
        <v>0</v>
      </c>
      <c r="X77" s="220" t="e">
        <f t="shared" si="19"/>
        <v>#DIV/0!</v>
      </c>
    </row>
    <row r="78" spans="1:24" ht="15" customHeight="1" thickTop="1" x14ac:dyDescent="0.2">
      <c r="A78" s="743" t="s">
        <v>248</v>
      </c>
    </row>
    <row r="79" spans="1:24" ht="15" customHeight="1" x14ac:dyDescent="0.2">
      <c r="A79" s="1"/>
      <c r="H79" s="65" t="s">
        <v>19</v>
      </c>
      <c r="J79" s="65" t="s">
        <v>19</v>
      </c>
      <c r="L79" s="65" t="s">
        <v>19</v>
      </c>
      <c r="N79" s="65" t="s">
        <v>19</v>
      </c>
      <c r="P79" s="65" t="s">
        <v>19</v>
      </c>
      <c r="R79" s="65" t="s">
        <v>19</v>
      </c>
      <c r="T79" s="65"/>
    </row>
    <row r="80" spans="1:24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x14ac:dyDescent="0.2">
      <c r="A84" s="1"/>
    </row>
    <row r="85" spans="1:1" x14ac:dyDescent="0.2">
      <c r="A85" s="1"/>
    </row>
    <row r="86" spans="1:1" x14ac:dyDescent="0.2">
      <c r="A86" s="1"/>
    </row>
    <row r="87" spans="1:1" x14ac:dyDescent="0.2">
      <c r="A87" s="1"/>
    </row>
    <row r="88" spans="1:1" x14ac:dyDescent="0.2">
      <c r="A88" s="1"/>
    </row>
    <row r="89" spans="1:1" x14ac:dyDescent="0.2">
      <c r="A89" s="1"/>
    </row>
    <row r="90" spans="1:1" x14ac:dyDescent="0.2">
      <c r="A90" s="1"/>
    </row>
    <row r="91" spans="1:1" x14ac:dyDescent="0.2">
      <c r="A91" s="1"/>
    </row>
    <row r="92" spans="1:1" x14ac:dyDescent="0.2">
      <c r="A92" s="1"/>
    </row>
    <row r="93" spans="1:1" x14ac:dyDescent="0.2">
      <c r="A93" s="1"/>
    </row>
    <row r="94" spans="1:1" x14ac:dyDescent="0.2">
      <c r="A94" s="1"/>
    </row>
    <row r="95" spans="1:1" x14ac:dyDescent="0.2">
      <c r="A95" s="1"/>
    </row>
    <row r="96" spans="1:1" x14ac:dyDescent="0.2">
      <c r="A96" s="1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x14ac:dyDescent="0.2">
      <c r="A100" s="1"/>
    </row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x14ac:dyDescent="0.2">
      <c r="A107" s="1"/>
    </row>
    <row r="108" spans="1:1" x14ac:dyDescent="0.2">
      <c r="A108" s="1"/>
    </row>
    <row r="109" spans="1:1" x14ac:dyDescent="0.2">
      <c r="A109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x14ac:dyDescent="0.2">
      <c r="A120" s="1"/>
    </row>
    <row r="121" spans="1:1" x14ac:dyDescent="0.2">
      <c r="A121" s="1"/>
    </row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x14ac:dyDescent="0.2">
      <c r="A128" s="1"/>
    </row>
    <row r="129" spans="1:1" x14ac:dyDescent="0.2">
      <c r="A129" s="1"/>
    </row>
    <row r="130" spans="1:1" x14ac:dyDescent="0.2">
      <c r="A130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x14ac:dyDescent="0.2">
      <c r="A152" s="1"/>
    </row>
    <row r="153" spans="1:1" x14ac:dyDescent="0.2">
      <c r="A153" s="1"/>
    </row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  <row r="177" spans="1:1" x14ac:dyDescent="0.2">
      <c r="A177" s="1"/>
    </row>
    <row r="178" spans="1:1" x14ac:dyDescent="0.2">
      <c r="A178" s="1"/>
    </row>
    <row r="179" spans="1:1" x14ac:dyDescent="0.2">
      <c r="A179" s="1"/>
    </row>
    <row r="180" spans="1:1" x14ac:dyDescent="0.2">
      <c r="A180" s="1"/>
    </row>
    <row r="181" spans="1:1" x14ac:dyDescent="0.2">
      <c r="A181" s="1"/>
    </row>
    <row r="182" spans="1:1" x14ac:dyDescent="0.2">
      <c r="A182" s="1"/>
    </row>
    <row r="183" spans="1:1" x14ac:dyDescent="0.2">
      <c r="A183" s="1"/>
    </row>
    <row r="184" spans="1:1" x14ac:dyDescent="0.2">
      <c r="A184" s="1"/>
    </row>
    <row r="185" spans="1:1" x14ac:dyDescent="0.2">
      <c r="A185" s="1"/>
    </row>
    <row r="186" spans="1:1" x14ac:dyDescent="0.2">
      <c r="A186" s="1"/>
    </row>
    <row r="187" spans="1:1" x14ac:dyDescent="0.2">
      <c r="A187" s="1"/>
    </row>
    <row r="188" spans="1:1" x14ac:dyDescent="0.2">
      <c r="A188" s="1"/>
    </row>
    <row r="189" spans="1:1" x14ac:dyDescent="0.2">
      <c r="A189" s="1"/>
    </row>
    <row r="190" spans="1:1" x14ac:dyDescent="0.2">
      <c r="A190" s="1"/>
    </row>
    <row r="191" spans="1:1" x14ac:dyDescent="0.2">
      <c r="A191" s="1"/>
    </row>
    <row r="192" spans="1:1" x14ac:dyDescent="0.2">
      <c r="A192" s="1"/>
    </row>
    <row r="193" spans="1:1" x14ac:dyDescent="0.2">
      <c r="A193" s="1"/>
    </row>
    <row r="194" spans="1:1" x14ac:dyDescent="0.2">
      <c r="A194" s="1"/>
    </row>
    <row r="195" spans="1:1" x14ac:dyDescent="0.2">
      <c r="A195" s="1"/>
    </row>
    <row r="196" spans="1:1" x14ac:dyDescent="0.2">
      <c r="A196" s="1"/>
    </row>
    <row r="197" spans="1:1" x14ac:dyDescent="0.2">
      <c r="A197" s="1"/>
    </row>
    <row r="198" spans="1:1" x14ac:dyDescent="0.2">
      <c r="A198" s="1"/>
    </row>
    <row r="199" spans="1:1" x14ac:dyDescent="0.2">
      <c r="A199" s="1"/>
    </row>
    <row r="200" spans="1:1" x14ac:dyDescent="0.2">
      <c r="A200" s="1"/>
    </row>
    <row r="201" spans="1:1" x14ac:dyDescent="0.2">
      <c r="A201" s="1"/>
    </row>
    <row r="202" spans="1:1" x14ac:dyDescent="0.2">
      <c r="A202" s="1"/>
    </row>
    <row r="203" spans="1:1" x14ac:dyDescent="0.2">
      <c r="A203" s="1"/>
    </row>
    <row r="204" spans="1:1" x14ac:dyDescent="0.2">
      <c r="A204" s="1"/>
    </row>
    <row r="205" spans="1:1" x14ac:dyDescent="0.2">
      <c r="A205" s="1"/>
    </row>
    <row r="206" spans="1:1" x14ac:dyDescent="0.2">
      <c r="A206" s="1"/>
    </row>
    <row r="207" spans="1:1" x14ac:dyDescent="0.2">
      <c r="A207" s="1"/>
    </row>
    <row r="208" spans="1:1" x14ac:dyDescent="0.2">
      <c r="A208" s="1"/>
    </row>
    <row r="209" spans="1:1" x14ac:dyDescent="0.2">
      <c r="A209" s="1"/>
    </row>
    <row r="210" spans="1:1" x14ac:dyDescent="0.2">
      <c r="A210" s="1"/>
    </row>
    <row r="211" spans="1:1" x14ac:dyDescent="0.2">
      <c r="A211" s="1"/>
    </row>
    <row r="212" spans="1:1" x14ac:dyDescent="0.2">
      <c r="A212" s="1"/>
    </row>
    <row r="213" spans="1:1" x14ac:dyDescent="0.2">
      <c r="A213" s="1"/>
    </row>
    <row r="214" spans="1:1" x14ac:dyDescent="0.2">
      <c r="A214" s="1"/>
    </row>
    <row r="215" spans="1:1" x14ac:dyDescent="0.2">
      <c r="A215" s="1"/>
    </row>
    <row r="216" spans="1:1" x14ac:dyDescent="0.2">
      <c r="A216" s="1"/>
    </row>
    <row r="217" spans="1:1" x14ac:dyDescent="0.2">
      <c r="A217" s="1"/>
    </row>
    <row r="218" spans="1:1" x14ac:dyDescent="0.2">
      <c r="A218" s="1"/>
    </row>
    <row r="219" spans="1:1" x14ac:dyDescent="0.2">
      <c r="A219" s="1"/>
    </row>
    <row r="220" spans="1:1" x14ac:dyDescent="0.2">
      <c r="A220" s="1"/>
    </row>
    <row r="221" spans="1:1" x14ac:dyDescent="0.2">
      <c r="A221" s="1"/>
    </row>
    <row r="222" spans="1:1" x14ac:dyDescent="0.2">
      <c r="A222" s="1"/>
    </row>
    <row r="223" spans="1:1" x14ac:dyDescent="0.2">
      <c r="A223" s="1"/>
    </row>
    <row r="224" spans="1:1" x14ac:dyDescent="0.2">
      <c r="A224" s="1"/>
    </row>
    <row r="225" spans="1:1" x14ac:dyDescent="0.2">
      <c r="A225" s="1"/>
    </row>
    <row r="226" spans="1:1" x14ac:dyDescent="0.2">
      <c r="A226" s="1"/>
    </row>
    <row r="227" spans="1:1" x14ac:dyDescent="0.2">
      <c r="A227" s="1"/>
    </row>
    <row r="228" spans="1:1" x14ac:dyDescent="0.2">
      <c r="A228" s="1"/>
    </row>
    <row r="229" spans="1:1" x14ac:dyDescent="0.2">
      <c r="A229" s="1"/>
    </row>
    <row r="230" spans="1:1" x14ac:dyDescent="0.2">
      <c r="A230" s="1"/>
    </row>
    <row r="231" spans="1:1" x14ac:dyDescent="0.2">
      <c r="A231" s="1"/>
    </row>
    <row r="232" spans="1:1" x14ac:dyDescent="0.2">
      <c r="A232" s="1"/>
    </row>
    <row r="233" spans="1:1" x14ac:dyDescent="0.2">
      <c r="A233" s="1"/>
    </row>
    <row r="234" spans="1:1" x14ac:dyDescent="0.2">
      <c r="A234" s="1"/>
    </row>
    <row r="235" spans="1:1" x14ac:dyDescent="0.2">
      <c r="A235" s="1"/>
    </row>
    <row r="236" spans="1:1" x14ac:dyDescent="0.2">
      <c r="A236" s="1"/>
    </row>
    <row r="237" spans="1:1" x14ac:dyDescent="0.2">
      <c r="A237" s="1"/>
    </row>
    <row r="238" spans="1:1" x14ac:dyDescent="0.2">
      <c r="A238" s="1"/>
    </row>
    <row r="239" spans="1:1" x14ac:dyDescent="0.2">
      <c r="A239" s="1"/>
    </row>
    <row r="240" spans="1:1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6" spans="1:1" x14ac:dyDescent="0.2">
      <c r="A296" s="1"/>
    </row>
    <row r="297" spans="1:1" x14ac:dyDescent="0.2">
      <c r="A297" s="1"/>
    </row>
    <row r="298" spans="1:1" x14ac:dyDescent="0.2">
      <c r="A298" s="1"/>
    </row>
    <row r="299" spans="1:1" x14ac:dyDescent="0.2">
      <c r="A299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  <row r="303" spans="1:1" x14ac:dyDescent="0.2">
      <c r="A303" s="1"/>
    </row>
    <row r="304" spans="1:1" x14ac:dyDescent="0.2">
      <c r="A304" s="1"/>
    </row>
    <row r="305" spans="1:1" x14ac:dyDescent="0.2">
      <c r="A305" s="1"/>
    </row>
    <row r="306" spans="1:1" x14ac:dyDescent="0.2">
      <c r="A306" s="1"/>
    </row>
    <row r="307" spans="1:1" x14ac:dyDescent="0.2">
      <c r="A307" s="1"/>
    </row>
    <row r="308" spans="1:1" x14ac:dyDescent="0.2">
      <c r="A308" s="1"/>
    </row>
    <row r="309" spans="1:1" x14ac:dyDescent="0.2">
      <c r="A309" s="1"/>
    </row>
    <row r="310" spans="1:1" x14ac:dyDescent="0.2">
      <c r="A310" s="1"/>
    </row>
    <row r="311" spans="1:1" x14ac:dyDescent="0.2">
      <c r="A311" s="1"/>
    </row>
    <row r="312" spans="1:1" x14ac:dyDescent="0.2">
      <c r="A312" s="1"/>
    </row>
    <row r="313" spans="1:1" x14ac:dyDescent="0.2">
      <c r="A313" s="1"/>
    </row>
    <row r="314" spans="1:1" x14ac:dyDescent="0.2">
      <c r="A314" s="1"/>
    </row>
    <row r="315" spans="1:1" x14ac:dyDescent="0.2">
      <c r="A315" s="1"/>
    </row>
    <row r="316" spans="1:1" x14ac:dyDescent="0.2">
      <c r="A316" s="1"/>
    </row>
    <row r="317" spans="1:1" x14ac:dyDescent="0.2">
      <c r="A317" s="1"/>
    </row>
    <row r="318" spans="1:1" x14ac:dyDescent="0.2">
      <c r="A318" s="1"/>
    </row>
    <row r="319" spans="1:1" x14ac:dyDescent="0.2">
      <c r="A319" s="1"/>
    </row>
    <row r="320" spans="1:1" x14ac:dyDescent="0.2">
      <c r="A320" s="1"/>
    </row>
    <row r="321" spans="1:1" x14ac:dyDescent="0.2">
      <c r="A321" s="1"/>
    </row>
    <row r="322" spans="1:1" x14ac:dyDescent="0.2">
      <c r="A322" s="1"/>
    </row>
    <row r="323" spans="1:1" x14ac:dyDescent="0.2">
      <c r="A323" s="1"/>
    </row>
    <row r="324" spans="1:1" x14ac:dyDescent="0.2">
      <c r="A324" s="1"/>
    </row>
    <row r="325" spans="1:1" x14ac:dyDescent="0.2">
      <c r="A325" s="1"/>
    </row>
    <row r="326" spans="1:1" x14ac:dyDescent="0.2">
      <c r="A326" s="1"/>
    </row>
    <row r="327" spans="1:1" x14ac:dyDescent="0.2">
      <c r="A327" s="1"/>
    </row>
    <row r="328" spans="1:1" x14ac:dyDescent="0.2">
      <c r="A328" s="1"/>
    </row>
    <row r="329" spans="1:1" x14ac:dyDescent="0.2">
      <c r="A329" s="1"/>
    </row>
    <row r="330" spans="1:1" x14ac:dyDescent="0.2">
      <c r="A330" s="1"/>
    </row>
    <row r="331" spans="1:1" x14ac:dyDescent="0.2">
      <c r="A331" s="1"/>
    </row>
    <row r="332" spans="1:1" x14ac:dyDescent="0.2">
      <c r="A332" s="1"/>
    </row>
    <row r="333" spans="1:1" x14ac:dyDescent="0.2">
      <c r="A333" s="1"/>
    </row>
    <row r="334" spans="1:1" x14ac:dyDescent="0.2">
      <c r="A334" s="1"/>
    </row>
    <row r="335" spans="1:1" x14ac:dyDescent="0.2">
      <c r="A335" s="1"/>
    </row>
    <row r="336" spans="1:1" x14ac:dyDescent="0.2">
      <c r="A336" s="1"/>
    </row>
    <row r="337" spans="1:1" x14ac:dyDescent="0.2">
      <c r="A337" s="1"/>
    </row>
    <row r="338" spans="1:1" x14ac:dyDescent="0.2">
      <c r="A338" s="1"/>
    </row>
    <row r="339" spans="1:1" x14ac:dyDescent="0.2">
      <c r="A339" s="1"/>
    </row>
    <row r="340" spans="1:1" x14ac:dyDescent="0.2">
      <c r="A340" s="1"/>
    </row>
    <row r="341" spans="1:1" x14ac:dyDescent="0.2">
      <c r="A341" s="1"/>
    </row>
    <row r="342" spans="1:1" x14ac:dyDescent="0.2">
      <c r="A342" s="1"/>
    </row>
    <row r="343" spans="1:1" x14ac:dyDescent="0.2">
      <c r="A343" s="1"/>
    </row>
    <row r="344" spans="1:1" x14ac:dyDescent="0.2">
      <c r="A344" s="1"/>
    </row>
    <row r="345" spans="1:1" x14ac:dyDescent="0.2">
      <c r="A345" s="1"/>
    </row>
    <row r="346" spans="1:1" x14ac:dyDescent="0.2">
      <c r="A346" s="1"/>
    </row>
    <row r="347" spans="1:1" x14ac:dyDescent="0.2">
      <c r="A347" s="1"/>
    </row>
    <row r="348" spans="1:1" x14ac:dyDescent="0.2">
      <c r="A348" s="1"/>
    </row>
    <row r="349" spans="1:1" x14ac:dyDescent="0.2">
      <c r="A349" s="1"/>
    </row>
    <row r="350" spans="1:1" x14ac:dyDescent="0.2">
      <c r="A350" s="1"/>
    </row>
    <row r="351" spans="1:1" x14ac:dyDescent="0.2">
      <c r="A351" s="1"/>
    </row>
    <row r="352" spans="1:1" x14ac:dyDescent="0.2">
      <c r="A352" s="1"/>
    </row>
    <row r="353" spans="1:1" x14ac:dyDescent="0.2">
      <c r="A353" s="1"/>
    </row>
    <row r="354" spans="1:1" x14ac:dyDescent="0.2">
      <c r="A354" s="1"/>
    </row>
    <row r="355" spans="1:1" x14ac:dyDescent="0.2">
      <c r="A355" s="1"/>
    </row>
    <row r="356" spans="1:1" x14ac:dyDescent="0.2">
      <c r="A356" s="1"/>
    </row>
    <row r="357" spans="1:1" x14ac:dyDescent="0.2">
      <c r="A357" s="1"/>
    </row>
    <row r="358" spans="1:1" x14ac:dyDescent="0.2">
      <c r="A358" s="1"/>
    </row>
    <row r="359" spans="1:1" x14ac:dyDescent="0.2">
      <c r="A359" s="1"/>
    </row>
    <row r="360" spans="1:1" x14ac:dyDescent="0.2">
      <c r="A360" s="1"/>
    </row>
    <row r="361" spans="1:1" x14ac:dyDescent="0.2">
      <c r="A361" s="1"/>
    </row>
    <row r="362" spans="1:1" x14ac:dyDescent="0.2">
      <c r="A362" s="1"/>
    </row>
    <row r="363" spans="1:1" x14ac:dyDescent="0.2">
      <c r="A363" s="1"/>
    </row>
    <row r="364" spans="1:1" x14ac:dyDescent="0.2">
      <c r="A364" s="1"/>
    </row>
    <row r="365" spans="1:1" x14ac:dyDescent="0.2">
      <c r="A365" s="1"/>
    </row>
    <row r="366" spans="1:1" x14ac:dyDescent="0.2">
      <c r="A366" s="1"/>
    </row>
    <row r="367" spans="1:1" x14ac:dyDescent="0.2">
      <c r="A367" s="1"/>
    </row>
    <row r="368" spans="1:1" x14ac:dyDescent="0.2">
      <c r="A368" s="1"/>
    </row>
    <row r="369" spans="1:1" x14ac:dyDescent="0.2">
      <c r="A369" s="1"/>
    </row>
    <row r="370" spans="1:1" x14ac:dyDescent="0.2">
      <c r="A370" s="1"/>
    </row>
    <row r="371" spans="1:1" x14ac:dyDescent="0.2">
      <c r="A371" s="1"/>
    </row>
    <row r="372" spans="1:1" x14ac:dyDescent="0.2">
      <c r="A372" s="1"/>
    </row>
    <row r="373" spans="1:1" x14ac:dyDescent="0.2">
      <c r="A373" s="1"/>
    </row>
    <row r="374" spans="1:1" x14ac:dyDescent="0.2">
      <c r="A374" s="1"/>
    </row>
    <row r="375" spans="1:1" x14ac:dyDescent="0.2">
      <c r="A375" s="1"/>
    </row>
    <row r="376" spans="1:1" x14ac:dyDescent="0.2">
      <c r="A376" s="1"/>
    </row>
    <row r="377" spans="1:1" x14ac:dyDescent="0.2">
      <c r="A377" s="1"/>
    </row>
    <row r="378" spans="1:1" x14ac:dyDescent="0.2">
      <c r="A378" s="1"/>
    </row>
    <row r="379" spans="1:1" x14ac:dyDescent="0.2">
      <c r="A379" s="1"/>
    </row>
    <row r="380" spans="1:1" x14ac:dyDescent="0.2">
      <c r="A380" s="1"/>
    </row>
    <row r="381" spans="1:1" x14ac:dyDescent="0.2">
      <c r="A381" s="1"/>
    </row>
    <row r="382" spans="1:1" x14ac:dyDescent="0.2">
      <c r="A382" s="1"/>
    </row>
    <row r="383" spans="1:1" x14ac:dyDescent="0.2">
      <c r="A383" s="1"/>
    </row>
    <row r="384" spans="1:1" x14ac:dyDescent="0.2">
      <c r="A384" s="1"/>
    </row>
    <row r="385" spans="1:1" x14ac:dyDescent="0.2">
      <c r="A385" s="1"/>
    </row>
    <row r="386" spans="1:1" x14ac:dyDescent="0.2">
      <c r="A386" s="1"/>
    </row>
    <row r="387" spans="1:1" x14ac:dyDescent="0.2">
      <c r="A387" s="1"/>
    </row>
    <row r="388" spans="1:1" x14ac:dyDescent="0.2">
      <c r="A388" s="1"/>
    </row>
    <row r="389" spans="1:1" x14ac:dyDescent="0.2">
      <c r="A389" s="1"/>
    </row>
    <row r="390" spans="1:1" x14ac:dyDescent="0.2">
      <c r="A390" s="1"/>
    </row>
    <row r="391" spans="1:1" x14ac:dyDescent="0.2">
      <c r="A391" s="1"/>
    </row>
    <row r="392" spans="1:1" x14ac:dyDescent="0.2">
      <c r="A392" s="1"/>
    </row>
    <row r="393" spans="1:1" x14ac:dyDescent="0.2">
      <c r="A393" s="1"/>
    </row>
    <row r="394" spans="1:1" x14ac:dyDescent="0.2">
      <c r="A394" s="1"/>
    </row>
    <row r="395" spans="1:1" x14ac:dyDescent="0.2">
      <c r="A395" s="1"/>
    </row>
    <row r="396" spans="1:1" x14ac:dyDescent="0.2">
      <c r="A396" s="1"/>
    </row>
    <row r="397" spans="1:1" x14ac:dyDescent="0.2">
      <c r="A397" s="1"/>
    </row>
    <row r="398" spans="1:1" x14ac:dyDescent="0.2">
      <c r="A398" s="1"/>
    </row>
    <row r="399" spans="1:1" x14ac:dyDescent="0.2">
      <c r="A399" s="1"/>
    </row>
    <row r="400" spans="1:1" x14ac:dyDescent="0.2">
      <c r="A400" s="1"/>
    </row>
    <row r="401" spans="1:1" x14ac:dyDescent="0.2">
      <c r="A401" s="1"/>
    </row>
    <row r="402" spans="1:1" x14ac:dyDescent="0.2">
      <c r="A402" s="1"/>
    </row>
    <row r="403" spans="1:1" x14ac:dyDescent="0.2">
      <c r="A403" s="1"/>
    </row>
    <row r="404" spans="1:1" x14ac:dyDescent="0.2">
      <c r="A404" s="1"/>
    </row>
    <row r="405" spans="1:1" x14ac:dyDescent="0.2">
      <c r="A405" s="1"/>
    </row>
    <row r="406" spans="1:1" x14ac:dyDescent="0.2">
      <c r="A406" s="1"/>
    </row>
    <row r="407" spans="1:1" x14ac:dyDescent="0.2">
      <c r="A407" s="1"/>
    </row>
    <row r="408" spans="1:1" x14ac:dyDescent="0.2">
      <c r="A408" s="1"/>
    </row>
    <row r="409" spans="1:1" x14ac:dyDescent="0.2">
      <c r="A409" s="1"/>
    </row>
    <row r="410" spans="1:1" x14ac:dyDescent="0.2">
      <c r="A410" s="1"/>
    </row>
    <row r="411" spans="1:1" x14ac:dyDescent="0.2">
      <c r="A411" s="1"/>
    </row>
    <row r="412" spans="1:1" x14ac:dyDescent="0.2">
      <c r="A412" s="1"/>
    </row>
    <row r="413" spans="1:1" x14ac:dyDescent="0.2">
      <c r="A413" s="1"/>
    </row>
    <row r="414" spans="1:1" x14ac:dyDescent="0.2">
      <c r="A414" s="1"/>
    </row>
    <row r="415" spans="1:1" x14ac:dyDescent="0.2">
      <c r="A415" s="1"/>
    </row>
    <row r="416" spans="1:1" x14ac:dyDescent="0.2">
      <c r="A416" s="1"/>
    </row>
    <row r="417" spans="1:1" x14ac:dyDescent="0.2">
      <c r="A417" s="1"/>
    </row>
    <row r="418" spans="1:1" x14ac:dyDescent="0.2">
      <c r="A418" s="1"/>
    </row>
    <row r="419" spans="1:1" x14ac:dyDescent="0.2">
      <c r="A419" s="1"/>
    </row>
    <row r="420" spans="1:1" x14ac:dyDescent="0.2">
      <c r="A420" s="1"/>
    </row>
    <row r="421" spans="1:1" x14ac:dyDescent="0.2">
      <c r="A421" s="1"/>
    </row>
    <row r="422" spans="1:1" x14ac:dyDescent="0.2">
      <c r="A422" s="1"/>
    </row>
    <row r="423" spans="1:1" x14ac:dyDescent="0.2">
      <c r="A423" s="1"/>
    </row>
    <row r="424" spans="1:1" x14ac:dyDescent="0.2">
      <c r="A424" s="1"/>
    </row>
  </sheetData>
  <mergeCells count="77">
    <mergeCell ref="B21:C21"/>
    <mergeCell ref="D21:E21"/>
    <mergeCell ref="R9:S9"/>
    <mergeCell ref="W9:X9"/>
    <mergeCell ref="F9:G9"/>
    <mergeCell ref="H9:I9"/>
    <mergeCell ref="J9:K9"/>
    <mergeCell ref="L9:M9"/>
    <mergeCell ref="N9:O9"/>
    <mergeCell ref="P9:Q9"/>
    <mergeCell ref="B9:C9"/>
    <mergeCell ref="D9:E9"/>
    <mergeCell ref="F21:G21"/>
    <mergeCell ref="H21:I21"/>
    <mergeCell ref="J21:K21"/>
    <mergeCell ref="L21:M21"/>
    <mergeCell ref="N21:O21"/>
    <mergeCell ref="P25:Q25"/>
    <mergeCell ref="R25:S25"/>
    <mergeCell ref="W25:X25"/>
    <mergeCell ref="R21:S21"/>
    <mergeCell ref="W21:X21"/>
    <mergeCell ref="P21:Q21"/>
    <mergeCell ref="J25:K25"/>
    <mergeCell ref="L25:M25"/>
    <mergeCell ref="N25:O25"/>
    <mergeCell ref="B25:C25"/>
    <mergeCell ref="D25:E25"/>
    <mergeCell ref="F25:G25"/>
    <mergeCell ref="H25:I25"/>
    <mergeCell ref="B34:C34"/>
    <mergeCell ref="D34:E34"/>
    <mergeCell ref="F34:G34"/>
    <mergeCell ref="H34:I34"/>
    <mergeCell ref="P34:Q34"/>
    <mergeCell ref="J34:K34"/>
    <mergeCell ref="L34:M34"/>
    <mergeCell ref="N34:O34"/>
    <mergeCell ref="R27:S27"/>
    <mergeCell ref="W27:X27"/>
    <mergeCell ref="P27:Q27"/>
    <mergeCell ref="B27:C27"/>
    <mergeCell ref="D27:E27"/>
    <mergeCell ref="F27:G27"/>
    <mergeCell ref="H27:I27"/>
    <mergeCell ref="J27:K27"/>
    <mergeCell ref="L27:M27"/>
    <mergeCell ref="N27:O27"/>
    <mergeCell ref="R34:S34"/>
    <mergeCell ref="W37:X37"/>
    <mergeCell ref="P37:Q37"/>
    <mergeCell ref="R37:S37"/>
    <mergeCell ref="J37:K37"/>
    <mergeCell ref="L37:M37"/>
    <mergeCell ref="N37:O37"/>
    <mergeCell ref="W34:X34"/>
    <mergeCell ref="T37:U37"/>
    <mergeCell ref="P43:Q43"/>
    <mergeCell ref="R43:S43"/>
    <mergeCell ref="W43:X43"/>
    <mergeCell ref="B43:C43"/>
    <mergeCell ref="D43:E43"/>
    <mergeCell ref="F43:G43"/>
    <mergeCell ref="H43:I43"/>
    <mergeCell ref="J43:K43"/>
    <mergeCell ref="T43:U43"/>
    <mergeCell ref="B37:C37"/>
    <mergeCell ref="D37:E37"/>
    <mergeCell ref="F37:G37"/>
    <mergeCell ref="L43:M43"/>
    <mergeCell ref="N43:O43"/>
    <mergeCell ref="H37:I37"/>
    <mergeCell ref="T9:U9"/>
    <mergeCell ref="T21:U21"/>
    <mergeCell ref="T25:U25"/>
    <mergeCell ref="T27:U27"/>
    <mergeCell ref="T34:U34"/>
  </mergeCells>
  <printOptions horizontalCentered="1"/>
  <pageMargins left="0.75" right="0.75" top="0.5" bottom="0.5" header="0.25" footer="0.25"/>
  <pageSetup scale="70" orientation="landscape" r:id="rId1"/>
  <headerFooter alignWithMargins="0">
    <oddFooter>&amp;LPrepared by Planning and Analysis&amp;C&amp;P of &amp;N&amp;RUpdated &amp;D</oddFooter>
  </headerFooter>
  <rowBreaks count="1" manualBreakCount="1">
    <brk id="41" max="21" man="1"/>
  </rowBreaks>
  <colBreaks count="1" manualBreakCount="1">
    <brk id="21" min="8" max="77" man="1"/>
  </colBreaks>
  <ignoredErrors>
    <ignoredError sqref="A59:J78 D58" 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AA423"/>
  <sheetViews>
    <sheetView view="pageBreakPreview" zoomScaleNormal="85" zoomScaleSheetLayoutView="100" workbookViewId="0">
      <pane xSplit="1" ySplit="1" topLeftCell="T5" activePane="bottomRight" state="frozen"/>
      <selection activeCell="T36" sqref="T36:U36"/>
      <selection pane="topRight" activeCell="T36" sqref="T36:U36"/>
      <selection pane="bottomLeft" activeCell="T36" sqref="T36:U36"/>
      <selection pane="bottomRight" activeCell="T36" sqref="T36:U36"/>
    </sheetView>
  </sheetViews>
  <sheetFormatPr defaultColWidth="10.28515625" defaultRowHeight="12.75" x14ac:dyDescent="0.2"/>
  <cols>
    <col min="1" max="1" width="33.5703125" customWidth="1"/>
    <col min="2" max="2" width="6.7109375" hidden="1" customWidth="1"/>
    <col min="3" max="3" width="10.7109375" hidden="1" customWidth="1"/>
    <col min="4" max="4" width="6.7109375" hidden="1" customWidth="1"/>
    <col min="5" max="5" width="10.7109375" hidden="1" customWidth="1"/>
    <col min="6" max="6" width="6.7109375" customWidth="1"/>
    <col min="7" max="7" width="10.7109375" customWidth="1"/>
    <col min="8" max="8" width="6.7109375" customWidth="1"/>
    <col min="9" max="9" width="10.7109375" customWidth="1"/>
    <col min="10" max="10" width="6.7109375" customWidth="1"/>
    <col min="11" max="11" width="10.7109375" customWidth="1"/>
    <col min="12" max="12" width="6.7109375" customWidth="1"/>
    <col min="13" max="13" width="10.7109375" customWidth="1"/>
    <col min="14" max="14" width="6.7109375" customWidth="1"/>
    <col min="15" max="15" width="10.7109375" customWidth="1"/>
    <col min="16" max="16" width="6.7109375" customWidth="1"/>
    <col min="17" max="17" width="10.7109375" customWidth="1"/>
    <col min="18" max="18" width="6.7109375" customWidth="1"/>
    <col min="19" max="19" width="10.7109375" customWidth="1"/>
    <col min="20" max="20" width="6.7109375" customWidth="1"/>
    <col min="21" max="21" width="10.7109375" customWidth="1"/>
    <col min="22" max="22" width="3.28515625" customWidth="1"/>
    <col min="23" max="23" width="6.7109375" customWidth="1"/>
    <col min="24" max="24" width="10.7109375" customWidth="1"/>
    <col min="25" max="25" width="1.5703125" customWidth="1"/>
  </cols>
  <sheetData>
    <row r="1" spans="1:24" ht="15.75" x14ac:dyDescent="0.25">
      <c r="A1" s="667" t="s">
        <v>240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</row>
    <row r="2" spans="1:24" ht="15.75" x14ac:dyDescent="0.25">
      <c r="A2" s="667" t="s">
        <v>241</v>
      </c>
    </row>
    <row r="3" spans="1:24" ht="15.75" x14ac:dyDescent="0.25">
      <c r="A3" s="667"/>
    </row>
    <row r="4" spans="1:24" ht="15.75" x14ac:dyDescent="0.25">
      <c r="A4" s="668" t="s">
        <v>261</v>
      </c>
    </row>
    <row r="5" spans="1:24" ht="15.75" x14ac:dyDescent="0.25">
      <c r="A5" s="668"/>
    </row>
    <row r="6" spans="1:24" x14ac:dyDescent="0.2">
      <c r="A6" s="669" t="s">
        <v>134</v>
      </c>
      <c r="T6" s="65" t="s">
        <v>19</v>
      </c>
    </row>
    <row r="7" spans="1:24" x14ac:dyDescent="0.2">
      <c r="A7" s="720">
        <v>3670020240</v>
      </c>
    </row>
    <row r="8" spans="1:24" ht="13.5" thickBot="1" x14ac:dyDescent="0.25">
      <c r="A8" s="1"/>
    </row>
    <row r="9" spans="1:24" ht="15" customHeight="1" thickTop="1" x14ac:dyDescent="0.2">
      <c r="A9" s="4"/>
      <c r="B9" s="1401" t="s">
        <v>0</v>
      </c>
      <c r="C9" s="1398"/>
      <c r="D9" s="1401" t="s">
        <v>1</v>
      </c>
      <c r="E9" s="1398"/>
      <c r="F9" s="1401" t="s">
        <v>2</v>
      </c>
      <c r="G9" s="1398"/>
      <c r="H9" s="1401" t="s">
        <v>3</v>
      </c>
      <c r="I9" s="1398"/>
      <c r="J9" s="1401" t="s">
        <v>4</v>
      </c>
      <c r="K9" s="1398"/>
      <c r="L9" s="1401" t="s">
        <v>5</v>
      </c>
      <c r="M9" s="1398"/>
      <c r="N9" s="1401" t="s">
        <v>6</v>
      </c>
      <c r="O9" s="1398"/>
      <c r="P9" s="1401" t="s">
        <v>7</v>
      </c>
      <c r="Q9" s="1398"/>
      <c r="R9" s="1401" t="s">
        <v>8</v>
      </c>
      <c r="S9" s="1398"/>
      <c r="T9" s="1401" t="s">
        <v>301</v>
      </c>
      <c r="U9" s="1402"/>
      <c r="W9" s="1407" t="s">
        <v>9</v>
      </c>
      <c r="X9" s="1408"/>
    </row>
    <row r="10" spans="1:24" ht="15" customHeight="1" x14ac:dyDescent="0.2">
      <c r="A10" s="5"/>
      <c r="B10" s="68" t="s">
        <v>287</v>
      </c>
      <c r="C10" s="8" t="s">
        <v>10</v>
      </c>
      <c r="D10" s="68" t="s">
        <v>287</v>
      </c>
      <c r="E10" s="8" t="s">
        <v>10</v>
      </c>
      <c r="F10" s="68" t="s">
        <v>287</v>
      </c>
      <c r="G10" s="8" t="s">
        <v>10</v>
      </c>
      <c r="H10" s="68" t="s">
        <v>287</v>
      </c>
      <c r="I10" s="8" t="s">
        <v>10</v>
      </c>
      <c r="J10" s="68" t="s">
        <v>287</v>
      </c>
      <c r="K10" s="8" t="s">
        <v>10</v>
      </c>
      <c r="L10" s="68" t="s">
        <v>287</v>
      </c>
      <c r="M10" s="8" t="s">
        <v>10</v>
      </c>
      <c r="N10" s="68" t="s">
        <v>287</v>
      </c>
      <c r="O10" s="8" t="s">
        <v>10</v>
      </c>
      <c r="P10" s="68" t="s">
        <v>287</v>
      </c>
      <c r="Q10" s="8" t="s">
        <v>10</v>
      </c>
      <c r="R10" s="68" t="s">
        <v>287</v>
      </c>
      <c r="S10" s="8" t="s">
        <v>10</v>
      </c>
      <c r="T10" s="68" t="s">
        <v>287</v>
      </c>
      <c r="U10" s="97" t="s">
        <v>10</v>
      </c>
      <c r="W10" s="6" t="s">
        <v>287</v>
      </c>
      <c r="X10" s="7" t="s">
        <v>11</v>
      </c>
    </row>
    <row r="11" spans="1:24" ht="15" customHeight="1" thickBot="1" x14ac:dyDescent="0.25">
      <c r="A11" s="70" t="s">
        <v>77</v>
      </c>
      <c r="B11" s="69" t="s">
        <v>12</v>
      </c>
      <c r="C11" s="922" t="s">
        <v>13</v>
      </c>
      <c r="D11" s="69" t="s">
        <v>12</v>
      </c>
      <c r="E11" s="922" t="s">
        <v>13</v>
      </c>
      <c r="F11" s="69" t="s">
        <v>12</v>
      </c>
      <c r="G11" s="922" t="s">
        <v>13</v>
      </c>
      <c r="H11" s="69" t="s">
        <v>12</v>
      </c>
      <c r="I11" s="922" t="s">
        <v>13</v>
      </c>
      <c r="J11" s="69" t="s">
        <v>12</v>
      </c>
      <c r="K11" s="922" t="s">
        <v>13</v>
      </c>
      <c r="L11" s="69" t="s">
        <v>12</v>
      </c>
      <c r="M11" s="922" t="s">
        <v>13</v>
      </c>
      <c r="N11" s="69" t="s">
        <v>12</v>
      </c>
      <c r="O11" s="922" t="s">
        <v>13</v>
      </c>
      <c r="P11" s="69" t="s">
        <v>12</v>
      </c>
      <c r="Q11" s="922" t="s">
        <v>13</v>
      </c>
      <c r="R11" s="69" t="s">
        <v>12</v>
      </c>
      <c r="S11" s="922" t="s">
        <v>13</v>
      </c>
      <c r="T11" s="69" t="s">
        <v>12</v>
      </c>
      <c r="U11" s="10" t="s">
        <v>13</v>
      </c>
      <c r="W11" s="9" t="s">
        <v>12</v>
      </c>
      <c r="X11" s="10" t="s">
        <v>13</v>
      </c>
    </row>
    <row r="12" spans="1:24" ht="15" customHeight="1" x14ac:dyDescent="0.2">
      <c r="A12" s="269" t="s">
        <v>133</v>
      </c>
      <c r="B12" s="258"/>
      <c r="C12" s="259"/>
      <c r="D12" s="11"/>
      <c r="E12" s="12"/>
      <c r="F12" s="13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5"/>
      <c r="W12" s="16"/>
      <c r="X12" s="17"/>
    </row>
    <row r="13" spans="1:24" s="23" customFormat="1" ht="15" customHeight="1" x14ac:dyDescent="0.2">
      <c r="A13" s="18" t="s">
        <v>15</v>
      </c>
      <c r="B13" s="20">
        <v>195</v>
      </c>
      <c r="C13" s="262"/>
      <c r="D13" s="22">
        <v>183</v>
      </c>
      <c r="E13" s="264"/>
      <c r="F13" s="20">
        <v>199</v>
      </c>
      <c r="G13" s="264"/>
      <c r="H13" s="153">
        <v>254</v>
      </c>
      <c r="I13" s="264"/>
      <c r="J13" s="20">
        <v>249</v>
      </c>
      <c r="K13" s="264"/>
      <c r="L13" s="20">
        <v>233</v>
      </c>
      <c r="M13" s="264"/>
      <c r="N13" s="20">
        <v>245</v>
      </c>
      <c r="O13" s="264"/>
      <c r="P13" s="20">
        <v>267</v>
      </c>
      <c r="Q13" s="264"/>
      <c r="R13" s="20">
        <f>107+117+8</f>
        <v>232</v>
      </c>
      <c r="S13" s="264"/>
      <c r="T13" s="20">
        <f>44+169+5</f>
        <v>218</v>
      </c>
      <c r="U13" s="266"/>
      <c r="W13" s="16">
        <f t="shared" ref="W13:W18" si="0">AVERAGE(N13,L13,R13,T13,P13)</f>
        <v>239</v>
      </c>
      <c r="X13" s="24"/>
    </row>
    <row r="14" spans="1:24" s="23" customFormat="1" ht="15" customHeight="1" thickBot="1" x14ac:dyDescent="0.25">
      <c r="A14" s="27" t="s">
        <v>16</v>
      </c>
      <c r="B14" s="29">
        <v>257</v>
      </c>
      <c r="C14" s="263"/>
      <c r="D14" s="86">
        <v>219</v>
      </c>
      <c r="E14" s="265"/>
      <c r="F14" s="29">
        <v>206</v>
      </c>
      <c r="G14" s="265"/>
      <c r="H14" s="29">
        <v>215</v>
      </c>
      <c r="I14" s="265"/>
      <c r="J14" s="29">
        <v>273</v>
      </c>
      <c r="K14" s="265"/>
      <c r="L14" s="29">
        <v>287</v>
      </c>
      <c r="M14" s="265"/>
      <c r="N14" s="29">
        <v>280</v>
      </c>
      <c r="O14" s="265"/>
      <c r="P14" s="29">
        <v>239</v>
      </c>
      <c r="Q14" s="265"/>
      <c r="R14" s="29">
        <f>131+123</f>
        <v>254</v>
      </c>
      <c r="S14" s="265"/>
      <c r="T14" s="29">
        <f>202+39</f>
        <v>241</v>
      </c>
      <c r="U14" s="267"/>
      <c r="W14" s="16">
        <f t="shared" si="0"/>
        <v>260.2</v>
      </c>
      <c r="X14" s="174"/>
    </row>
    <row r="15" spans="1:24" s="73" customFormat="1" ht="15" customHeight="1" thickBot="1" x14ac:dyDescent="0.25">
      <c r="A15" s="98" t="s">
        <v>17</v>
      </c>
      <c r="B15" s="89">
        <f t="shared" ref="B15:R15" si="1">SUM(B13:B14)</f>
        <v>452</v>
      </c>
      <c r="C15" s="100">
        <v>86</v>
      </c>
      <c r="D15" s="89">
        <f t="shared" si="1"/>
        <v>402</v>
      </c>
      <c r="E15" s="100">
        <v>75</v>
      </c>
      <c r="F15" s="89">
        <f t="shared" si="1"/>
        <v>405</v>
      </c>
      <c r="G15" s="100">
        <v>70</v>
      </c>
      <c r="H15" s="89">
        <f t="shared" si="1"/>
        <v>469</v>
      </c>
      <c r="I15" s="100">
        <v>65</v>
      </c>
      <c r="J15" s="89">
        <f t="shared" si="1"/>
        <v>522</v>
      </c>
      <c r="K15" s="100">
        <v>81</v>
      </c>
      <c r="L15" s="89">
        <f t="shared" si="1"/>
        <v>520</v>
      </c>
      <c r="M15" s="100">
        <v>98</v>
      </c>
      <c r="N15" s="640">
        <f t="shared" si="1"/>
        <v>525</v>
      </c>
      <c r="O15" s="100">
        <v>110</v>
      </c>
      <c r="P15" s="89">
        <f t="shared" si="1"/>
        <v>506</v>
      </c>
      <c r="Q15" s="100">
        <v>93</v>
      </c>
      <c r="R15" s="89">
        <f t="shared" si="1"/>
        <v>486</v>
      </c>
      <c r="S15" s="100">
        <v>89</v>
      </c>
      <c r="T15" s="89">
        <v>459</v>
      </c>
      <c r="U15" s="1275">
        <f t="shared" ref="U15" si="2">SUM(U13:U14)</f>
        <v>0</v>
      </c>
      <c r="W15" s="482">
        <f t="shared" si="0"/>
        <v>499.2</v>
      </c>
      <c r="X15" s="483">
        <f>AVERAGE(O15,M15,S15,K15,Q15)</f>
        <v>94.2</v>
      </c>
    </row>
    <row r="16" spans="1:24" s="23" customFormat="1" ht="15" customHeight="1" x14ac:dyDescent="0.2">
      <c r="A16" s="28" t="s">
        <v>20</v>
      </c>
      <c r="B16" s="22">
        <v>53</v>
      </c>
      <c r="C16" s="21">
        <f>22+2</f>
        <v>24</v>
      </c>
      <c r="D16" s="22">
        <v>46</v>
      </c>
      <c r="E16" s="19">
        <v>12</v>
      </c>
      <c r="F16" s="20">
        <v>43</v>
      </c>
      <c r="G16" s="19">
        <v>24</v>
      </c>
      <c r="H16" s="20">
        <v>35</v>
      </c>
      <c r="I16" s="19">
        <v>15</v>
      </c>
      <c r="J16" s="20">
        <v>34</v>
      </c>
      <c r="K16" s="19">
        <v>12</v>
      </c>
      <c r="L16" s="20">
        <v>38</v>
      </c>
      <c r="M16" s="19">
        <v>9</v>
      </c>
      <c r="N16" s="20">
        <v>40</v>
      </c>
      <c r="O16" s="19">
        <v>12</v>
      </c>
      <c r="P16" s="20">
        <v>53</v>
      </c>
      <c r="Q16" s="19">
        <v>17</v>
      </c>
      <c r="R16" s="20">
        <v>45</v>
      </c>
      <c r="S16" s="19">
        <v>20</v>
      </c>
      <c r="T16" s="20">
        <v>43</v>
      </c>
      <c r="U16" s="152"/>
      <c r="W16" s="16">
        <f t="shared" si="0"/>
        <v>43.8</v>
      </c>
      <c r="X16" s="470">
        <f t="shared" ref="X16:X18" si="3">AVERAGE(O16,M16,S16,K16,Q16)</f>
        <v>14</v>
      </c>
    </row>
    <row r="17" spans="1:24" s="23" customFormat="1" ht="15" customHeight="1" x14ac:dyDescent="0.2">
      <c r="A17" s="28" t="s">
        <v>90</v>
      </c>
      <c r="B17" s="86">
        <v>38</v>
      </c>
      <c r="C17" s="26">
        <v>8</v>
      </c>
      <c r="D17" s="86">
        <v>37</v>
      </c>
      <c r="E17" s="25">
        <v>6</v>
      </c>
      <c r="F17" s="29">
        <v>37</v>
      </c>
      <c r="G17" s="25">
        <v>3</v>
      </c>
      <c r="H17" s="29">
        <v>44</v>
      </c>
      <c r="I17" s="25">
        <v>5</v>
      </c>
      <c r="J17" s="29">
        <v>40</v>
      </c>
      <c r="K17" s="25">
        <v>4</v>
      </c>
      <c r="L17" s="29">
        <v>44</v>
      </c>
      <c r="M17" s="25">
        <v>7</v>
      </c>
      <c r="N17" s="29">
        <v>38</v>
      </c>
      <c r="O17" s="25">
        <v>3</v>
      </c>
      <c r="P17" s="29">
        <v>43</v>
      </c>
      <c r="Q17" s="25">
        <v>8</v>
      </c>
      <c r="R17" s="29">
        <v>42</v>
      </c>
      <c r="S17" s="25">
        <v>8</v>
      </c>
      <c r="T17" s="29">
        <v>38</v>
      </c>
      <c r="U17" s="152"/>
      <c r="W17" s="16">
        <f t="shared" si="0"/>
        <v>41</v>
      </c>
      <c r="X17" s="470">
        <f t="shared" si="3"/>
        <v>6</v>
      </c>
    </row>
    <row r="18" spans="1:24" s="23" customFormat="1" ht="15" customHeight="1" thickBot="1" x14ac:dyDescent="0.25">
      <c r="A18" s="30" t="s">
        <v>21</v>
      </c>
      <c r="B18" s="31">
        <v>1</v>
      </c>
      <c r="C18" s="34">
        <v>0</v>
      </c>
      <c r="D18" s="31">
        <v>0</v>
      </c>
      <c r="E18" s="32">
        <v>1</v>
      </c>
      <c r="F18" s="33">
        <v>1</v>
      </c>
      <c r="G18" s="32">
        <v>0</v>
      </c>
      <c r="H18" s="33">
        <v>1</v>
      </c>
      <c r="I18" s="32">
        <v>0</v>
      </c>
      <c r="J18" s="33">
        <v>1</v>
      </c>
      <c r="K18" s="32">
        <v>1</v>
      </c>
      <c r="L18" s="33">
        <v>2</v>
      </c>
      <c r="M18" s="32">
        <v>2</v>
      </c>
      <c r="N18" s="442"/>
      <c r="O18" s="443"/>
      <c r="P18" s="442"/>
      <c r="Q18" s="443"/>
      <c r="R18" s="442"/>
      <c r="S18" s="443"/>
      <c r="T18" s="442"/>
      <c r="U18" s="639"/>
      <c r="W18" s="16">
        <f t="shared" si="0"/>
        <v>2</v>
      </c>
      <c r="X18" s="470">
        <f t="shared" si="3"/>
        <v>1.5</v>
      </c>
    </row>
    <row r="19" spans="1:24" ht="18" customHeight="1" thickTop="1" thickBot="1" x14ac:dyDescent="0.25">
      <c r="A19" s="298" t="s">
        <v>71</v>
      </c>
      <c r="B19" s="1380"/>
      <c r="C19" s="1381"/>
      <c r="D19" s="1380"/>
      <c r="E19" s="1381"/>
      <c r="F19" s="1380"/>
      <c r="G19" s="1381"/>
      <c r="H19" s="1380"/>
      <c r="I19" s="1381"/>
      <c r="J19" s="1380"/>
      <c r="K19" s="1381"/>
      <c r="L19" s="1380"/>
      <c r="M19" s="1381"/>
      <c r="N19" s="1380"/>
      <c r="O19" s="1381"/>
      <c r="P19" s="1380"/>
      <c r="Q19" s="1381"/>
      <c r="R19" s="1380"/>
      <c r="S19" s="1381"/>
      <c r="T19" s="1380"/>
      <c r="U19" s="1383"/>
      <c r="V19" s="226"/>
      <c r="W19" s="1382"/>
      <c r="X19" s="1383"/>
    </row>
    <row r="20" spans="1:24" ht="15" customHeight="1" x14ac:dyDescent="0.2">
      <c r="A20" s="299" t="s">
        <v>79</v>
      </c>
      <c r="B20" s="300"/>
      <c r="C20" s="385"/>
      <c r="D20" s="384"/>
      <c r="E20" s="385"/>
      <c r="F20" s="384"/>
      <c r="G20" s="385"/>
      <c r="H20" s="384"/>
      <c r="I20" s="385"/>
      <c r="J20" s="384"/>
      <c r="K20" s="385"/>
      <c r="L20" s="384"/>
      <c r="M20" s="385"/>
      <c r="N20" s="384"/>
      <c r="O20" s="385"/>
      <c r="P20" s="384"/>
      <c r="Q20" s="385"/>
      <c r="R20" s="384"/>
      <c r="S20" s="385"/>
      <c r="T20" s="384"/>
      <c r="U20" s="386"/>
      <c r="V20" s="226"/>
      <c r="W20" s="851"/>
      <c r="X20" s="852" t="e">
        <f>AVERAGE(O20,M20,I20,K20,Q20)</f>
        <v>#DIV/0!</v>
      </c>
    </row>
    <row r="21" spans="1:24" ht="15" customHeight="1" x14ac:dyDescent="0.2">
      <c r="A21" s="305" t="s">
        <v>72</v>
      </c>
      <c r="B21" s="304"/>
      <c r="C21" s="388">
        <v>0.47</v>
      </c>
      <c r="D21" s="387"/>
      <c r="E21" s="388">
        <v>0.52</v>
      </c>
      <c r="F21" s="387"/>
      <c r="G21" s="388">
        <v>0.43</v>
      </c>
      <c r="H21" s="387"/>
      <c r="I21" s="388">
        <v>0.57999999999999996</v>
      </c>
      <c r="J21" s="387"/>
      <c r="K21" s="388">
        <v>0.46</v>
      </c>
      <c r="L21" s="387"/>
      <c r="M21" s="388">
        <v>0.5</v>
      </c>
      <c r="N21" s="387"/>
      <c r="O21" s="388">
        <v>0.48</v>
      </c>
      <c r="P21" s="387"/>
      <c r="Q21" s="388">
        <v>0.49</v>
      </c>
      <c r="R21" s="387"/>
      <c r="S21" s="388"/>
      <c r="T21" s="387"/>
      <c r="U21" s="1271"/>
      <c r="V21" s="226"/>
      <c r="W21" s="853"/>
      <c r="X21" s="1255">
        <f t="shared" ref="X21:X22" si="4">AVERAGE(O21,M21,S21,K21,Q21)</f>
        <v>0.48249999999999998</v>
      </c>
    </row>
    <row r="22" spans="1:24" ht="15" customHeight="1" x14ac:dyDescent="0.2">
      <c r="A22" s="305" t="s">
        <v>73</v>
      </c>
      <c r="B22" s="306"/>
      <c r="C22" s="390">
        <v>0.31</v>
      </c>
      <c r="D22" s="389"/>
      <c r="E22" s="390">
        <v>0.44</v>
      </c>
      <c r="F22" s="389"/>
      <c r="G22" s="390">
        <v>0.37</v>
      </c>
      <c r="H22" s="389"/>
      <c r="I22" s="390">
        <v>0.27</v>
      </c>
      <c r="J22" s="389"/>
      <c r="K22" s="390">
        <v>0.47</v>
      </c>
      <c r="L22" s="389"/>
      <c r="M22" s="390">
        <v>0.4</v>
      </c>
      <c r="N22" s="389"/>
      <c r="O22" s="390">
        <v>0.46</v>
      </c>
      <c r="P22" s="389"/>
      <c r="Q22" s="390">
        <v>0.43</v>
      </c>
      <c r="R22" s="389"/>
      <c r="S22" s="390"/>
      <c r="T22" s="389"/>
      <c r="U22" s="1276"/>
      <c r="V22" s="226"/>
      <c r="W22" s="853"/>
      <c r="X22" s="1255">
        <f t="shared" si="4"/>
        <v>0.44</v>
      </c>
    </row>
    <row r="23" spans="1:24" ht="15" customHeight="1" thickBot="1" x14ac:dyDescent="0.25">
      <c r="A23" s="307" t="s">
        <v>75</v>
      </c>
      <c r="B23" s="308"/>
      <c r="C23" s="309"/>
      <c r="D23" s="308"/>
      <c r="E23" s="309"/>
      <c r="F23" s="308"/>
      <c r="G23" s="309"/>
      <c r="H23" s="308"/>
      <c r="I23" s="309"/>
      <c r="J23" s="308"/>
      <c r="K23" s="309"/>
      <c r="L23" s="308"/>
      <c r="M23" s="309"/>
      <c r="N23" s="308"/>
      <c r="O23" s="309"/>
      <c r="P23" s="308"/>
      <c r="Q23" s="309"/>
      <c r="R23" s="308"/>
      <c r="S23" s="309"/>
      <c r="T23" s="308"/>
      <c r="U23" s="310"/>
      <c r="V23" s="226"/>
      <c r="W23" s="854"/>
      <c r="X23" s="543" t="e">
        <f>AVERAGE(O23,M23,S23,U23,Q23)</f>
        <v>#DIV/0!</v>
      </c>
    </row>
    <row r="24" spans="1:24" ht="18" customHeight="1" thickTop="1" thickBot="1" x14ac:dyDescent="0.25">
      <c r="A24" s="221" t="s">
        <v>78</v>
      </c>
      <c r="B24" s="1380"/>
      <c r="C24" s="1381"/>
      <c r="D24" s="1380"/>
      <c r="E24" s="1381"/>
      <c r="F24" s="1380"/>
      <c r="G24" s="1381"/>
      <c r="H24" s="1380"/>
      <c r="I24" s="1381"/>
      <c r="J24" s="1380"/>
      <c r="K24" s="1381"/>
      <c r="L24" s="1380"/>
      <c r="M24" s="1381"/>
      <c r="N24" s="1380"/>
      <c r="O24" s="1381"/>
      <c r="P24" s="1380"/>
      <c r="Q24" s="1381"/>
      <c r="R24" s="1380"/>
      <c r="S24" s="1381"/>
      <c r="T24" s="1380"/>
      <c r="U24" s="1383"/>
      <c r="V24" s="226"/>
      <c r="W24" s="1382"/>
      <c r="X24" s="1383"/>
    </row>
    <row r="25" spans="1:24" ht="15" customHeight="1" thickBot="1" x14ac:dyDescent="0.25">
      <c r="A25" s="222" t="s">
        <v>236</v>
      </c>
      <c r="B25" s="223"/>
      <c r="C25" s="224">
        <v>23.8</v>
      </c>
      <c r="D25" s="223"/>
      <c r="E25" s="224">
        <v>24.6</v>
      </c>
      <c r="F25" s="223"/>
      <c r="G25" s="224">
        <v>24.6</v>
      </c>
      <c r="H25" s="223"/>
      <c r="I25" s="224">
        <v>24.3</v>
      </c>
      <c r="J25" s="223"/>
      <c r="K25" s="224">
        <v>24.6</v>
      </c>
      <c r="L25" s="223"/>
      <c r="M25" s="224">
        <v>24.8</v>
      </c>
      <c r="N25" s="223"/>
      <c r="O25" s="224">
        <v>24.6</v>
      </c>
      <c r="P25" s="223"/>
      <c r="Q25" s="224">
        <v>25.1</v>
      </c>
      <c r="R25" s="223"/>
      <c r="S25" s="224">
        <v>24.9</v>
      </c>
      <c r="T25" s="223"/>
      <c r="U25" s="225"/>
      <c r="V25" s="226"/>
      <c r="W25" s="247"/>
      <c r="X25" s="757">
        <f>AVERAGE(O25,M25,U25,S25,Q25)</f>
        <v>24.85</v>
      </c>
    </row>
    <row r="26" spans="1:24" ht="18" customHeight="1" thickTop="1" thickBot="1" x14ac:dyDescent="0.25">
      <c r="A26" s="314" t="s">
        <v>22</v>
      </c>
      <c r="B26" s="1380"/>
      <c r="C26" s="1381"/>
      <c r="D26" s="1380"/>
      <c r="E26" s="1381"/>
      <c r="F26" s="1380"/>
      <c r="G26" s="1381"/>
      <c r="H26" s="1380"/>
      <c r="I26" s="1381"/>
      <c r="J26" s="1380"/>
      <c r="K26" s="1381"/>
      <c r="L26" s="1380"/>
      <c r="M26" s="1381"/>
      <c r="N26" s="1380"/>
      <c r="O26" s="1381"/>
      <c r="P26" s="1380"/>
      <c r="Q26" s="1381"/>
      <c r="R26" s="1380"/>
      <c r="S26" s="1381"/>
      <c r="T26" s="1380"/>
      <c r="U26" s="1383"/>
      <c r="V26" s="226"/>
      <c r="W26" s="1382"/>
      <c r="X26" s="1383"/>
    </row>
    <row r="27" spans="1:24" ht="15" customHeight="1" x14ac:dyDescent="0.2">
      <c r="A27" s="305" t="s">
        <v>24</v>
      </c>
      <c r="B27" s="315"/>
      <c r="C27" s="209">
        <v>7320</v>
      </c>
      <c r="D27" s="316"/>
      <c r="E27" s="321">
        <v>6971</v>
      </c>
      <c r="F27" s="315"/>
      <c r="G27" s="321">
        <v>7939</v>
      </c>
      <c r="H27" s="315"/>
      <c r="I27" s="321">
        <v>7769</v>
      </c>
      <c r="J27" s="315"/>
      <c r="K27" s="321">
        <v>7538</v>
      </c>
      <c r="L27" s="315"/>
      <c r="M27" s="321">
        <v>7458</v>
      </c>
      <c r="N27" s="315"/>
      <c r="O27" s="321">
        <v>7108</v>
      </c>
      <c r="P27" s="315"/>
      <c r="Q27" s="321">
        <v>6648</v>
      </c>
      <c r="R27" s="315"/>
      <c r="S27" s="321">
        <v>6100</v>
      </c>
      <c r="T27" s="315"/>
      <c r="U27" s="1273"/>
      <c r="V27" s="226"/>
      <c r="W27" s="50"/>
      <c r="X27" s="51">
        <f>AVERAGE(O27,M27,S27,K27,Q27)</f>
        <v>6970.4</v>
      </c>
    </row>
    <row r="28" spans="1:24" ht="15" customHeight="1" x14ac:dyDescent="0.2">
      <c r="A28" s="305" t="s">
        <v>25</v>
      </c>
      <c r="B28" s="315"/>
      <c r="C28" s="209">
        <v>5601</v>
      </c>
      <c r="D28" s="316"/>
      <c r="E28" s="321">
        <v>4679</v>
      </c>
      <c r="F28" s="315"/>
      <c r="G28" s="321">
        <v>5268</v>
      </c>
      <c r="H28" s="315"/>
      <c r="I28" s="321">
        <v>5631</v>
      </c>
      <c r="J28" s="315"/>
      <c r="K28" s="321">
        <v>5845</v>
      </c>
      <c r="L28" s="315"/>
      <c r="M28" s="321">
        <v>5260</v>
      </c>
      <c r="N28" s="315"/>
      <c r="O28" s="321">
        <v>5778</v>
      </c>
      <c r="P28" s="315"/>
      <c r="Q28" s="321">
        <v>5443</v>
      </c>
      <c r="R28" s="315"/>
      <c r="S28" s="321">
        <v>5275</v>
      </c>
      <c r="T28" s="315"/>
      <c r="U28" s="1273"/>
      <c r="V28" s="226"/>
      <c r="W28" s="52"/>
      <c r="X28" s="51">
        <f t="shared" ref="X28:X31" si="5">AVERAGE(O28,M28,S28,K28,Q28)</f>
        <v>5520.2</v>
      </c>
    </row>
    <row r="29" spans="1:24" ht="15" customHeight="1" x14ac:dyDescent="0.2">
      <c r="A29" s="305" t="s">
        <v>26</v>
      </c>
      <c r="B29" s="315"/>
      <c r="C29" s="209">
        <v>927</v>
      </c>
      <c r="D29" s="316"/>
      <c r="E29" s="321">
        <v>771</v>
      </c>
      <c r="F29" s="315"/>
      <c r="G29" s="321">
        <v>771</v>
      </c>
      <c r="H29" s="315"/>
      <c r="I29" s="321">
        <v>733</v>
      </c>
      <c r="J29" s="315"/>
      <c r="K29" s="321">
        <v>594</v>
      </c>
      <c r="L29" s="315"/>
      <c r="M29" s="321">
        <v>774</v>
      </c>
      <c r="N29" s="315"/>
      <c r="O29" s="321">
        <v>774</v>
      </c>
      <c r="P29" s="315"/>
      <c r="Q29" s="321">
        <v>844</v>
      </c>
      <c r="R29" s="315"/>
      <c r="S29" s="321">
        <v>810</v>
      </c>
      <c r="T29" s="315"/>
      <c r="U29" s="1273"/>
      <c r="V29" s="226"/>
      <c r="W29" s="52"/>
      <c r="X29" s="51">
        <f t="shared" si="5"/>
        <v>759.2</v>
      </c>
    </row>
    <row r="30" spans="1:24" ht="15" customHeight="1" thickBot="1" x14ac:dyDescent="0.25">
      <c r="A30" s="1237" t="s">
        <v>27</v>
      </c>
      <c r="B30" s="83"/>
      <c r="C30" s="324">
        <v>460</v>
      </c>
      <c r="D30" s="316"/>
      <c r="E30" s="325">
        <v>466</v>
      </c>
      <c r="F30" s="315"/>
      <c r="G30" s="325">
        <v>442</v>
      </c>
      <c r="H30" s="315"/>
      <c r="I30" s="325">
        <v>414</v>
      </c>
      <c r="J30" s="315"/>
      <c r="K30" s="325">
        <v>341</v>
      </c>
      <c r="L30" s="315"/>
      <c r="M30" s="325">
        <v>313</v>
      </c>
      <c r="N30" s="315"/>
      <c r="O30" s="325">
        <v>407</v>
      </c>
      <c r="P30" s="315"/>
      <c r="Q30" s="325">
        <v>459</v>
      </c>
      <c r="R30" s="315"/>
      <c r="S30" s="325">
        <v>427</v>
      </c>
      <c r="T30" s="83"/>
      <c r="U30" s="1274"/>
      <c r="V30" s="226"/>
      <c r="W30" s="63"/>
      <c r="X30" s="484">
        <f t="shared" si="5"/>
        <v>389.4</v>
      </c>
    </row>
    <row r="31" spans="1:24" ht="15" customHeight="1" thickBot="1" x14ac:dyDescent="0.25">
      <c r="A31" s="1236" t="s">
        <v>28</v>
      </c>
      <c r="B31" s="328"/>
      <c r="C31" s="329">
        <f>SUM(C27:C30)</f>
        <v>14308</v>
      </c>
      <c r="D31" s="330"/>
      <c r="E31" s="331">
        <f>SUM(E27:E30)</f>
        <v>12887</v>
      </c>
      <c r="F31" s="328"/>
      <c r="G31" s="331">
        <f>SUM(G27:G30)</f>
        <v>14420</v>
      </c>
      <c r="H31" s="328"/>
      <c r="I31" s="331">
        <f>SUM(I27:I30)</f>
        <v>14547</v>
      </c>
      <c r="J31" s="328"/>
      <c r="K31" s="331">
        <f>SUM(K27:K30)</f>
        <v>14318</v>
      </c>
      <c r="L31" s="328"/>
      <c r="M31" s="331">
        <f>SUM(M27:M30)</f>
        <v>13805</v>
      </c>
      <c r="N31" s="328"/>
      <c r="O31" s="331">
        <f>SUM(O27:O30)</f>
        <v>14067</v>
      </c>
      <c r="P31" s="328"/>
      <c r="Q31" s="331">
        <f>SUM(Q27:Q30)</f>
        <v>13394</v>
      </c>
      <c r="R31" s="328"/>
      <c r="S31" s="331">
        <f>SUM(S27:S30)</f>
        <v>12612</v>
      </c>
      <c r="T31" s="328"/>
      <c r="U31" s="1277">
        <f>SUM(U27:U30)</f>
        <v>0</v>
      </c>
      <c r="V31" s="226"/>
      <c r="W31" s="485"/>
      <c r="X31" s="486">
        <f t="shared" si="5"/>
        <v>13639.2</v>
      </c>
    </row>
    <row r="32" spans="1:24" ht="15" customHeight="1" thickTop="1" thickBot="1" x14ac:dyDescent="0.25">
      <c r="A32" s="280"/>
      <c r="B32" s="332"/>
      <c r="C32" s="333"/>
      <c r="D32" s="332"/>
      <c r="E32" s="333"/>
      <c r="F32" s="332"/>
      <c r="G32" s="333"/>
      <c r="H32" s="332"/>
      <c r="I32" s="333"/>
      <c r="J32" s="332"/>
      <c r="K32" s="333"/>
      <c r="L32" s="332"/>
      <c r="M32" s="333"/>
      <c r="N32" s="332"/>
      <c r="O32" s="333"/>
      <c r="P32" s="332"/>
      <c r="Q32" s="333"/>
      <c r="R32" s="332"/>
      <c r="S32" s="333"/>
      <c r="T32" s="332"/>
      <c r="U32" s="333"/>
      <c r="V32" s="334"/>
      <c r="W32" s="335"/>
      <c r="X32" s="333"/>
    </row>
    <row r="33" spans="1:27" ht="18" customHeight="1" thickTop="1" thickBot="1" x14ac:dyDescent="0.25">
      <c r="A33" s="175" t="s">
        <v>29</v>
      </c>
      <c r="B33" s="1385" t="s">
        <v>30</v>
      </c>
      <c r="C33" s="1395"/>
      <c r="D33" s="1385" t="s">
        <v>31</v>
      </c>
      <c r="E33" s="1396"/>
      <c r="F33" s="1385" t="s">
        <v>32</v>
      </c>
      <c r="G33" s="1396"/>
      <c r="H33" s="1385" t="s">
        <v>33</v>
      </c>
      <c r="I33" s="1396"/>
      <c r="J33" s="1385" t="s">
        <v>34</v>
      </c>
      <c r="K33" s="1396"/>
      <c r="L33" s="1385" t="s">
        <v>35</v>
      </c>
      <c r="M33" s="1396"/>
      <c r="N33" s="1385" t="s">
        <v>36</v>
      </c>
      <c r="O33" s="1396"/>
      <c r="P33" s="1385" t="s">
        <v>37</v>
      </c>
      <c r="Q33" s="1396"/>
      <c r="R33" s="1385" t="s">
        <v>38</v>
      </c>
      <c r="S33" s="1396"/>
      <c r="T33" s="1385" t="s">
        <v>302</v>
      </c>
      <c r="U33" s="1386"/>
      <c r="V33" s="869"/>
      <c r="W33" s="1382" t="s">
        <v>9</v>
      </c>
      <c r="X33" s="1383"/>
      <c r="Y33" s="56"/>
      <c r="Z33" s="56"/>
      <c r="AA33" s="57"/>
    </row>
    <row r="34" spans="1:27" ht="15" customHeight="1" x14ac:dyDescent="0.2">
      <c r="A34" s="1068" t="s">
        <v>244</v>
      </c>
      <c r="B34" s="177"/>
      <c r="C34" s="178">
        <v>0.23400000000000001</v>
      </c>
      <c r="D34" s="179"/>
      <c r="E34" s="180">
        <v>0.23400000000000001</v>
      </c>
      <c r="F34" s="181"/>
      <c r="G34" s="180">
        <v>0.22</v>
      </c>
      <c r="H34" s="181"/>
      <c r="I34" s="180">
        <v>0.23899999999999999</v>
      </c>
      <c r="J34" s="181"/>
      <c r="K34" s="180">
        <v>0.26400000000000001</v>
      </c>
      <c r="L34" s="181"/>
      <c r="M34" s="180">
        <v>0.27500000000000002</v>
      </c>
      <c r="N34" s="181"/>
      <c r="O34" s="180">
        <v>0.29699999999999999</v>
      </c>
      <c r="P34" s="181"/>
      <c r="Q34" s="180">
        <v>0.255</v>
      </c>
      <c r="R34" s="181"/>
      <c r="S34" s="180">
        <v>0.313</v>
      </c>
      <c r="T34" s="181"/>
      <c r="U34" s="182">
        <v>0.30099999999999999</v>
      </c>
      <c r="V34" s="651"/>
      <c r="W34" s="469"/>
      <c r="X34" s="594">
        <f>AVERAGE(Q34,O34,M34,U34,S34)</f>
        <v>0.28820000000000001</v>
      </c>
      <c r="Y34" s="56"/>
      <c r="Z34" s="56"/>
      <c r="AA34" s="57"/>
    </row>
    <row r="35" spans="1:27" ht="15" customHeight="1" x14ac:dyDescent="0.2">
      <c r="A35" s="1069" t="s">
        <v>245</v>
      </c>
      <c r="B35" s="184"/>
      <c r="C35" s="185">
        <v>7.4999999999999997E-2</v>
      </c>
      <c r="D35" s="184"/>
      <c r="E35" s="185">
        <v>7.0999999999999994E-2</v>
      </c>
      <c r="F35" s="186"/>
      <c r="G35" s="185">
        <v>6.8000000000000005E-2</v>
      </c>
      <c r="H35" s="186"/>
      <c r="I35" s="185">
        <v>5.8999999999999997E-2</v>
      </c>
      <c r="J35" s="186"/>
      <c r="K35" s="185">
        <v>5.0999999999999997E-2</v>
      </c>
      <c r="L35" s="186"/>
      <c r="M35" s="185">
        <v>6.3E-2</v>
      </c>
      <c r="N35" s="186"/>
      <c r="O35" s="185">
        <v>0.06</v>
      </c>
      <c r="P35" s="186"/>
      <c r="Q35" s="185">
        <v>7.4999999999999997E-2</v>
      </c>
      <c r="R35" s="186"/>
      <c r="S35" s="185">
        <v>7.1999999999999995E-2</v>
      </c>
      <c r="T35" s="186"/>
      <c r="U35" s="187">
        <v>7.4999999999999997E-2</v>
      </c>
      <c r="V35" s="651"/>
      <c r="W35" s="469"/>
      <c r="X35" s="594">
        <f>AVERAGE(Q35,O35,M35,U35,S35)</f>
        <v>6.9000000000000006E-2</v>
      </c>
      <c r="Y35" s="56"/>
      <c r="Z35" s="56"/>
      <c r="AA35" s="57"/>
    </row>
    <row r="36" spans="1:27" ht="15" customHeight="1" thickBot="1" x14ac:dyDescent="0.25">
      <c r="A36" s="189" t="s">
        <v>243</v>
      </c>
      <c r="B36" s="1403">
        <f>1-C34-C35</f>
        <v>0.69100000000000006</v>
      </c>
      <c r="C36" s="1404"/>
      <c r="D36" s="1403">
        <f>1-E34-E35</f>
        <v>0.69500000000000006</v>
      </c>
      <c r="E36" s="1404"/>
      <c r="F36" s="1403">
        <f>1-G34-G35</f>
        <v>0.71199999999999997</v>
      </c>
      <c r="G36" s="1404"/>
      <c r="H36" s="1403">
        <f>1-I34-I35</f>
        <v>0.70199999999999996</v>
      </c>
      <c r="I36" s="1404"/>
      <c r="J36" s="1403">
        <f>1-K34-K35</f>
        <v>0.68499999999999994</v>
      </c>
      <c r="K36" s="1404"/>
      <c r="L36" s="1403">
        <f>1-M34-M35</f>
        <v>0.66199999999999992</v>
      </c>
      <c r="M36" s="1404"/>
      <c r="N36" s="1403">
        <f>1-O34-O35</f>
        <v>0.64300000000000002</v>
      </c>
      <c r="O36" s="1404"/>
      <c r="P36" s="1403">
        <f>1-Q34-Q35</f>
        <v>0.67</v>
      </c>
      <c r="Q36" s="1404"/>
      <c r="R36" s="1403">
        <f>1-S34-S35</f>
        <v>0.6150000000000001</v>
      </c>
      <c r="S36" s="1404"/>
      <c r="T36" s="1403">
        <f>1-U34-U35</f>
        <v>0.62400000000000011</v>
      </c>
      <c r="U36" s="1406"/>
      <c r="V36" s="651"/>
      <c r="W36" s="1390">
        <f>1-X34-X35</f>
        <v>0.64280000000000004</v>
      </c>
      <c r="X36" s="1391"/>
      <c r="Y36" s="56"/>
      <c r="Z36" s="56"/>
      <c r="AA36" s="57"/>
    </row>
    <row r="37" spans="1:27" s="3" customFormat="1" ht="18" customHeight="1" thickTop="1" thickBot="1" x14ac:dyDescent="0.25">
      <c r="A37" s="194" t="s">
        <v>67</v>
      </c>
      <c r="B37" s="227" t="s">
        <v>39</v>
      </c>
      <c r="C37" s="228" t="s">
        <v>74</v>
      </c>
      <c r="D37" s="227" t="s">
        <v>39</v>
      </c>
      <c r="E37" s="228" t="s">
        <v>74</v>
      </c>
      <c r="F37" s="227" t="s">
        <v>39</v>
      </c>
      <c r="G37" s="228" t="s">
        <v>74</v>
      </c>
      <c r="H37" s="227" t="s">
        <v>39</v>
      </c>
      <c r="I37" s="228" t="s">
        <v>74</v>
      </c>
      <c r="J37" s="227" t="s">
        <v>39</v>
      </c>
      <c r="K37" s="228" t="s">
        <v>74</v>
      </c>
      <c r="L37" s="227" t="s">
        <v>39</v>
      </c>
      <c r="M37" s="228" t="s">
        <v>74</v>
      </c>
      <c r="N37" s="227" t="s">
        <v>39</v>
      </c>
      <c r="O37" s="228" t="s">
        <v>74</v>
      </c>
      <c r="P37" s="227" t="s">
        <v>39</v>
      </c>
      <c r="Q37" s="228" t="s">
        <v>74</v>
      </c>
      <c r="R37" s="227" t="s">
        <v>39</v>
      </c>
      <c r="S37" s="228" t="s">
        <v>74</v>
      </c>
      <c r="T37" s="227" t="s">
        <v>39</v>
      </c>
      <c r="U37" s="229" t="s">
        <v>74</v>
      </c>
      <c r="V37" s="230"/>
      <c r="W37" s="1071" t="s">
        <v>39</v>
      </c>
      <c r="X37" s="229" t="s">
        <v>74</v>
      </c>
    </row>
    <row r="38" spans="1:27" ht="15" customHeight="1" x14ac:dyDescent="0.2">
      <c r="A38" s="233" t="s">
        <v>68</v>
      </c>
      <c r="B38" s="234"/>
      <c r="C38" s="235"/>
      <c r="D38" s="834"/>
      <c r="E38" s="835"/>
      <c r="F38" s="834"/>
      <c r="G38" s="835"/>
      <c r="H38" s="234">
        <v>3</v>
      </c>
      <c r="I38" s="235">
        <f>H38/H16</f>
        <v>8.5714285714285715E-2</v>
      </c>
      <c r="J38" s="234">
        <v>7</v>
      </c>
      <c r="K38" s="235">
        <f>J38/J16</f>
        <v>0.20588235294117646</v>
      </c>
      <c r="L38" s="234">
        <v>6</v>
      </c>
      <c r="M38" s="235">
        <f>L38/L16</f>
        <v>0.15789473684210525</v>
      </c>
      <c r="N38" s="234">
        <v>8</v>
      </c>
      <c r="O38" s="235">
        <f>N38/N16</f>
        <v>0.2</v>
      </c>
      <c r="P38" s="234">
        <v>6</v>
      </c>
      <c r="Q38" s="235">
        <f>P38/P16</f>
        <v>0.11320754716981132</v>
      </c>
      <c r="R38" s="234">
        <v>3</v>
      </c>
      <c r="S38" s="235">
        <f>R38/R16</f>
        <v>6.6666666666666666E-2</v>
      </c>
      <c r="T38" s="234"/>
      <c r="U38" s="236">
        <f>T38/T16</f>
        <v>0</v>
      </c>
      <c r="V38" s="226"/>
      <c r="W38" s="237">
        <f>AVERAGE(N38,L38,R38,T38,P38)</f>
        <v>5.75</v>
      </c>
      <c r="X38" s="480">
        <f>W38/W16</f>
        <v>0.13127853881278539</v>
      </c>
    </row>
    <row r="39" spans="1:27" ht="15" customHeight="1" thickBot="1" x14ac:dyDescent="0.25">
      <c r="A39" s="238" t="s">
        <v>69</v>
      </c>
      <c r="B39" s="239"/>
      <c r="C39" s="240"/>
      <c r="D39" s="836"/>
      <c r="E39" s="837"/>
      <c r="F39" s="836"/>
      <c r="G39" s="837"/>
      <c r="H39" s="239">
        <v>26</v>
      </c>
      <c r="I39" s="240">
        <f>H39/H17</f>
        <v>0.59090909090909094</v>
      </c>
      <c r="J39" s="239">
        <v>24</v>
      </c>
      <c r="K39" s="240">
        <f>J39/J17</f>
        <v>0.6</v>
      </c>
      <c r="L39" s="239">
        <v>28</v>
      </c>
      <c r="M39" s="240">
        <f>L39/L17</f>
        <v>0.63636363636363635</v>
      </c>
      <c r="N39" s="239">
        <v>25</v>
      </c>
      <c r="O39" s="240">
        <f>N39/N17</f>
        <v>0.65789473684210531</v>
      </c>
      <c r="P39" s="239">
        <v>31</v>
      </c>
      <c r="Q39" s="240">
        <f>P39/P17</f>
        <v>0.72093023255813948</v>
      </c>
      <c r="R39" s="239">
        <v>30</v>
      </c>
      <c r="S39" s="240">
        <f>R39/R17</f>
        <v>0.7142857142857143</v>
      </c>
      <c r="T39" s="239"/>
      <c r="U39" s="241">
        <f>T39/T17</f>
        <v>0</v>
      </c>
      <c r="V39" s="226"/>
      <c r="W39" s="242">
        <f>AVERAGE(N39,L39,R39,T39,P39)</f>
        <v>28.5</v>
      </c>
      <c r="X39" s="241">
        <f>W39/W17</f>
        <v>0.69512195121951215</v>
      </c>
    </row>
    <row r="40" spans="1:27" s="85" customFormat="1" ht="15" customHeight="1" thickTop="1" x14ac:dyDescent="0.2">
      <c r="A40" s="37" t="s">
        <v>288</v>
      </c>
      <c r="B40" s="650"/>
      <c r="C40" s="650"/>
      <c r="D40" s="650"/>
      <c r="E40" s="650"/>
      <c r="F40" s="650"/>
      <c r="G40" s="650"/>
      <c r="H40" s="650"/>
      <c r="I40" s="650"/>
      <c r="J40" s="650"/>
      <c r="K40" s="650"/>
      <c r="L40" s="650"/>
      <c r="M40" s="650"/>
      <c r="N40" s="650"/>
      <c r="O40" s="650"/>
      <c r="P40" s="650"/>
      <c r="Q40" s="650"/>
      <c r="R40" s="650"/>
      <c r="S40" s="650"/>
      <c r="T40" s="650"/>
      <c r="U40" s="650"/>
      <c r="V40" s="651"/>
      <c r="W40" s="650"/>
      <c r="X40" s="650"/>
      <c r="Y40" s="56"/>
      <c r="Z40" s="56"/>
      <c r="AA40" s="57"/>
    </row>
    <row r="41" spans="1:27" s="85" customFormat="1" ht="15" customHeight="1" thickBot="1" x14ac:dyDescent="0.25">
      <c r="A41" s="37"/>
      <c r="B41" s="650"/>
      <c r="C41" s="650"/>
      <c r="D41" s="650"/>
      <c r="E41" s="650"/>
      <c r="F41" s="650"/>
      <c r="G41" s="650"/>
      <c r="H41" s="650"/>
      <c r="I41" s="650"/>
      <c r="J41" s="650"/>
      <c r="K41" s="650"/>
      <c r="L41" s="650"/>
      <c r="M41" s="650"/>
      <c r="N41" s="650"/>
      <c r="O41" s="650"/>
      <c r="P41" s="650"/>
      <c r="Q41" s="650"/>
      <c r="R41" s="650"/>
      <c r="S41" s="650"/>
      <c r="T41" s="650"/>
      <c r="U41" s="650"/>
      <c r="V41" s="651"/>
      <c r="W41" s="650"/>
      <c r="X41" s="650"/>
      <c r="Y41" s="56"/>
      <c r="Z41" s="56"/>
      <c r="AA41" s="57"/>
    </row>
    <row r="42" spans="1:27" s="1" customFormat="1" ht="18.75" customHeight="1" thickTop="1" thickBot="1" x14ac:dyDescent="0.25">
      <c r="A42" s="175" t="s">
        <v>247</v>
      </c>
      <c r="B42" s="1385" t="s">
        <v>30</v>
      </c>
      <c r="C42" s="1395"/>
      <c r="D42" s="1385" t="s">
        <v>31</v>
      </c>
      <c r="E42" s="1396"/>
      <c r="F42" s="1385" t="s">
        <v>32</v>
      </c>
      <c r="G42" s="1396"/>
      <c r="H42" s="1385" t="s">
        <v>33</v>
      </c>
      <c r="I42" s="1396"/>
      <c r="J42" s="1385" t="s">
        <v>34</v>
      </c>
      <c r="K42" s="1396"/>
      <c r="L42" s="1385" t="s">
        <v>35</v>
      </c>
      <c r="M42" s="1396"/>
      <c r="N42" s="1385" t="s">
        <v>36</v>
      </c>
      <c r="O42" s="1396"/>
      <c r="P42" s="1385" t="s">
        <v>37</v>
      </c>
      <c r="Q42" s="1396"/>
      <c r="R42" s="1385" t="s">
        <v>38</v>
      </c>
      <c r="S42" s="1396"/>
      <c r="T42" s="1385" t="s">
        <v>302</v>
      </c>
      <c r="U42" s="1386"/>
      <c r="V42" s="195"/>
      <c r="W42" s="1382" t="s">
        <v>9</v>
      </c>
      <c r="X42" s="1383"/>
    </row>
    <row r="43" spans="1:27" s="1" customFormat="1" ht="24" x14ac:dyDescent="0.2">
      <c r="A43" s="715" t="s">
        <v>289</v>
      </c>
      <c r="B43" s="711"/>
      <c r="C43" s="529"/>
      <c r="D43" s="711"/>
      <c r="E43" s="712"/>
      <c r="F43" s="711"/>
      <c r="G43" s="712"/>
      <c r="H43" s="711"/>
      <c r="I43" s="712"/>
      <c r="J43" s="711"/>
      <c r="K43" s="712"/>
      <c r="L43" s="711"/>
      <c r="M43" s="712"/>
      <c r="N43" s="711"/>
      <c r="O43" s="712"/>
      <c r="P43" s="711"/>
      <c r="Q43" s="712"/>
      <c r="R43" s="711"/>
      <c r="S43" s="712"/>
      <c r="T43" s="713"/>
      <c r="U43" s="714"/>
      <c r="V43" s="195"/>
      <c r="W43" s="272"/>
      <c r="X43" s="271"/>
    </row>
    <row r="44" spans="1:27" s="1" customFormat="1" ht="24" x14ac:dyDescent="0.2">
      <c r="A44" s="721" t="s">
        <v>237</v>
      </c>
      <c r="B44" s="186"/>
      <c r="C44" s="653">
        <v>14</v>
      </c>
      <c r="D44" s="186"/>
      <c r="E44" s="653">
        <v>14</v>
      </c>
      <c r="F44" s="186"/>
      <c r="G44" s="653">
        <v>14</v>
      </c>
      <c r="H44" s="186"/>
      <c r="I44" s="653">
        <v>14</v>
      </c>
      <c r="J44" s="186"/>
      <c r="K44" s="653">
        <v>14</v>
      </c>
      <c r="L44" s="186"/>
      <c r="M44" s="653">
        <v>14</v>
      </c>
      <c r="N44" s="186"/>
      <c r="O44" s="653">
        <v>16</v>
      </c>
      <c r="P44" s="186"/>
      <c r="Q44" s="653">
        <v>13</v>
      </c>
      <c r="R44" s="186"/>
      <c r="S44" s="653">
        <v>13</v>
      </c>
      <c r="T44" s="654"/>
      <c r="U44" s="659"/>
      <c r="V44" s="195"/>
      <c r="W44" s="347"/>
      <c r="X44" s="659">
        <f>AVERAGE(O44,M44,S44,U44,Q44)</f>
        <v>14</v>
      </c>
    </row>
    <row r="45" spans="1:27" s="1" customFormat="1" ht="24" x14ac:dyDescent="0.2">
      <c r="A45" s="721" t="s">
        <v>239</v>
      </c>
      <c r="B45" s="654"/>
      <c r="C45" s="716">
        <v>14</v>
      </c>
      <c r="D45" s="654"/>
      <c r="E45" s="716">
        <v>14</v>
      </c>
      <c r="F45" s="654"/>
      <c r="G45" s="716">
        <v>14</v>
      </c>
      <c r="H45" s="654"/>
      <c r="I45" s="716">
        <v>14</v>
      </c>
      <c r="J45" s="654"/>
      <c r="K45" s="716">
        <v>14</v>
      </c>
      <c r="L45" s="654"/>
      <c r="M45" s="716">
        <v>14</v>
      </c>
      <c r="N45" s="654"/>
      <c r="O45" s="716">
        <v>16</v>
      </c>
      <c r="P45" s="654"/>
      <c r="Q45" s="716">
        <v>13</v>
      </c>
      <c r="R45" s="654"/>
      <c r="S45" s="716">
        <v>13</v>
      </c>
      <c r="T45" s="654"/>
      <c r="U45" s="659"/>
      <c r="V45" s="195"/>
      <c r="W45" s="1252"/>
      <c r="X45" s="394">
        <f t="shared" ref="X45:X46" si="6">AVERAGE(O45,M45,S45,U45,Q45)</f>
        <v>14</v>
      </c>
    </row>
    <row r="46" spans="1:27" s="1" customFormat="1" ht="15" customHeight="1" thickBot="1" x14ac:dyDescent="0.25">
      <c r="A46" s="942" t="s">
        <v>238</v>
      </c>
      <c r="B46" s="943"/>
      <c r="C46" s="944">
        <v>14</v>
      </c>
      <c r="D46" s="943"/>
      <c r="E46" s="944">
        <v>13.7</v>
      </c>
      <c r="F46" s="943"/>
      <c r="G46" s="944">
        <v>13.7</v>
      </c>
      <c r="H46" s="943"/>
      <c r="I46" s="944">
        <v>13.5</v>
      </c>
      <c r="J46" s="943"/>
      <c r="K46" s="944">
        <v>13.5</v>
      </c>
      <c r="L46" s="943"/>
      <c r="M46" s="944">
        <v>13.3</v>
      </c>
      <c r="N46" s="943"/>
      <c r="O46" s="944">
        <v>14.95</v>
      </c>
      <c r="P46" s="943"/>
      <c r="Q46" s="944">
        <v>12.4</v>
      </c>
      <c r="R46" s="943"/>
      <c r="S46" s="944">
        <v>12.7</v>
      </c>
      <c r="T46" s="956"/>
      <c r="U46" s="947"/>
      <c r="V46" s="195"/>
      <c r="W46" s="950"/>
      <c r="X46" s="1253">
        <f t="shared" si="6"/>
        <v>13.3375</v>
      </c>
    </row>
    <row r="47" spans="1:27" s="1" customFormat="1" ht="18" customHeight="1" thickBot="1" x14ac:dyDescent="0.25">
      <c r="A47" s="872" t="s">
        <v>264</v>
      </c>
      <c r="B47" s="801" t="s">
        <v>40</v>
      </c>
      <c r="C47" s="798" t="s">
        <v>41</v>
      </c>
      <c r="D47" s="799" t="s">
        <v>40</v>
      </c>
      <c r="E47" s="798" t="s">
        <v>41</v>
      </c>
      <c r="F47" s="799" t="s">
        <v>40</v>
      </c>
      <c r="G47" s="798" t="s">
        <v>41</v>
      </c>
      <c r="H47" s="799" t="s">
        <v>40</v>
      </c>
      <c r="I47" s="798" t="s">
        <v>41</v>
      </c>
      <c r="J47" s="799" t="s">
        <v>40</v>
      </c>
      <c r="K47" s="798" t="s">
        <v>41</v>
      </c>
      <c r="L47" s="799" t="s">
        <v>40</v>
      </c>
      <c r="M47" s="798" t="s">
        <v>41</v>
      </c>
      <c r="N47" s="799" t="s">
        <v>40</v>
      </c>
      <c r="O47" s="798" t="s">
        <v>41</v>
      </c>
      <c r="P47" s="799" t="s">
        <v>40</v>
      </c>
      <c r="Q47" s="798" t="s">
        <v>41</v>
      </c>
      <c r="R47" s="799" t="s">
        <v>40</v>
      </c>
      <c r="S47" s="798" t="s">
        <v>41</v>
      </c>
      <c r="T47" s="799" t="s">
        <v>40</v>
      </c>
      <c r="U47" s="804" t="s">
        <v>41</v>
      </c>
      <c r="V47" s="955"/>
      <c r="W47" s="1254" t="s">
        <v>40</v>
      </c>
      <c r="X47" s="804" t="s">
        <v>41</v>
      </c>
    </row>
    <row r="48" spans="1:27" s="1" customFormat="1" ht="15" customHeight="1" x14ac:dyDescent="0.2">
      <c r="A48" s="680" t="s">
        <v>42</v>
      </c>
      <c r="B48" s="808"/>
      <c r="C48" s="805"/>
      <c r="D48" s="806"/>
      <c r="E48" s="807"/>
      <c r="F48" s="808"/>
      <c r="G48" s="807"/>
      <c r="H48" s="808"/>
      <c r="I48" s="807"/>
      <c r="J48" s="808"/>
      <c r="K48" s="807"/>
      <c r="L48" s="808"/>
      <c r="M48" s="807"/>
      <c r="N48" s="808"/>
      <c r="O48" s="807"/>
      <c r="P48" s="808"/>
      <c r="Q48" s="807"/>
      <c r="R48" s="808"/>
      <c r="S48" s="807"/>
      <c r="T48" s="808"/>
      <c r="U48" s="1013"/>
      <c r="V48" s="195"/>
      <c r="W48" s="1029"/>
      <c r="X48" s="1030"/>
    </row>
    <row r="49" spans="1:24" s="1" customFormat="1" ht="15" customHeight="1" x14ac:dyDescent="0.2">
      <c r="A49" s="678" t="s">
        <v>43</v>
      </c>
      <c r="B49" s="258"/>
      <c r="C49" s="810">
        <v>14</v>
      </c>
      <c r="D49" s="260"/>
      <c r="E49" s="811">
        <v>14</v>
      </c>
      <c r="F49" s="258"/>
      <c r="G49" s="811">
        <v>14</v>
      </c>
      <c r="H49" s="258"/>
      <c r="I49" s="811">
        <v>14</v>
      </c>
      <c r="J49" s="813">
        <v>14</v>
      </c>
      <c r="K49" s="811">
        <v>14</v>
      </c>
      <c r="L49" s="813">
        <v>14</v>
      </c>
      <c r="M49" s="811">
        <v>14</v>
      </c>
      <c r="N49" s="813">
        <v>16</v>
      </c>
      <c r="O49" s="811">
        <v>16</v>
      </c>
      <c r="P49" s="813">
        <v>14</v>
      </c>
      <c r="Q49" s="811">
        <v>14</v>
      </c>
      <c r="R49" s="813">
        <v>14</v>
      </c>
      <c r="S49" s="811">
        <v>14</v>
      </c>
      <c r="T49" s="813"/>
      <c r="U49" s="932"/>
      <c r="V49" s="195"/>
      <c r="W49" s="936">
        <f>AVERAGE(T49,L49,N49,P49,R49)</f>
        <v>14.5</v>
      </c>
      <c r="X49" s="1031">
        <f t="shared" ref="X49:X54" si="7">AVERAGE(O49,M49,S49,U49,Q49)</f>
        <v>14.5</v>
      </c>
    </row>
    <row r="50" spans="1:24" s="1" customFormat="1" ht="15" customHeight="1" x14ac:dyDescent="0.2">
      <c r="A50" s="678" t="s">
        <v>44</v>
      </c>
      <c r="B50" s="258"/>
      <c r="C50" s="810">
        <v>1</v>
      </c>
      <c r="D50" s="260"/>
      <c r="E50" s="811">
        <v>2</v>
      </c>
      <c r="F50" s="258"/>
      <c r="G50" s="811">
        <v>3</v>
      </c>
      <c r="H50" s="258"/>
      <c r="I50" s="811">
        <v>3</v>
      </c>
      <c r="J50" s="345">
        <v>1.4</v>
      </c>
      <c r="K50" s="811">
        <v>3</v>
      </c>
      <c r="L50" s="345">
        <v>0.75</v>
      </c>
      <c r="M50" s="811">
        <v>3</v>
      </c>
      <c r="N50" s="345">
        <v>0.5</v>
      </c>
      <c r="O50" s="811">
        <v>2</v>
      </c>
      <c r="P50" s="345">
        <v>2.4</v>
      </c>
      <c r="Q50" s="811">
        <v>6</v>
      </c>
      <c r="R50" s="345">
        <v>1.7</v>
      </c>
      <c r="S50" s="811">
        <v>5</v>
      </c>
      <c r="T50" s="345"/>
      <c r="U50" s="932"/>
      <c r="V50" s="195"/>
      <c r="W50" s="936">
        <f t="shared" ref="W50:W54" si="8">AVERAGE(T50,L50,N50,P50,R50)</f>
        <v>1.3374999999999999</v>
      </c>
      <c r="X50" s="1031">
        <f t="shared" si="7"/>
        <v>4</v>
      </c>
    </row>
    <row r="51" spans="1:24" s="1" customFormat="1" ht="15" customHeight="1" x14ac:dyDescent="0.2">
      <c r="A51" s="676" t="s">
        <v>45</v>
      </c>
      <c r="B51" s="345"/>
      <c r="C51" s="815"/>
      <c r="D51" s="663"/>
      <c r="E51" s="816"/>
      <c r="F51" s="345"/>
      <c r="G51" s="816"/>
      <c r="H51" s="345"/>
      <c r="I51" s="816"/>
      <c r="J51" s="345"/>
      <c r="K51" s="816"/>
      <c r="L51" s="345"/>
      <c r="M51" s="816"/>
      <c r="N51" s="345"/>
      <c r="O51" s="816"/>
      <c r="P51" s="345"/>
      <c r="Q51" s="816"/>
      <c r="R51" s="345"/>
      <c r="S51" s="816"/>
      <c r="T51" s="345"/>
      <c r="U51" s="933"/>
      <c r="V51" s="195"/>
      <c r="W51" s="936"/>
      <c r="X51" s="1031"/>
    </row>
    <row r="52" spans="1:24" s="1" customFormat="1" ht="15" customHeight="1" x14ac:dyDescent="0.2">
      <c r="A52" s="678" t="s">
        <v>43</v>
      </c>
      <c r="B52" s="258"/>
      <c r="C52" s="815">
        <v>1</v>
      </c>
      <c r="D52" s="260"/>
      <c r="E52" s="816">
        <v>1</v>
      </c>
      <c r="F52" s="258"/>
      <c r="G52" s="816">
        <v>1</v>
      </c>
      <c r="H52" s="258"/>
      <c r="I52" s="816">
        <v>1</v>
      </c>
      <c r="J52" s="813">
        <v>1</v>
      </c>
      <c r="K52" s="816">
        <v>1</v>
      </c>
      <c r="L52" s="813">
        <v>2</v>
      </c>
      <c r="M52" s="816">
        <v>2</v>
      </c>
      <c r="N52" s="813">
        <v>1</v>
      </c>
      <c r="O52" s="816">
        <v>1</v>
      </c>
      <c r="P52" s="813">
        <v>2</v>
      </c>
      <c r="Q52" s="816">
        <v>2</v>
      </c>
      <c r="R52" s="813">
        <v>1</v>
      </c>
      <c r="S52" s="816">
        <v>1</v>
      </c>
      <c r="T52" s="813"/>
      <c r="U52" s="933"/>
      <c r="V52" s="195"/>
      <c r="W52" s="936">
        <f t="shared" si="8"/>
        <v>1.5</v>
      </c>
      <c r="X52" s="1031">
        <f t="shared" si="7"/>
        <v>1.5</v>
      </c>
    </row>
    <row r="53" spans="1:24" s="1" customFormat="1" ht="15" customHeight="1" thickBot="1" x14ac:dyDescent="0.25">
      <c r="A53" s="939" t="s">
        <v>44</v>
      </c>
      <c r="B53" s="1017"/>
      <c r="C53" s="818">
        <v>0</v>
      </c>
      <c r="D53" s="1050"/>
      <c r="E53" s="819">
        <v>0</v>
      </c>
      <c r="F53" s="1017"/>
      <c r="G53" s="819">
        <v>0</v>
      </c>
      <c r="H53" s="1017"/>
      <c r="I53" s="819">
        <v>0</v>
      </c>
      <c r="J53" s="821">
        <v>0</v>
      </c>
      <c r="K53" s="819">
        <v>0</v>
      </c>
      <c r="L53" s="821">
        <v>0</v>
      </c>
      <c r="M53" s="819">
        <v>0</v>
      </c>
      <c r="N53" s="821">
        <v>0</v>
      </c>
      <c r="O53" s="819">
        <v>0</v>
      </c>
      <c r="P53" s="821">
        <v>0</v>
      </c>
      <c r="Q53" s="819">
        <v>0</v>
      </c>
      <c r="R53" s="821">
        <v>0</v>
      </c>
      <c r="S53" s="819">
        <v>0</v>
      </c>
      <c r="T53" s="821"/>
      <c r="U53" s="934"/>
      <c r="V53" s="195"/>
      <c r="W53" s="1020">
        <f t="shared" si="8"/>
        <v>0</v>
      </c>
      <c r="X53" s="1032">
        <f t="shared" si="7"/>
        <v>0</v>
      </c>
    </row>
    <row r="54" spans="1:24" s="1" customFormat="1" ht="15" customHeight="1" thickBot="1" x14ac:dyDescent="0.25">
      <c r="A54" s="796" t="s">
        <v>28</v>
      </c>
      <c r="B54" s="1021"/>
      <c r="C54" s="824">
        <f>SUM(C49:C53)</f>
        <v>16</v>
      </c>
      <c r="D54" s="1022"/>
      <c r="E54" s="826">
        <f>SUM(E49:E53)</f>
        <v>17</v>
      </c>
      <c r="F54" s="1021"/>
      <c r="G54" s="826">
        <f>SUM(G49:G53)</f>
        <v>18</v>
      </c>
      <c r="H54" s="1021"/>
      <c r="I54" s="826">
        <f t="shared" ref="I54:S54" si="9">SUM(I49:I53)</f>
        <v>18</v>
      </c>
      <c r="J54" s="906">
        <f t="shared" si="9"/>
        <v>16.399999999999999</v>
      </c>
      <c r="K54" s="826">
        <f t="shared" si="9"/>
        <v>18</v>
      </c>
      <c r="L54" s="906">
        <f t="shared" si="9"/>
        <v>16.75</v>
      </c>
      <c r="M54" s="826">
        <f t="shared" si="9"/>
        <v>19</v>
      </c>
      <c r="N54" s="906">
        <f t="shared" si="9"/>
        <v>17.5</v>
      </c>
      <c r="O54" s="826">
        <f t="shared" si="9"/>
        <v>19</v>
      </c>
      <c r="P54" s="906">
        <f t="shared" si="9"/>
        <v>18.399999999999999</v>
      </c>
      <c r="Q54" s="826">
        <f t="shared" si="9"/>
        <v>22</v>
      </c>
      <c r="R54" s="906">
        <f t="shared" si="9"/>
        <v>16.7</v>
      </c>
      <c r="S54" s="826">
        <f t="shared" si="9"/>
        <v>20</v>
      </c>
      <c r="T54" s="906">
        <f t="shared" ref="T54:U54" si="10">SUM(T49:T53)</f>
        <v>0</v>
      </c>
      <c r="U54" s="1023">
        <f t="shared" si="10"/>
        <v>0</v>
      </c>
      <c r="V54" s="195"/>
      <c r="W54" s="1028">
        <f t="shared" si="8"/>
        <v>13.87</v>
      </c>
      <c r="X54" s="1033">
        <f t="shared" si="7"/>
        <v>16</v>
      </c>
    </row>
    <row r="55" spans="1:24" s="1" customFormat="1" ht="18" customHeight="1" thickBot="1" x14ac:dyDescent="0.25">
      <c r="A55" s="795" t="s">
        <v>253</v>
      </c>
      <c r="B55" s="801" t="s">
        <v>39</v>
      </c>
      <c r="C55" s="954" t="s">
        <v>46</v>
      </c>
      <c r="D55" s="801" t="s">
        <v>39</v>
      </c>
      <c r="E55" s="798" t="s">
        <v>46</v>
      </c>
      <c r="F55" s="799" t="s">
        <v>39</v>
      </c>
      <c r="G55" s="798" t="s">
        <v>46</v>
      </c>
      <c r="H55" s="799" t="s">
        <v>39</v>
      </c>
      <c r="I55" s="798" t="s">
        <v>46</v>
      </c>
      <c r="J55" s="799" t="s">
        <v>39</v>
      </c>
      <c r="K55" s="798" t="s">
        <v>46</v>
      </c>
      <c r="L55" s="799" t="s">
        <v>39</v>
      </c>
      <c r="M55" s="798" t="s">
        <v>46</v>
      </c>
      <c r="N55" s="799" t="s">
        <v>39</v>
      </c>
      <c r="O55" s="798" t="s">
        <v>46</v>
      </c>
      <c r="P55" s="799" t="s">
        <v>39</v>
      </c>
      <c r="Q55" s="798" t="s">
        <v>46</v>
      </c>
      <c r="R55" s="799" t="s">
        <v>39</v>
      </c>
      <c r="S55" s="798" t="s">
        <v>46</v>
      </c>
      <c r="T55" s="799" t="s">
        <v>39</v>
      </c>
      <c r="U55" s="804" t="s">
        <v>46</v>
      </c>
      <c r="V55" s="195"/>
      <c r="W55" s="832" t="s">
        <v>39</v>
      </c>
      <c r="X55" s="804" t="s">
        <v>46</v>
      </c>
    </row>
    <row r="56" spans="1:24" s="1" customFormat="1" ht="18" customHeight="1" x14ac:dyDescent="0.2">
      <c r="A56" s="680" t="s">
        <v>265</v>
      </c>
      <c r="B56" s="938"/>
      <c r="C56" s="196"/>
      <c r="D56" s="938"/>
      <c r="E56" s="197"/>
      <c r="F56" s="937"/>
      <c r="G56" s="197"/>
      <c r="H56" s="937"/>
      <c r="I56" s="197"/>
      <c r="J56" s="937"/>
      <c r="K56" s="197"/>
      <c r="L56" s="198"/>
      <c r="M56" s="197"/>
      <c r="N56" s="937"/>
      <c r="O56" s="197"/>
      <c r="P56" s="937"/>
      <c r="Q56" s="197"/>
      <c r="R56" s="198"/>
      <c r="S56" s="197"/>
      <c r="T56" s="937"/>
      <c r="U56" s="199"/>
      <c r="V56" s="195"/>
      <c r="W56" s="1026"/>
      <c r="X56" s="199"/>
    </row>
    <row r="57" spans="1:24" s="1" customFormat="1" ht="15" customHeight="1" x14ac:dyDescent="0.2">
      <c r="A57" s="706" t="s">
        <v>47</v>
      </c>
      <c r="B57" s="201">
        <v>15</v>
      </c>
      <c r="C57" s="191">
        <f t="shared" ref="C57:C64" si="11">B57/C$54</f>
        <v>0.9375</v>
      </c>
      <c r="D57" s="201">
        <f>14+2</f>
        <v>16</v>
      </c>
      <c r="E57" s="192">
        <f t="shared" ref="E57:E64" si="12">D57/E$54</f>
        <v>0.94117647058823528</v>
      </c>
      <c r="F57" s="202">
        <v>17</v>
      </c>
      <c r="G57" s="192">
        <f t="shared" ref="G57:G64" si="13">F57/G$54</f>
        <v>0.94444444444444442</v>
      </c>
      <c r="H57" s="202">
        <v>17</v>
      </c>
      <c r="I57" s="192">
        <f t="shared" ref="I57:I64" si="14">H57/I$54</f>
        <v>0.94444444444444442</v>
      </c>
      <c r="J57" s="202">
        <f>3+14</f>
        <v>17</v>
      </c>
      <c r="K57" s="192">
        <f t="shared" ref="K57:K64" si="15">J57/K$54</f>
        <v>0.94444444444444442</v>
      </c>
      <c r="L57" s="202">
        <v>17</v>
      </c>
      <c r="M57" s="192">
        <f t="shared" ref="M57:M62" si="16">L57/M$54</f>
        <v>0.89473684210526316</v>
      </c>
      <c r="N57" s="202">
        <f>2+15</f>
        <v>17</v>
      </c>
      <c r="O57" s="192">
        <f t="shared" ref="O57:Q62" si="17">N57/O$54</f>
        <v>0.89473684210526316</v>
      </c>
      <c r="P57" s="202">
        <v>20</v>
      </c>
      <c r="Q57" s="192">
        <f t="shared" si="17"/>
        <v>0.90909090909090906</v>
      </c>
      <c r="R57" s="202">
        <v>19</v>
      </c>
      <c r="S57" s="192">
        <f t="shared" ref="S57:S62" si="18">R57/S$54</f>
        <v>0.95</v>
      </c>
      <c r="T57" s="202"/>
      <c r="U57" s="203" t="e">
        <f t="shared" ref="U57:U62" si="19">T57/U$54</f>
        <v>#DIV/0!</v>
      </c>
      <c r="V57" s="320"/>
      <c r="W57" s="205">
        <f>AVERAGE(N57,L57,R57,T57,P57)</f>
        <v>18.25</v>
      </c>
      <c r="X57" s="206" t="e">
        <f>AVERAGE(O57,M57,S57,U57,Q57)</f>
        <v>#DIV/0!</v>
      </c>
    </row>
    <row r="58" spans="1:24" s="1" customFormat="1" ht="15" customHeight="1" x14ac:dyDescent="0.2">
      <c r="A58" s="207" t="s">
        <v>48</v>
      </c>
      <c r="B58" s="201">
        <v>0</v>
      </c>
      <c r="C58" s="191">
        <f t="shared" si="11"/>
        <v>0</v>
      </c>
      <c r="D58" s="201">
        <v>0</v>
      </c>
      <c r="E58" s="192">
        <f t="shared" si="12"/>
        <v>0</v>
      </c>
      <c r="F58" s="202">
        <v>0</v>
      </c>
      <c r="G58" s="192">
        <f t="shared" si="13"/>
        <v>0</v>
      </c>
      <c r="H58" s="202">
        <v>0</v>
      </c>
      <c r="I58" s="192">
        <f t="shared" si="14"/>
        <v>0</v>
      </c>
      <c r="J58" s="202">
        <f>0</f>
        <v>0</v>
      </c>
      <c r="K58" s="192">
        <f t="shared" si="15"/>
        <v>0</v>
      </c>
      <c r="L58" s="202">
        <v>0</v>
      </c>
      <c r="M58" s="192">
        <f t="shared" si="16"/>
        <v>0</v>
      </c>
      <c r="N58" s="202">
        <v>2</v>
      </c>
      <c r="O58" s="192">
        <f t="shared" si="17"/>
        <v>0.10526315789473684</v>
      </c>
      <c r="P58" s="202">
        <v>0</v>
      </c>
      <c r="Q58" s="192">
        <f t="shared" si="17"/>
        <v>0</v>
      </c>
      <c r="R58" s="202">
        <v>0</v>
      </c>
      <c r="S58" s="192">
        <f t="shared" si="18"/>
        <v>0</v>
      </c>
      <c r="T58" s="202"/>
      <c r="U58" s="203" t="e">
        <f t="shared" si="19"/>
        <v>#DIV/0!</v>
      </c>
      <c r="V58" s="320"/>
      <c r="W58" s="205">
        <f t="shared" ref="W58:X76" si="20">AVERAGE(N58,L58,R58,T58,P58)</f>
        <v>0.5</v>
      </c>
      <c r="X58" s="206" t="e">
        <f t="shared" si="20"/>
        <v>#DIV/0!</v>
      </c>
    </row>
    <row r="59" spans="1:24" s="1" customFormat="1" ht="15" customHeight="1" x14ac:dyDescent="0.2">
      <c r="A59" s="207" t="s">
        <v>49</v>
      </c>
      <c r="B59" s="201">
        <v>0</v>
      </c>
      <c r="C59" s="191">
        <f t="shared" si="11"/>
        <v>0</v>
      </c>
      <c r="D59" s="201">
        <v>1</v>
      </c>
      <c r="E59" s="192">
        <f t="shared" si="12"/>
        <v>5.8823529411764705E-2</v>
      </c>
      <c r="F59" s="202">
        <v>1</v>
      </c>
      <c r="G59" s="192">
        <f t="shared" si="13"/>
        <v>5.5555555555555552E-2</v>
      </c>
      <c r="H59" s="202">
        <v>1</v>
      </c>
      <c r="I59" s="192">
        <f t="shared" si="14"/>
        <v>5.5555555555555552E-2</v>
      </c>
      <c r="J59" s="202">
        <f>1</f>
        <v>1</v>
      </c>
      <c r="K59" s="192">
        <f t="shared" si="15"/>
        <v>5.5555555555555552E-2</v>
      </c>
      <c r="L59" s="202">
        <v>0</v>
      </c>
      <c r="M59" s="192">
        <f t="shared" si="16"/>
        <v>0</v>
      </c>
      <c r="N59" s="202">
        <v>0</v>
      </c>
      <c r="O59" s="192">
        <f t="shared" si="17"/>
        <v>0</v>
      </c>
      <c r="P59" s="202">
        <v>0</v>
      </c>
      <c r="Q59" s="192">
        <f t="shared" si="17"/>
        <v>0</v>
      </c>
      <c r="R59" s="202">
        <v>0</v>
      </c>
      <c r="S59" s="192">
        <f t="shared" si="18"/>
        <v>0</v>
      </c>
      <c r="T59" s="202"/>
      <c r="U59" s="203" t="e">
        <f t="shared" si="19"/>
        <v>#DIV/0!</v>
      </c>
      <c r="V59" s="320"/>
      <c r="W59" s="205">
        <f t="shared" si="20"/>
        <v>0</v>
      </c>
      <c r="X59" s="206" t="e">
        <f t="shared" si="20"/>
        <v>#DIV/0!</v>
      </c>
    </row>
    <row r="60" spans="1:24" s="1" customFormat="1" ht="15" customHeight="1" x14ac:dyDescent="0.2">
      <c r="A60" s="207" t="s">
        <v>50</v>
      </c>
      <c r="B60" s="201">
        <v>0</v>
      </c>
      <c r="C60" s="191">
        <f t="shared" si="11"/>
        <v>0</v>
      </c>
      <c r="D60" s="201">
        <v>0</v>
      </c>
      <c r="E60" s="192">
        <f t="shared" si="12"/>
        <v>0</v>
      </c>
      <c r="F60" s="202">
        <v>0</v>
      </c>
      <c r="G60" s="192">
        <f t="shared" si="13"/>
        <v>0</v>
      </c>
      <c r="H60" s="202">
        <v>0</v>
      </c>
      <c r="I60" s="192">
        <f t="shared" si="14"/>
        <v>0</v>
      </c>
      <c r="J60" s="202">
        <f>0</f>
        <v>0</v>
      </c>
      <c r="K60" s="192">
        <f t="shared" si="15"/>
        <v>0</v>
      </c>
      <c r="L60" s="202">
        <v>0</v>
      </c>
      <c r="M60" s="192">
        <f t="shared" si="16"/>
        <v>0</v>
      </c>
      <c r="N60" s="202">
        <v>0</v>
      </c>
      <c r="O60" s="192">
        <f t="shared" si="17"/>
        <v>0</v>
      </c>
      <c r="P60" s="202">
        <v>0</v>
      </c>
      <c r="Q60" s="192">
        <f t="shared" si="17"/>
        <v>0</v>
      </c>
      <c r="R60" s="202">
        <v>0</v>
      </c>
      <c r="S60" s="192">
        <f t="shared" si="18"/>
        <v>0</v>
      </c>
      <c r="T60" s="202"/>
      <c r="U60" s="203" t="e">
        <f t="shared" si="19"/>
        <v>#DIV/0!</v>
      </c>
      <c r="V60" s="320"/>
      <c r="W60" s="205">
        <f t="shared" si="20"/>
        <v>0</v>
      </c>
      <c r="X60" s="206" t="e">
        <f t="shared" si="20"/>
        <v>#DIV/0!</v>
      </c>
    </row>
    <row r="61" spans="1:24" s="1" customFormat="1" ht="15" customHeight="1" x14ac:dyDescent="0.2">
      <c r="A61" s="207" t="s">
        <v>51</v>
      </c>
      <c r="B61" s="201">
        <v>1</v>
      </c>
      <c r="C61" s="191">
        <f t="shared" si="11"/>
        <v>6.25E-2</v>
      </c>
      <c r="D61" s="201">
        <v>0</v>
      </c>
      <c r="E61" s="192">
        <f t="shared" si="12"/>
        <v>0</v>
      </c>
      <c r="F61" s="202">
        <v>0</v>
      </c>
      <c r="G61" s="192">
        <f t="shared" si="13"/>
        <v>0</v>
      </c>
      <c r="H61" s="202">
        <v>0</v>
      </c>
      <c r="I61" s="192">
        <f t="shared" si="14"/>
        <v>0</v>
      </c>
      <c r="J61" s="202">
        <f>0</f>
        <v>0</v>
      </c>
      <c r="K61" s="192">
        <f t="shared" si="15"/>
        <v>0</v>
      </c>
      <c r="L61" s="202">
        <v>0</v>
      </c>
      <c r="M61" s="192">
        <f t="shared" si="16"/>
        <v>0</v>
      </c>
      <c r="N61" s="202">
        <v>0</v>
      </c>
      <c r="O61" s="192">
        <f t="shared" si="17"/>
        <v>0</v>
      </c>
      <c r="P61" s="202">
        <v>1</v>
      </c>
      <c r="Q61" s="192">
        <f t="shared" si="17"/>
        <v>4.5454545454545456E-2</v>
      </c>
      <c r="R61" s="202">
        <v>0</v>
      </c>
      <c r="S61" s="192">
        <f t="shared" si="18"/>
        <v>0</v>
      </c>
      <c r="T61" s="202"/>
      <c r="U61" s="203" t="e">
        <f t="shared" si="19"/>
        <v>#DIV/0!</v>
      </c>
      <c r="V61" s="320"/>
      <c r="W61" s="205">
        <f t="shared" si="20"/>
        <v>0.25</v>
      </c>
      <c r="X61" s="206" t="e">
        <f t="shared" si="20"/>
        <v>#DIV/0!</v>
      </c>
    </row>
    <row r="62" spans="1:24" s="1" customFormat="1" ht="15" customHeight="1" x14ac:dyDescent="0.2">
      <c r="A62" s="207" t="s">
        <v>52</v>
      </c>
      <c r="B62" s="201">
        <v>0</v>
      </c>
      <c r="C62" s="191">
        <f t="shared" si="11"/>
        <v>0</v>
      </c>
      <c r="D62" s="201">
        <v>0</v>
      </c>
      <c r="E62" s="192">
        <f t="shared" si="12"/>
        <v>0</v>
      </c>
      <c r="F62" s="202">
        <v>0</v>
      </c>
      <c r="G62" s="192">
        <f t="shared" si="13"/>
        <v>0</v>
      </c>
      <c r="H62" s="202">
        <v>0</v>
      </c>
      <c r="I62" s="192">
        <f t="shared" si="14"/>
        <v>0</v>
      </c>
      <c r="J62" s="202">
        <f>0</f>
        <v>0</v>
      </c>
      <c r="K62" s="192">
        <f t="shared" si="15"/>
        <v>0</v>
      </c>
      <c r="L62" s="202">
        <v>2</v>
      </c>
      <c r="M62" s="192">
        <f t="shared" si="16"/>
        <v>0.10526315789473684</v>
      </c>
      <c r="N62" s="202">
        <v>0</v>
      </c>
      <c r="O62" s="192">
        <f t="shared" si="17"/>
        <v>0</v>
      </c>
      <c r="P62" s="202">
        <v>1</v>
      </c>
      <c r="Q62" s="192">
        <f t="shared" si="17"/>
        <v>4.5454545454545456E-2</v>
      </c>
      <c r="R62" s="202">
        <v>1</v>
      </c>
      <c r="S62" s="192">
        <f t="shared" si="18"/>
        <v>0.05</v>
      </c>
      <c r="T62" s="202"/>
      <c r="U62" s="203" t="e">
        <f t="shared" si="19"/>
        <v>#DIV/0!</v>
      </c>
      <c r="V62" s="320"/>
      <c r="W62" s="205">
        <f t="shared" si="20"/>
        <v>1</v>
      </c>
      <c r="X62" s="206" t="e">
        <f t="shared" si="20"/>
        <v>#DIV/0!</v>
      </c>
    </row>
    <row r="63" spans="1:24" s="1" customFormat="1" ht="15" customHeight="1" x14ac:dyDescent="0.2">
      <c r="A63" s="207" t="s">
        <v>53</v>
      </c>
      <c r="B63" s="190"/>
      <c r="C63" s="191">
        <f t="shared" si="11"/>
        <v>0</v>
      </c>
      <c r="D63" s="190"/>
      <c r="E63" s="192">
        <f t="shared" si="12"/>
        <v>0</v>
      </c>
      <c r="F63" s="193"/>
      <c r="G63" s="192">
        <f t="shared" si="13"/>
        <v>0</v>
      </c>
      <c r="H63" s="193">
        <v>0</v>
      </c>
      <c r="I63" s="192">
        <f t="shared" si="14"/>
        <v>0</v>
      </c>
      <c r="J63" s="193">
        <f>0</f>
        <v>0</v>
      </c>
      <c r="K63" s="192">
        <f t="shared" si="15"/>
        <v>0</v>
      </c>
      <c r="L63" s="193">
        <v>0</v>
      </c>
      <c r="M63" s="192">
        <f>L63/M$54</f>
        <v>0</v>
      </c>
      <c r="N63" s="193">
        <v>0</v>
      </c>
      <c r="O63" s="192">
        <f>N63/O$54</f>
        <v>0</v>
      </c>
      <c r="P63" s="193">
        <v>0</v>
      </c>
      <c r="Q63" s="192">
        <f>P63/Q$54</f>
        <v>0</v>
      </c>
      <c r="R63" s="193">
        <v>0</v>
      </c>
      <c r="S63" s="192">
        <f>R63/S$54</f>
        <v>0</v>
      </c>
      <c r="T63" s="202"/>
      <c r="U63" s="203" t="e">
        <f>T63/U$54</f>
        <v>#DIV/0!</v>
      </c>
      <c r="V63" s="320"/>
      <c r="W63" s="205">
        <f t="shared" si="20"/>
        <v>0</v>
      </c>
      <c r="X63" s="206" t="e">
        <f t="shared" si="20"/>
        <v>#DIV/0!</v>
      </c>
    </row>
    <row r="64" spans="1:24" s="1" customFormat="1" ht="15" customHeight="1" thickBot="1" x14ac:dyDescent="0.25">
      <c r="A64" s="696" t="s">
        <v>54</v>
      </c>
      <c r="B64" s="190">
        <v>0</v>
      </c>
      <c r="C64" s="724">
        <f t="shared" si="11"/>
        <v>0</v>
      </c>
      <c r="D64" s="190">
        <v>0</v>
      </c>
      <c r="E64" s="725">
        <f t="shared" si="12"/>
        <v>0</v>
      </c>
      <c r="F64" s="193">
        <v>0</v>
      </c>
      <c r="G64" s="725">
        <f t="shared" si="13"/>
        <v>0</v>
      </c>
      <c r="H64" s="193">
        <v>0</v>
      </c>
      <c r="I64" s="725">
        <f t="shared" si="14"/>
        <v>0</v>
      </c>
      <c r="J64" s="193">
        <f>0</f>
        <v>0</v>
      </c>
      <c r="K64" s="725">
        <f t="shared" si="15"/>
        <v>0</v>
      </c>
      <c r="L64" s="193">
        <v>0</v>
      </c>
      <c r="M64" s="725">
        <f>L64/M$54</f>
        <v>0</v>
      </c>
      <c r="N64" s="193">
        <v>0</v>
      </c>
      <c r="O64" s="725">
        <f>N64/O$54</f>
        <v>0</v>
      </c>
      <c r="P64" s="193">
        <v>0</v>
      </c>
      <c r="Q64" s="725">
        <f>P64/Q$54</f>
        <v>0</v>
      </c>
      <c r="R64" s="193">
        <v>0</v>
      </c>
      <c r="S64" s="725">
        <f>R64/S$54</f>
        <v>0</v>
      </c>
      <c r="T64" s="193"/>
      <c r="U64" s="726" t="e">
        <f>T64/U$54</f>
        <v>#DIV/0!</v>
      </c>
      <c r="V64" s="320"/>
      <c r="W64" s="727">
        <f t="shared" si="20"/>
        <v>0</v>
      </c>
      <c r="X64" s="728" t="e">
        <f t="shared" si="20"/>
        <v>#DIV/0!</v>
      </c>
    </row>
    <row r="65" spans="1:24" s="1" customFormat="1" ht="18" customHeight="1" x14ac:dyDescent="0.2">
      <c r="A65" s="680" t="s">
        <v>55</v>
      </c>
      <c r="B65" s="731"/>
      <c r="C65" s="732"/>
      <c r="D65" s="731"/>
      <c r="E65" s="733"/>
      <c r="F65" s="734"/>
      <c r="G65" s="733"/>
      <c r="H65" s="734"/>
      <c r="I65" s="733"/>
      <c r="J65" s="734"/>
      <c r="K65" s="733"/>
      <c r="L65" s="734"/>
      <c r="M65" s="733"/>
      <c r="N65" s="734"/>
      <c r="O65" s="733"/>
      <c r="P65" s="734"/>
      <c r="Q65" s="733"/>
      <c r="R65" s="734"/>
      <c r="S65" s="733"/>
      <c r="T65" s="734"/>
      <c r="U65" s="735"/>
      <c r="V65" s="320"/>
      <c r="W65" s="736"/>
      <c r="X65" s="737"/>
    </row>
    <row r="66" spans="1:24" s="1" customFormat="1" ht="15" customHeight="1" x14ac:dyDescent="0.2">
      <c r="A66" s="200" t="s">
        <v>56</v>
      </c>
      <c r="B66" s="208">
        <v>12</v>
      </c>
      <c r="C66" s="191">
        <f>B66/C$54</f>
        <v>0.75</v>
      </c>
      <c r="D66" s="208">
        <f>11+1</f>
        <v>12</v>
      </c>
      <c r="E66" s="192">
        <f>D66/E$54</f>
        <v>0.70588235294117652</v>
      </c>
      <c r="F66" s="209">
        <v>12</v>
      </c>
      <c r="G66" s="192">
        <f>F66/G$54</f>
        <v>0.66666666666666663</v>
      </c>
      <c r="H66" s="209">
        <v>12</v>
      </c>
      <c r="I66" s="192">
        <f>H66/I$54</f>
        <v>0.66666666666666663</v>
      </c>
      <c r="J66" s="209">
        <f>2+10</f>
        <v>12</v>
      </c>
      <c r="K66" s="192">
        <f>J66/K$54</f>
        <v>0.66666666666666663</v>
      </c>
      <c r="L66" s="209">
        <v>11</v>
      </c>
      <c r="M66" s="192">
        <f>L66/M$54</f>
        <v>0.57894736842105265</v>
      </c>
      <c r="N66" s="209">
        <f>1+12</f>
        <v>13</v>
      </c>
      <c r="O66" s="192">
        <f>N66/O$54</f>
        <v>0.68421052631578949</v>
      </c>
      <c r="P66" s="209">
        <v>14</v>
      </c>
      <c r="Q66" s="192">
        <f>P66/Q$54</f>
        <v>0.63636363636363635</v>
      </c>
      <c r="R66" s="209">
        <v>13</v>
      </c>
      <c r="S66" s="192">
        <f>R66/S$54</f>
        <v>0.65</v>
      </c>
      <c r="T66" s="209"/>
      <c r="U66" s="203" t="e">
        <f>T66/U$54</f>
        <v>#DIV/0!</v>
      </c>
      <c r="V66" s="320"/>
      <c r="W66" s="205">
        <f t="shared" si="20"/>
        <v>12.75</v>
      </c>
      <c r="X66" s="206" t="e">
        <f t="shared" si="20"/>
        <v>#DIV/0!</v>
      </c>
    </row>
    <row r="67" spans="1:24" s="1" customFormat="1" ht="15" customHeight="1" thickBot="1" x14ac:dyDescent="0.25">
      <c r="A67" s="696" t="s">
        <v>57</v>
      </c>
      <c r="B67" s="729">
        <v>4</v>
      </c>
      <c r="C67" s="724">
        <f>B67/C$54</f>
        <v>0.25</v>
      </c>
      <c r="D67" s="729">
        <f>4+1</f>
        <v>5</v>
      </c>
      <c r="E67" s="725">
        <f>D67/E$54</f>
        <v>0.29411764705882354</v>
      </c>
      <c r="F67" s="730">
        <v>6</v>
      </c>
      <c r="G67" s="725">
        <f>F67/G$54</f>
        <v>0.33333333333333331</v>
      </c>
      <c r="H67" s="730">
        <v>6</v>
      </c>
      <c r="I67" s="725">
        <f>H67/I$54</f>
        <v>0.33333333333333331</v>
      </c>
      <c r="J67" s="730">
        <f>1+5</f>
        <v>6</v>
      </c>
      <c r="K67" s="725">
        <f>J67/K$54</f>
        <v>0.33333333333333331</v>
      </c>
      <c r="L67" s="730">
        <v>8</v>
      </c>
      <c r="M67" s="725">
        <f>L67/M$54</f>
        <v>0.42105263157894735</v>
      </c>
      <c r="N67" s="730">
        <f>1+5</f>
        <v>6</v>
      </c>
      <c r="O67" s="725">
        <f>N67/O$54</f>
        <v>0.31578947368421051</v>
      </c>
      <c r="P67" s="730">
        <v>8</v>
      </c>
      <c r="Q67" s="725">
        <f>P67/Q$54</f>
        <v>0.36363636363636365</v>
      </c>
      <c r="R67" s="730">
        <v>7</v>
      </c>
      <c r="S67" s="725">
        <f>R67/S$54</f>
        <v>0.35</v>
      </c>
      <c r="T67" s="730"/>
      <c r="U67" s="726" t="e">
        <f>T67/U$54</f>
        <v>#DIV/0!</v>
      </c>
      <c r="V67" s="320"/>
      <c r="W67" s="727">
        <f t="shared" si="20"/>
        <v>7.25</v>
      </c>
      <c r="X67" s="728" t="e">
        <f t="shared" si="20"/>
        <v>#DIV/0!</v>
      </c>
    </row>
    <row r="68" spans="1:24" s="1" customFormat="1" ht="18" customHeight="1" x14ac:dyDescent="0.2">
      <c r="A68" s="680" t="s">
        <v>58</v>
      </c>
      <c r="B68" s="738"/>
      <c r="C68" s="739"/>
      <c r="D68" s="738"/>
      <c r="E68" s="740"/>
      <c r="F68" s="741"/>
      <c r="G68" s="740"/>
      <c r="H68" s="741"/>
      <c r="I68" s="740"/>
      <c r="J68" s="741"/>
      <c r="K68" s="740"/>
      <c r="L68" s="741"/>
      <c r="M68" s="740"/>
      <c r="N68" s="741"/>
      <c r="O68" s="740"/>
      <c r="P68" s="741"/>
      <c r="Q68" s="740"/>
      <c r="R68" s="741"/>
      <c r="S68" s="740"/>
      <c r="T68" s="741"/>
      <c r="U68" s="742"/>
      <c r="V68" s="320"/>
      <c r="W68" s="736"/>
      <c r="X68" s="737"/>
    </row>
    <row r="69" spans="1:24" s="1" customFormat="1" ht="15" customHeight="1" x14ac:dyDescent="0.2">
      <c r="A69" s="200" t="s">
        <v>59</v>
      </c>
      <c r="B69" s="210">
        <v>8</v>
      </c>
      <c r="C69" s="191">
        <f>B69/C$54</f>
        <v>0.5</v>
      </c>
      <c r="D69" s="210">
        <f>8+1</f>
        <v>9</v>
      </c>
      <c r="E69" s="192">
        <f>D69/E$54</f>
        <v>0.52941176470588236</v>
      </c>
      <c r="F69" s="211">
        <v>10</v>
      </c>
      <c r="G69" s="192">
        <f>F69/G$54</f>
        <v>0.55555555555555558</v>
      </c>
      <c r="H69" s="211">
        <v>12</v>
      </c>
      <c r="I69" s="192">
        <f>H69/I$54</f>
        <v>0.66666666666666663</v>
      </c>
      <c r="J69" s="211">
        <f>2+11</f>
        <v>13</v>
      </c>
      <c r="K69" s="192">
        <f>J69/K$54</f>
        <v>0.72222222222222221</v>
      </c>
      <c r="L69" s="211">
        <v>14</v>
      </c>
      <c r="M69" s="192">
        <f>L69/M$54</f>
        <v>0.73684210526315785</v>
      </c>
      <c r="N69" s="211">
        <f>1+12</f>
        <v>13</v>
      </c>
      <c r="O69" s="192">
        <f>N69/O$54</f>
        <v>0.68421052631578949</v>
      </c>
      <c r="P69" s="211">
        <v>13</v>
      </c>
      <c r="Q69" s="192">
        <f>P69/Q$54</f>
        <v>0.59090909090909094</v>
      </c>
      <c r="R69" s="211">
        <v>13</v>
      </c>
      <c r="S69" s="192">
        <f>R69/S$54</f>
        <v>0.65</v>
      </c>
      <c r="T69" s="211"/>
      <c r="U69" s="203" t="e">
        <f>T69/U$54</f>
        <v>#DIV/0!</v>
      </c>
      <c r="V69" s="320"/>
      <c r="W69" s="205">
        <f t="shared" si="20"/>
        <v>13.25</v>
      </c>
      <c r="X69" s="206" t="e">
        <f t="shared" si="20"/>
        <v>#DIV/0!</v>
      </c>
    </row>
    <row r="70" spans="1:24" s="1" customFormat="1" ht="15" customHeight="1" x14ac:dyDescent="0.2">
      <c r="A70" s="200" t="s">
        <v>60</v>
      </c>
      <c r="B70" s="210">
        <v>6</v>
      </c>
      <c r="C70" s="191">
        <f>B70/C$54</f>
        <v>0.375</v>
      </c>
      <c r="D70" s="210">
        <v>6</v>
      </c>
      <c r="E70" s="192">
        <f>D70/E$54</f>
        <v>0.35294117647058826</v>
      </c>
      <c r="F70" s="211">
        <v>6</v>
      </c>
      <c r="G70" s="192">
        <f>F70/G$54</f>
        <v>0.33333333333333331</v>
      </c>
      <c r="H70" s="211">
        <v>4</v>
      </c>
      <c r="I70" s="192">
        <f>H70/I$54</f>
        <v>0.22222222222222221</v>
      </c>
      <c r="J70" s="211">
        <f>3+0</f>
        <v>3</v>
      </c>
      <c r="K70" s="192">
        <f>J70/K$54</f>
        <v>0.16666666666666666</v>
      </c>
      <c r="L70" s="211">
        <v>2</v>
      </c>
      <c r="M70" s="192">
        <f>L70/M$54</f>
        <v>0.10526315789473684</v>
      </c>
      <c r="N70" s="211">
        <v>4</v>
      </c>
      <c r="O70" s="192">
        <f>N70/O$54</f>
        <v>0.21052631578947367</v>
      </c>
      <c r="P70" s="211">
        <v>4</v>
      </c>
      <c r="Q70" s="192">
        <f>P70/Q$54</f>
        <v>0.18181818181818182</v>
      </c>
      <c r="R70" s="211">
        <v>3</v>
      </c>
      <c r="S70" s="192">
        <f>R70/S$54</f>
        <v>0.15</v>
      </c>
      <c r="T70" s="211"/>
      <c r="U70" s="203" t="e">
        <f>T70/U$54</f>
        <v>#DIV/0!</v>
      </c>
      <c r="V70" s="320"/>
      <c r="W70" s="205">
        <f t="shared" si="20"/>
        <v>3.25</v>
      </c>
      <c r="X70" s="206" t="e">
        <f t="shared" si="20"/>
        <v>#DIV/0!</v>
      </c>
    </row>
    <row r="71" spans="1:24" s="1" customFormat="1" ht="15" customHeight="1" thickBot="1" x14ac:dyDescent="0.25">
      <c r="A71" s="696" t="s">
        <v>61</v>
      </c>
      <c r="B71" s="729">
        <v>2</v>
      </c>
      <c r="C71" s="724">
        <f>B71/C$54</f>
        <v>0.125</v>
      </c>
      <c r="D71" s="729">
        <f>1+1</f>
        <v>2</v>
      </c>
      <c r="E71" s="725">
        <f>D71/E$54</f>
        <v>0.11764705882352941</v>
      </c>
      <c r="F71" s="730">
        <v>2</v>
      </c>
      <c r="G71" s="725">
        <f>F71/G$54</f>
        <v>0.1111111111111111</v>
      </c>
      <c r="H71" s="730">
        <v>2</v>
      </c>
      <c r="I71" s="725">
        <f>H71/I$54</f>
        <v>0.1111111111111111</v>
      </c>
      <c r="J71" s="730">
        <f>1+1</f>
        <v>2</v>
      </c>
      <c r="K71" s="725">
        <f>J71/K$54</f>
        <v>0.1111111111111111</v>
      </c>
      <c r="L71" s="730">
        <v>3</v>
      </c>
      <c r="M71" s="725">
        <f>L71/M$54</f>
        <v>0.15789473684210525</v>
      </c>
      <c r="N71" s="730">
        <f>1+1</f>
        <v>2</v>
      </c>
      <c r="O71" s="725">
        <f>N71/O$54</f>
        <v>0.10526315789473684</v>
      </c>
      <c r="P71" s="730">
        <v>5</v>
      </c>
      <c r="Q71" s="725">
        <f>P71/Q$54</f>
        <v>0.22727272727272727</v>
      </c>
      <c r="R71" s="730">
        <v>4</v>
      </c>
      <c r="S71" s="725">
        <f>R71/S$54</f>
        <v>0.2</v>
      </c>
      <c r="T71" s="730"/>
      <c r="U71" s="726" t="e">
        <f>T71/U$54</f>
        <v>#DIV/0!</v>
      </c>
      <c r="V71" s="320"/>
      <c r="W71" s="727">
        <f t="shared" si="20"/>
        <v>3.5</v>
      </c>
      <c r="X71" s="728" t="e">
        <f t="shared" si="20"/>
        <v>#DIV/0!</v>
      </c>
    </row>
    <row r="72" spans="1:24" s="1" customFormat="1" ht="18" customHeight="1" x14ac:dyDescent="0.2">
      <c r="A72" s="680" t="s">
        <v>62</v>
      </c>
      <c r="B72" s="738"/>
      <c r="C72" s="739"/>
      <c r="D72" s="738"/>
      <c r="E72" s="740"/>
      <c r="F72" s="741"/>
      <c r="G72" s="740"/>
      <c r="H72" s="741"/>
      <c r="I72" s="740"/>
      <c r="J72" s="741"/>
      <c r="K72" s="740"/>
      <c r="L72" s="741"/>
      <c r="M72" s="740"/>
      <c r="N72" s="741"/>
      <c r="O72" s="740"/>
      <c r="P72" s="741"/>
      <c r="Q72" s="740"/>
      <c r="R72" s="741"/>
      <c r="S72" s="740"/>
      <c r="T72" s="741"/>
      <c r="U72" s="742"/>
      <c r="V72" s="320"/>
      <c r="W72" s="736"/>
      <c r="X72" s="737"/>
    </row>
    <row r="73" spans="1:24" s="1" customFormat="1" ht="15" customHeight="1" x14ac:dyDescent="0.2">
      <c r="A73" s="200" t="s">
        <v>63</v>
      </c>
      <c r="B73" s="210">
        <v>16</v>
      </c>
      <c r="C73" s="191">
        <f>B73/C$54</f>
        <v>1</v>
      </c>
      <c r="D73" s="210">
        <f>15+2</f>
        <v>17</v>
      </c>
      <c r="E73" s="192">
        <f>D73/E$54</f>
        <v>1</v>
      </c>
      <c r="F73" s="211">
        <v>18</v>
      </c>
      <c r="G73" s="192">
        <f>F73/G$54</f>
        <v>1</v>
      </c>
      <c r="H73" s="211">
        <v>18</v>
      </c>
      <c r="I73" s="192">
        <f>H73/I$54</f>
        <v>1</v>
      </c>
      <c r="J73" s="211">
        <f>15+3</f>
        <v>18</v>
      </c>
      <c r="K73" s="192">
        <f>J73/K$54</f>
        <v>1</v>
      </c>
      <c r="L73" s="211">
        <v>19</v>
      </c>
      <c r="M73" s="192">
        <f>L73/M$54</f>
        <v>1</v>
      </c>
      <c r="N73" s="211">
        <f>2+17</f>
        <v>19</v>
      </c>
      <c r="O73" s="192">
        <f>N73/O$54</f>
        <v>1</v>
      </c>
      <c r="P73" s="211">
        <v>21</v>
      </c>
      <c r="Q73" s="192">
        <f>P73/Q$54</f>
        <v>0.95454545454545459</v>
      </c>
      <c r="R73" s="211">
        <v>20</v>
      </c>
      <c r="S73" s="192">
        <f>R73/S$54</f>
        <v>1</v>
      </c>
      <c r="T73" s="211"/>
      <c r="U73" s="203" t="e">
        <f>T73/U$54</f>
        <v>#DIV/0!</v>
      </c>
      <c r="V73" s="320"/>
      <c r="W73" s="205">
        <f t="shared" si="20"/>
        <v>19.75</v>
      </c>
      <c r="X73" s="206" t="e">
        <f t="shared" si="20"/>
        <v>#DIV/0!</v>
      </c>
    </row>
    <row r="74" spans="1:24" s="1" customFormat="1" ht="15" customHeight="1" x14ac:dyDescent="0.2">
      <c r="A74" s="200" t="s">
        <v>64</v>
      </c>
      <c r="B74" s="210">
        <v>0</v>
      </c>
      <c r="C74" s="191">
        <f>B74/C$54</f>
        <v>0</v>
      </c>
      <c r="D74" s="210">
        <v>0</v>
      </c>
      <c r="E74" s="192">
        <f>D74/E$54</f>
        <v>0</v>
      </c>
      <c r="F74" s="211">
        <v>0</v>
      </c>
      <c r="G74" s="192">
        <f>F74/G$54</f>
        <v>0</v>
      </c>
      <c r="H74" s="211">
        <v>0</v>
      </c>
      <c r="I74" s="192">
        <f>H74/I$54</f>
        <v>0</v>
      </c>
      <c r="J74" s="211">
        <f>0+0</f>
        <v>0</v>
      </c>
      <c r="K74" s="192">
        <f>J74/K$54</f>
        <v>0</v>
      </c>
      <c r="L74" s="211">
        <v>0</v>
      </c>
      <c r="M74" s="192">
        <f>L74/M$54</f>
        <v>0</v>
      </c>
      <c r="N74" s="211">
        <v>0</v>
      </c>
      <c r="O74" s="192">
        <f>N74/O$54</f>
        <v>0</v>
      </c>
      <c r="P74" s="211">
        <v>1</v>
      </c>
      <c r="Q74" s="192">
        <f>P74/Q$54</f>
        <v>4.5454545454545456E-2</v>
      </c>
      <c r="R74" s="211">
        <v>0</v>
      </c>
      <c r="S74" s="192">
        <f>R74/S$54</f>
        <v>0</v>
      </c>
      <c r="T74" s="211"/>
      <c r="U74" s="203" t="e">
        <f>T74/U$54</f>
        <v>#DIV/0!</v>
      </c>
      <c r="V74" s="320"/>
      <c r="W74" s="205">
        <f t="shared" si="20"/>
        <v>0.25</v>
      </c>
      <c r="X74" s="206" t="e">
        <f t="shared" si="20"/>
        <v>#DIV/0!</v>
      </c>
    </row>
    <row r="75" spans="1:24" s="1" customFormat="1" ht="15" customHeight="1" x14ac:dyDescent="0.2">
      <c r="A75" s="200" t="s">
        <v>65</v>
      </c>
      <c r="B75" s="210">
        <v>0</v>
      </c>
      <c r="C75" s="191">
        <f>B75/C$54</f>
        <v>0</v>
      </c>
      <c r="D75" s="210">
        <v>0</v>
      </c>
      <c r="E75" s="192">
        <f>D75/E$54</f>
        <v>0</v>
      </c>
      <c r="F75" s="211">
        <v>0</v>
      </c>
      <c r="G75" s="192">
        <f>F75/G$54</f>
        <v>0</v>
      </c>
      <c r="H75" s="211">
        <v>0</v>
      </c>
      <c r="I75" s="192">
        <f>H75/I$54</f>
        <v>0</v>
      </c>
      <c r="J75" s="211">
        <v>0</v>
      </c>
      <c r="K75" s="192">
        <f>J75/K$54</f>
        <v>0</v>
      </c>
      <c r="L75" s="211">
        <v>0</v>
      </c>
      <c r="M75" s="192">
        <f>L75/M$54</f>
        <v>0</v>
      </c>
      <c r="N75" s="211">
        <v>0</v>
      </c>
      <c r="O75" s="192">
        <f>N75/O$54</f>
        <v>0</v>
      </c>
      <c r="P75" s="211">
        <v>0</v>
      </c>
      <c r="Q75" s="192">
        <f>P75/Q$54</f>
        <v>0</v>
      </c>
      <c r="R75" s="211">
        <v>0</v>
      </c>
      <c r="S75" s="192">
        <f>R75/S$54</f>
        <v>0</v>
      </c>
      <c r="T75" s="211"/>
      <c r="U75" s="203" t="e">
        <f>T75/U$54</f>
        <v>#DIV/0!</v>
      </c>
      <c r="V75" s="195"/>
      <c r="W75" s="205">
        <f t="shared" si="20"/>
        <v>0</v>
      </c>
      <c r="X75" s="206" t="e">
        <f t="shared" si="20"/>
        <v>#DIV/0!</v>
      </c>
    </row>
    <row r="76" spans="1:24" s="1" customFormat="1" ht="15" customHeight="1" thickBot="1" x14ac:dyDescent="0.25">
      <c r="A76" s="212" t="s">
        <v>66</v>
      </c>
      <c r="B76" s="246">
        <v>0</v>
      </c>
      <c r="C76" s="214">
        <f>B76/C$54</f>
        <v>0</v>
      </c>
      <c r="D76" s="246">
        <v>0</v>
      </c>
      <c r="E76" s="215">
        <f>D76/E$54</f>
        <v>0</v>
      </c>
      <c r="F76" s="217">
        <v>0</v>
      </c>
      <c r="G76" s="215">
        <f>F76/G$54</f>
        <v>0</v>
      </c>
      <c r="H76" s="217">
        <v>0</v>
      </c>
      <c r="I76" s="215">
        <f>H76/I$54</f>
        <v>0</v>
      </c>
      <c r="J76" s="217">
        <v>0</v>
      </c>
      <c r="K76" s="215">
        <f>J76/K$54</f>
        <v>0</v>
      </c>
      <c r="L76" s="217">
        <v>0</v>
      </c>
      <c r="M76" s="215">
        <f>L76/M$54</f>
        <v>0</v>
      </c>
      <c r="N76" s="217">
        <v>0</v>
      </c>
      <c r="O76" s="215">
        <f>N76/O$54</f>
        <v>0</v>
      </c>
      <c r="P76" s="217">
        <v>0</v>
      </c>
      <c r="Q76" s="215">
        <f>P76/Q$54</f>
        <v>0</v>
      </c>
      <c r="R76" s="217">
        <v>0</v>
      </c>
      <c r="S76" s="215">
        <f>R76/S$54</f>
        <v>0</v>
      </c>
      <c r="T76" s="217"/>
      <c r="U76" s="218" t="e">
        <f>T76/U$54</f>
        <v>#DIV/0!</v>
      </c>
      <c r="V76" s="195"/>
      <c r="W76" s="219">
        <f t="shared" si="20"/>
        <v>0</v>
      </c>
      <c r="X76" s="220" t="e">
        <f t="shared" si="20"/>
        <v>#DIV/0!</v>
      </c>
    </row>
    <row r="77" spans="1:24" ht="13.5" thickTop="1" x14ac:dyDescent="0.2">
      <c r="A77" s="743" t="s">
        <v>248</v>
      </c>
    </row>
    <row r="78" spans="1:24" x14ac:dyDescent="0.2">
      <c r="A78" s="1"/>
      <c r="H78" s="65" t="s">
        <v>19</v>
      </c>
      <c r="J78" s="65" t="s">
        <v>19</v>
      </c>
      <c r="L78" s="65" t="s">
        <v>19</v>
      </c>
      <c r="N78" s="65" t="s">
        <v>19</v>
      </c>
      <c r="P78" s="65" t="s">
        <v>19</v>
      </c>
      <c r="R78" s="65" t="s">
        <v>19</v>
      </c>
      <c r="T78" s="65"/>
    </row>
    <row r="79" spans="1:24" x14ac:dyDescent="0.2">
      <c r="A79" s="1"/>
    </row>
    <row r="80" spans="1:24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x14ac:dyDescent="0.2">
      <c r="A84" s="1"/>
    </row>
    <row r="85" spans="1:1" x14ac:dyDescent="0.2">
      <c r="A85" s="1"/>
    </row>
    <row r="86" spans="1:1" x14ac:dyDescent="0.2">
      <c r="A86" s="1"/>
    </row>
    <row r="87" spans="1:1" x14ac:dyDescent="0.2">
      <c r="A87" s="1"/>
    </row>
    <row r="88" spans="1:1" x14ac:dyDescent="0.2">
      <c r="A88" s="1"/>
    </row>
    <row r="89" spans="1:1" x14ac:dyDescent="0.2">
      <c r="A89" s="1"/>
    </row>
    <row r="90" spans="1:1" x14ac:dyDescent="0.2">
      <c r="A90" s="1"/>
    </row>
    <row r="91" spans="1:1" x14ac:dyDescent="0.2">
      <c r="A91" s="1"/>
    </row>
    <row r="92" spans="1:1" x14ac:dyDescent="0.2">
      <c r="A92" s="1"/>
    </row>
    <row r="93" spans="1:1" x14ac:dyDescent="0.2">
      <c r="A93" s="1"/>
    </row>
    <row r="94" spans="1:1" x14ac:dyDescent="0.2">
      <c r="A94" s="1"/>
    </row>
    <row r="95" spans="1:1" x14ac:dyDescent="0.2">
      <c r="A95" s="1"/>
    </row>
    <row r="96" spans="1:1" x14ac:dyDescent="0.2">
      <c r="A96" s="1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x14ac:dyDescent="0.2">
      <c r="A100" s="1"/>
    </row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x14ac:dyDescent="0.2">
      <c r="A107" s="1"/>
    </row>
    <row r="108" spans="1:1" x14ac:dyDescent="0.2">
      <c r="A108" s="1"/>
    </row>
    <row r="109" spans="1:1" x14ac:dyDescent="0.2">
      <c r="A109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x14ac:dyDescent="0.2">
      <c r="A120" s="1"/>
    </row>
    <row r="121" spans="1:1" x14ac:dyDescent="0.2">
      <c r="A121" s="1"/>
    </row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x14ac:dyDescent="0.2">
      <c r="A128" s="1"/>
    </row>
    <row r="129" spans="1:1" x14ac:dyDescent="0.2">
      <c r="A129" s="1"/>
    </row>
    <row r="130" spans="1:1" x14ac:dyDescent="0.2">
      <c r="A130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x14ac:dyDescent="0.2">
      <c r="A152" s="1"/>
    </row>
    <row r="153" spans="1:1" x14ac:dyDescent="0.2">
      <c r="A153" s="1"/>
    </row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  <row r="177" spans="1:1" x14ac:dyDescent="0.2">
      <c r="A177" s="1"/>
    </row>
    <row r="178" spans="1:1" x14ac:dyDescent="0.2">
      <c r="A178" s="1"/>
    </row>
    <row r="179" spans="1:1" x14ac:dyDescent="0.2">
      <c r="A179" s="1"/>
    </row>
    <row r="180" spans="1:1" x14ac:dyDescent="0.2">
      <c r="A180" s="1"/>
    </row>
    <row r="181" spans="1:1" x14ac:dyDescent="0.2">
      <c r="A181" s="1"/>
    </row>
    <row r="182" spans="1:1" x14ac:dyDescent="0.2">
      <c r="A182" s="1"/>
    </row>
    <row r="183" spans="1:1" x14ac:dyDescent="0.2">
      <c r="A183" s="1"/>
    </row>
    <row r="184" spans="1:1" x14ac:dyDescent="0.2">
      <c r="A184" s="1"/>
    </row>
    <row r="185" spans="1:1" x14ac:dyDescent="0.2">
      <c r="A185" s="1"/>
    </row>
    <row r="186" spans="1:1" x14ac:dyDescent="0.2">
      <c r="A186" s="1"/>
    </row>
    <row r="187" spans="1:1" x14ac:dyDescent="0.2">
      <c r="A187" s="1"/>
    </row>
    <row r="188" spans="1:1" x14ac:dyDescent="0.2">
      <c r="A188" s="1"/>
    </row>
    <row r="189" spans="1:1" x14ac:dyDescent="0.2">
      <c r="A189" s="1"/>
    </row>
    <row r="190" spans="1:1" x14ac:dyDescent="0.2">
      <c r="A190" s="1"/>
    </row>
    <row r="191" spans="1:1" x14ac:dyDescent="0.2">
      <c r="A191" s="1"/>
    </row>
    <row r="192" spans="1:1" x14ac:dyDescent="0.2">
      <c r="A192" s="1"/>
    </row>
    <row r="193" spans="1:1" x14ac:dyDescent="0.2">
      <c r="A193" s="1"/>
    </row>
    <row r="194" spans="1:1" x14ac:dyDescent="0.2">
      <c r="A194" s="1"/>
    </row>
    <row r="195" spans="1:1" x14ac:dyDescent="0.2">
      <c r="A195" s="1"/>
    </row>
    <row r="196" spans="1:1" x14ac:dyDescent="0.2">
      <c r="A196" s="1"/>
    </row>
    <row r="197" spans="1:1" x14ac:dyDescent="0.2">
      <c r="A197" s="1"/>
    </row>
    <row r="198" spans="1:1" x14ac:dyDescent="0.2">
      <c r="A198" s="1"/>
    </row>
    <row r="199" spans="1:1" x14ac:dyDescent="0.2">
      <c r="A199" s="1"/>
    </row>
    <row r="200" spans="1:1" x14ac:dyDescent="0.2">
      <c r="A200" s="1"/>
    </row>
    <row r="201" spans="1:1" x14ac:dyDescent="0.2">
      <c r="A201" s="1"/>
    </row>
    <row r="202" spans="1:1" x14ac:dyDescent="0.2">
      <c r="A202" s="1"/>
    </row>
    <row r="203" spans="1:1" x14ac:dyDescent="0.2">
      <c r="A203" s="1"/>
    </row>
    <row r="204" spans="1:1" x14ac:dyDescent="0.2">
      <c r="A204" s="1"/>
    </row>
    <row r="205" spans="1:1" x14ac:dyDescent="0.2">
      <c r="A205" s="1"/>
    </row>
    <row r="206" spans="1:1" x14ac:dyDescent="0.2">
      <c r="A206" s="1"/>
    </row>
    <row r="207" spans="1:1" x14ac:dyDescent="0.2">
      <c r="A207" s="1"/>
    </row>
    <row r="208" spans="1:1" x14ac:dyDescent="0.2">
      <c r="A208" s="1"/>
    </row>
    <row r="209" spans="1:1" x14ac:dyDescent="0.2">
      <c r="A209" s="1"/>
    </row>
    <row r="210" spans="1:1" x14ac:dyDescent="0.2">
      <c r="A210" s="1"/>
    </row>
    <row r="211" spans="1:1" x14ac:dyDescent="0.2">
      <c r="A211" s="1"/>
    </row>
    <row r="212" spans="1:1" x14ac:dyDescent="0.2">
      <c r="A212" s="1"/>
    </row>
    <row r="213" spans="1:1" x14ac:dyDescent="0.2">
      <c r="A213" s="1"/>
    </row>
    <row r="214" spans="1:1" x14ac:dyDescent="0.2">
      <c r="A214" s="1"/>
    </row>
    <row r="215" spans="1:1" x14ac:dyDescent="0.2">
      <c r="A215" s="1"/>
    </row>
    <row r="216" spans="1:1" x14ac:dyDescent="0.2">
      <c r="A216" s="1"/>
    </row>
    <row r="217" spans="1:1" x14ac:dyDescent="0.2">
      <c r="A217" s="1"/>
    </row>
    <row r="218" spans="1:1" x14ac:dyDescent="0.2">
      <c r="A218" s="1"/>
    </row>
    <row r="219" spans="1:1" x14ac:dyDescent="0.2">
      <c r="A219" s="1"/>
    </row>
    <row r="220" spans="1:1" x14ac:dyDescent="0.2">
      <c r="A220" s="1"/>
    </row>
    <row r="221" spans="1:1" x14ac:dyDescent="0.2">
      <c r="A221" s="1"/>
    </row>
    <row r="222" spans="1:1" x14ac:dyDescent="0.2">
      <c r="A222" s="1"/>
    </row>
    <row r="223" spans="1:1" x14ac:dyDescent="0.2">
      <c r="A223" s="1"/>
    </row>
    <row r="224" spans="1:1" x14ac:dyDescent="0.2">
      <c r="A224" s="1"/>
    </row>
    <row r="225" spans="1:1" x14ac:dyDescent="0.2">
      <c r="A225" s="1"/>
    </row>
    <row r="226" spans="1:1" x14ac:dyDescent="0.2">
      <c r="A226" s="1"/>
    </row>
    <row r="227" spans="1:1" x14ac:dyDescent="0.2">
      <c r="A227" s="1"/>
    </row>
    <row r="228" spans="1:1" x14ac:dyDescent="0.2">
      <c r="A228" s="1"/>
    </row>
    <row r="229" spans="1:1" x14ac:dyDescent="0.2">
      <c r="A229" s="1"/>
    </row>
    <row r="230" spans="1:1" x14ac:dyDescent="0.2">
      <c r="A230" s="1"/>
    </row>
    <row r="231" spans="1:1" x14ac:dyDescent="0.2">
      <c r="A231" s="1"/>
    </row>
    <row r="232" spans="1:1" x14ac:dyDescent="0.2">
      <c r="A232" s="1"/>
    </row>
    <row r="233" spans="1:1" x14ac:dyDescent="0.2">
      <c r="A233" s="1"/>
    </row>
    <row r="234" spans="1:1" x14ac:dyDescent="0.2">
      <c r="A234" s="1"/>
    </row>
    <row r="235" spans="1:1" x14ac:dyDescent="0.2">
      <c r="A235" s="1"/>
    </row>
    <row r="236" spans="1:1" x14ac:dyDescent="0.2">
      <c r="A236" s="1"/>
    </row>
    <row r="237" spans="1:1" x14ac:dyDescent="0.2">
      <c r="A237" s="1"/>
    </row>
    <row r="238" spans="1:1" x14ac:dyDescent="0.2">
      <c r="A238" s="1"/>
    </row>
    <row r="239" spans="1:1" x14ac:dyDescent="0.2">
      <c r="A239" s="1"/>
    </row>
    <row r="240" spans="1:1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6" spans="1:1" x14ac:dyDescent="0.2">
      <c r="A296" s="1"/>
    </row>
    <row r="297" spans="1:1" x14ac:dyDescent="0.2">
      <c r="A297" s="1"/>
    </row>
    <row r="298" spans="1:1" x14ac:dyDescent="0.2">
      <c r="A298" s="1"/>
    </row>
    <row r="299" spans="1:1" x14ac:dyDescent="0.2">
      <c r="A299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  <row r="303" spans="1:1" x14ac:dyDescent="0.2">
      <c r="A303" s="1"/>
    </row>
    <row r="304" spans="1:1" x14ac:dyDescent="0.2">
      <c r="A304" s="1"/>
    </row>
    <row r="305" spans="1:1" x14ac:dyDescent="0.2">
      <c r="A305" s="1"/>
    </row>
    <row r="306" spans="1:1" x14ac:dyDescent="0.2">
      <c r="A306" s="1"/>
    </row>
    <row r="307" spans="1:1" x14ac:dyDescent="0.2">
      <c r="A307" s="1"/>
    </row>
    <row r="308" spans="1:1" x14ac:dyDescent="0.2">
      <c r="A308" s="1"/>
    </row>
    <row r="309" spans="1:1" x14ac:dyDescent="0.2">
      <c r="A309" s="1"/>
    </row>
    <row r="310" spans="1:1" x14ac:dyDescent="0.2">
      <c r="A310" s="1"/>
    </row>
    <row r="311" spans="1:1" x14ac:dyDescent="0.2">
      <c r="A311" s="1"/>
    </row>
    <row r="312" spans="1:1" x14ac:dyDescent="0.2">
      <c r="A312" s="1"/>
    </row>
    <row r="313" spans="1:1" x14ac:dyDescent="0.2">
      <c r="A313" s="1"/>
    </row>
    <row r="314" spans="1:1" x14ac:dyDescent="0.2">
      <c r="A314" s="1"/>
    </row>
    <row r="315" spans="1:1" x14ac:dyDescent="0.2">
      <c r="A315" s="1"/>
    </row>
    <row r="316" spans="1:1" x14ac:dyDescent="0.2">
      <c r="A316" s="1"/>
    </row>
    <row r="317" spans="1:1" x14ac:dyDescent="0.2">
      <c r="A317" s="1"/>
    </row>
    <row r="318" spans="1:1" x14ac:dyDescent="0.2">
      <c r="A318" s="1"/>
    </row>
    <row r="319" spans="1:1" x14ac:dyDescent="0.2">
      <c r="A319" s="1"/>
    </row>
    <row r="320" spans="1:1" x14ac:dyDescent="0.2">
      <c r="A320" s="1"/>
    </row>
    <row r="321" spans="1:1" x14ac:dyDescent="0.2">
      <c r="A321" s="1"/>
    </row>
    <row r="322" spans="1:1" x14ac:dyDescent="0.2">
      <c r="A322" s="1"/>
    </row>
    <row r="323" spans="1:1" x14ac:dyDescent="0.2">
      <c r="A323" s="1"/>
    </row>
    <row r="324" spans="1:1" x14ac:dyDescent="0.2">
      <c r="A324" s="1"/>
    </row>
    <row r="325" spans="1:1" x14ac:dyDescent="0.2">
      <c r="A325" s="1"/>
    </row>
    <row r="326" spans="1:1" x14ac:dyDescent="0.2">
      <c r="A326" s="1"/>
    </row>
    <row r="327" spans="1:1" x14ac:dyDescent="0.2">
      <c r="A327" s="1"/>
    </row>
    <row r="328" spans="1:1" x14ac:dyDescent="0.2">
      <c r="A328" s="1"/>
    </row>
    <row r="329" spans="1:1" x14ac:dyDescent="0.2">
      <c r="A329" s="1"/>
    </row>
    <row r="330" spans="1:1" x14ac:dyDescent="0.2">
      <c r="A330" s="1"/>
    </row>
    <row r="331" spans="1:1" x14ac:dyDescent="0.2">
      <c r="A331" s="1"/>
    </row>
    <row r="332" spans="1:1" x14ac:dyDescent="0.2">
      <c r="A332" s="1"/>
    </row>
    <row r="333" spans="1:1" x14ac:dyDescent="0.2">
      <c r="A333" s="1"/>
    </row>
    <row r="334" spans="1:1" x14ac:dyDescent="0.2">
      <c r="A334" s="1"/>
    </row>
    <row r="335" spans="1:1" x14ac:dyDescent="0.2">
      <c r="A335" s="1"/>
    </row>
    <row r="336" spans="1:1" x14ac:dyDescent="0.2">
      <c r="A336" s="1"/>
    </row>
    <row r="337" spans="1:1" x14ac:dyDescent="0.2">
      <c r="A337" s="1"/>
    </row>
    <row r="338" spans="1:1" x14ac:dyDescent="0.2">
      <c r="A338" s="1"/>
    </row>
    <row r="339" spans="1:1" x14ac:dyDescent="0.2">
      <c r="A339" s="1"/>
    </row>
    <row r="340" spans="1:1" x14ac:dyDescent="0.2">
      <c r="A340" s="1"/>
    </row>
    <row r="341" spans="1:1" x14ac:dyDescent="0.2">
      <c r="A341" s="1"/>
    </row>
    <row r="342" spans="1:1" x14ac:dyDescent="0.2">
      <c r="A342" s="1"/>
    </row>
    <row r="343" spans="1:1" x14ac:dyDescent="0.2">
      <c r="A343" s="1"/>
    </row>
    <row r="344" spans="1:1" x14ac:dyDescent="0.2">
      <c r="A344" s="1"/>
    </row>
    <row r="345" spans="1:1" x14ac:dyDescent="0.2">
      <c r="A345" s="1"/>
    </row>
    <row r="346" spans="1:1" x14ac:dyDescent="0.2">
      <c r="A346" s="1"/>
    </row>
    <row r="347" spans="1:1" x14ac:dyDescent="0.2">
      <c r="A347" s="1"/>
    </row>
    <row r="348" spans="1:1" x14ac:dyDescent="0.2">
      <c r="A348" s="1"/>
    </row>
    <row r="349" spans="1:1" x14ac:dyDescent="0.2">
      <c r="A349" s="1"/>
    </row>
    <row r="350" spans="1:1" x14ac:dyDescent="0.2">
      <c r="A350" s="1"/>
    </row>
    <row r="351" spans="1:1" x14ac:dyDescent="0.2">
      <c r="A351" s="1"/>
    </row>
    <row r="352" spans="1:1" x14ac:dyDescent="0.2">
      <c r="A352" s="1"/>
    </row>
    <row r="353" spans="1:1" x14ac:dyDescent="0.2">
      <c r="A353" s="1"/>
    </row>
    <row r="354" spans="1:1" x14ac:dyDescent="0.2">
      <c r="A354" s="1"/>
    </row>
    <row r="355" spans="1:1" x14ac:dyDescent="0.2">
      <c r="A355" s="1"/>
    </row>
    <row r="356" spans="1:1" x14ac:dyDescent="0.2">
      <c r="A356" s="1"/>
    </row>
    <row r="357" spans="1:1" x14ac:dyDescent="0.2">
      <c r="A357" s="1"/>
    </row>
    <row r="358" spans="1:1" x14ac:dyDescent="0.2">
      <c r="A358" s="1"/>
    </row>
    <row r="359" spans="1:1" x14ac:dyDescent="0.2">
      <c r="A359" s="1"/>
    </row>
    <row r="360" spans="1:1" x14ac:dyDescent="0.2">
      <c r="A360" s="1"/>
    </row>
    <row r="361" spans="1:1" x14ac:dyDescent="0.2">
      <c r="A361" s="1"/>
    </row>
    <row r="362" spans="1:1" x14ac:dyDescent="0.2">
      <c r="A362" s="1"/>
    </row>
    <row r="363" spans="1:1" x14ac:dyDescent="0.2">
      <c r="A363" s="1"/>
    </row>
    <row r="364" spans="1:1" x14ac:dyDescent="0.2">
      <c r="A364" s="1"/>
    </row>
    <row r="365" spans="1:1" x14ac:dyDescent="0.2">
      <c r="A365" s="1"/>
    </row>
    <row r="366" spans="1:1" x14ac:dyDescent="0.2">
      <c r="A366" s="1"/>
    </row>
    <row r="367" spans="1:1" x14ac:dyDescent="0.2">
      <c r="A367" s="1"/>
    </row>
    <row r="368" spans="1:1" x14ac:dyDescent="0.2">
      <c r="A368" s="1"/>
    </row>
    <row r="369" spans="1:1" x14ac:dyDescent="0.2">
      <c r="A369" s="1"/>
    </row>
    <row r="370" spans="1:1" x14ac:dyDescent="0.2">
      <c r="A370" s="1"/>
    </row>
    <row r="371" spans="1:1" x14ac:dyDescent="0.2">
      <c r="A371" s="1"/>
    </row>
    <row r="372" spans="1:1" x14ac:dyDescent="0.2">
      <c r="A372" s="1"/>
    </row>
    <row r="373" spans="1:1" x14ac:dyDescent="0.2">
      <c r="A373" s="1"/>
    </row>
    <row r="374" spans="1:1" x14ac:dyDescent="0.2">
      <c r="A374" s="1"/>
    </row>
    <row r="375" spans="1:1" x14ac:dyDescent="0.2">
      <c r="A375" s="1"/>
    </row>
    <row r="376" spans="1:1" x14ac:dyDescent="0.2">
      <c r="A376" s="1"/>
    </row>
    <row r="377" spans="1:1" x14ac:dyDescent="0.2">
      <c r="A377" s="1"/>
    </row>
    <row r="378" spans="1:1" x14ac:dyDescent="0.2">
      <c r="A378" s="1"/>
    </row>
    <row r="379" spans="1:1" x14ac:dyDescent="0.2">
      <c r="A379" s="1"/>
    </row>
    <row r="380" spans="1:1" x14ac:dyDescent="0.2">
      <c r="A380" s="1"/>
    </row>
    <row r="381" spans="1:1" x14ac:dyDescent="0.2">
      <c r="A381" s="1"/>
    </row>
    <row r="382" spans="1:1" x14ac:dyDescent="0.2">
      <c r="A382" s="1"/>
    </row>
    <row r="383" spans="1:1" x14ac:dyDescent="0.2">
      <c r="A383" s="1"/>
    </row>
    <row r="384" spans="1:1" x14ac:dyDescent="0.2">
      <c r="A384" s="1"/>
    </row>
    <row r="385" spans="1:1" x14ac:dyDescent="0.2">
      <c r="A385" s="1"/>
    </row>
    <row r="386" spans="1:1" x14ac:dyDescent="0.2">
      <c r="A386" s="1"/>
    </row>
    <row r="387" spans="1:1" x14ac:dyDescent="0.2">
      <c r="A387" s="1"/>
    </row>
    <row r="388" spans="1:1" x14ac:dyDescent="0.2">
      <c r="A388" s="1"/>
    </row>
    <row r="389" spans="1:1" x14ac:dyDescent="0.2">
      <c r="A389" s="1"/>
    </row>
    <row r="390" spans="1:1" x14ac:dyDescent="0.2">
      <c r="A390" s="1"/>
    </row>
    <row r="391" spans="1:1" x14ac:dyDescent="0.2">
      <c r="A391" s="1"/>
    </row>
    <row r="392" spans="1:1" x14ac:dyDescent="0.2">
      <c r="A392" s="1"/>
    </row>
    <row r="393" spans="1:1" x14ac:dyDescent="0.2">
      <c r="A393" s="1"/>
    </row>
    <row r="394" spans="1:1" x14ac:dyDescent="0.2">
      <c r="A394" s="1"/>
    </row>
    <row r="395" spans="1:1" x14ac:dyDescent="0.2">
      <c r="A395" s="1"/>
    </row>
    <row r="396" spans="1:1" x14ac:dyDescent="0.2">
      <c r="A396" s="1"/>
    </row>
    <row r="397" spans="1:1" x14ac:dyDescent="0.2">
      <c r="A397" s="1"/>
    </row>
    <row r="398" spans="1:1" x14ac:dyDescent="0.2">
      <c r="A398" s="1"/>
    </row>
    <row r="399" spans="1:1" x14ac:dyDescent="0.2">
      <c r="A399" s="1"/>
    </row>
    <row r="400" spans="1:1" x14ac:dyDescent="0.2">
      <c r="A400" s="1"/>
    </row>
    <row r="401" spans="1:1" x14ac:dyDescent="0.2">
      <c r="A401" s="1"/>
    </row>
    <row r="402" spans="1:1" x14ac:dyDescent="0.2">
      <c r="A402" s="1"/>
    </row>
    <row r="403" spans="1:1" x14ac:dyDescent="0.2">
      <c r="A403" s="1"/>
    </row>
    <row r="404" spans="1:1" x14ac:dyDescent="0.2">
      <c r="A404" s="1"/>
    </row>
    <row r="405" spans="1:1" x14ac:dyDescent="0.2">
      <c r="A405" s="1"/>
    </row>
    <row r="406" spans="1:1" x14ac:dyDescent="0.2">
      <c r="A406" s="1"/>
    </row>
    <row r="407" spans="1:1" x14ac:dyDescent="0.2">
      <c r="A407" s="1"/>
    </row>
    <row r="408" spans="1:1" x14ac:dyDescent="0.2">
      <c r="A408" s="1"/>
    </row>
    <row r="409" spans="1:1" x14ac:dyDescent="0.2">
      <c r="A409" s="1"/>
    </row>
    <row r="410" spans="1:1" x14ac:dyDescent="0.2">
      <c r="A410" s="1"/>
    </row>
    <row r="411" spans="1:1" x14ac:dyDescent="0.2">
      <c r="A411" s="1"/>
    </row>
    <row r="412" spans="1:1" x14ac:dyDescent="0.2">
      <c r="A412" s="1"/>
    </row>
    <row r="413" spans="1:1" x14ac:dyDescent="0.2">
      <c r="A413" s="1"/>
    </row>
    <row r="414" spans="1:1" x14ac:dyDescent="0.2">
      <c r="A414" s="1"/>
    </row>
    <row r="415" spans="1:1" x14ac:dyDescent="0.2">
      <c r="A415" s="1"/>
    </row>
    <row r="416" spans="1:1" x14ac:dyDescent="0.2">
      <c r="A416" s="1"/>
    </row>
    <row r="417" spans="1:1" x14ac:dyDescent="0.2">
      <c r="A417" s="1"/>
    </row>
    <row r="418" spans="1:1" x14ac:dyDescent="0.2">
      <c r="A418" s="1"/>
    </row>
    <row r="419" spans="1:1" x14ac:dyDescent="0.2">
      <c r="A419" s="1"/>
    </row>
    <row r="420" spans="1:1" x14ac:dyDescent="0.2">
      <c r="A420" s="1"/>
    </row>
    <row r="421" spans="1:1" x14ac:dyDescent="0.2">
      <c r="A421" s="1"/>
    </row>
    <row r="422" spans="1:1" x14ac:dyDescent="0.2">
      <c r="A422" s="1"/>
    </row>
    <row r="423" spans="1:1" x14ac:dyDescent="0.2">
      <c r="A423" s="1"/>
    </row>
  </sheetData>
  <mergeCells count="77">
    <mergeCell ref="B19:C19"/>
    <mergeCell ref="D19:E19"/>
    <mergeCell ref="R9:S9"/>
    <mergeCell ref="W9:X9"/>
    <mergeCell ref="F9:G9"/>
    <mergeCell ref="H9:I9"/>
    <mergeCell ref="J9:K9"/>
    <mergeCell ref="L9:M9"/>
    <mergeCell ref="N9:O9"/>
    <mergeCell ref="P9:Q9"/>
    <mergeCell ref="B9:C9"/>
    <mergeCell ref="D9:E9"/>
    <mergeCell ref="F19:G19"/>
    <mergeCell ref="H19:I19"/>
    <mergeCell ref="J19:K19"/>
    <mergeCell ref="L19:M19"/>
    <mergeCell ref="N19:O19"/>
    <mergeCell ref="P24:Q24"/>
    <mergeCell ref="R24:S24"/>
    <mergeCell ref="W24:X24"/>
    <mergeCell ref="R19:S19"/>
    <mergeCell ref="W19:X19"/>
    <mergeCell ref="P19:Q19"/>
    <mergeCell ref="J24:K24"/>
    <mergeCell ref="L24:M24"/>
    <mergeCell ref="N24:O24"/>
    <mergeCell ref="B24:C24"/>
    <mergeCell ref="D24:E24"/>
    <mergeCell ref="F24:G24"/>
    <mergeCell ref="H24:I24"/>
    <mergeCell ref="B33:C33"/>
    <mergeCell ref="D33:E33"/>
    <mergeCell ref="F33:G33"/>
    <mergeCell ref="H33:I33"/>
    <mergeCell ref="P33:Q33"/>
    <mergeCell ref="J33:K33"/>
    <mergeCell ref="L33:M33"/>
    <mergeCell ref="N33:O33"/>
    <mergeCell ref="R26:S26"/>
    <mergeCell ref="W26:X26"/>
    <mergeCell ref="P26:Q26"/>
    <mergeCell ref="B26:C26"/>
    <mergeCell ref="D26:E26"/>
    <mergeCell ref="F26:G26"/>
    <mergeCell ref="H26:I26"/>
    <mergeCell ref="J26:K26"/>
    <mergeCell ref="L26:M26"/>
    <mergeCell ref="N26:O26"/>
    <mergeCell ref="R33:S33"/>
    <mergeCell ref="W36:X36"/>
    <mergeCell ref="P36:Q36"/>
    <mergeCell ref="R36:S36"/>
    <mergeCell ref="J36:K36"/>
    <mergeCell ref="L36:M36"/>
    <mergeCell ref="N36:O36"/>
    <mergeCell ref="W33:X33"/>
    <mergeCell ref="T36:U36"/>
    <mergeCell ref="P42:Q42"/>
    <mergeCell ref="R42:S42"/>
    <mergeCell ref="W42:X42"/>
    <mergeCell ref="B42:C42"/>
    <mergeCell ref="D42:E42"/>
    <mergeCell ref="F42:G42"/>
    <mergeCell ref="H42:I42"/>
    <mergeCell ref="J42:K42"/>
    <mergeCell ref="T42:U42"/>
    <mergeCell ref="B36:C36"/>
    <mergeCell ref="D36:E36"/>
    <mergeCell ref="F36:G36"/>
    <mergeCell ref="L42:M42"/>
    <mergeCell ref="N42:O42"/>
    <mergeCell ref="H36:I36"/>
    <mergeCell ref="T9:U9"/>
    <mergeCell ref="T19:U19"/>
    <mergeCell ref="T24:U24"/>
    <mergeCell ref="T26:U26"/>
    <mergeCell ref="T33:U33"/>
  </mergeCells>
  <printOptions horizontalCentered="1"/>
  <pageMargins left="0.75" right="0.75" top="0.5" bottom="0.5" header="0.25" footer="0.25"/>
  <pageSetup scale="70" orientation="landscape" r:id="rId1"/>
  <headerFooter alignWithMargins="0">
    <oddFooter>&amp;LPrepared by Planning and Analysis&amp;C&amp;P of &amp;N
&amp;RUpdated &amp;D</oddFooter>
  </headerFooter>
  <rowBreaks count="1" manualBreakCount="1">
    <brk id="40" max="21" man="1"/>
  </rowBreaks>
  <colBreaks count="1" manualBreakCount="1">
    <brk id="21" min="8" max="76" man="1"/>
  </colBreaks>
  <ignoredErrors>
    <ignoredError sqref="A57:N78" formula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AA437"/>
  <sheetViews>
    <sheetView view="pageBreakPreview" zoomScaleNormal="85" zoomScaleSheetLayoutView="100" workbookViewId="0">
      <pane xSplit="1" ySplit="1" topLeftCell="T2" activePane="bottomRight" state="frozen"/>
      <selection activeCell="T36" sqref="T36:U36"/>
      <selection pane="topRight" activeCell="T36" sqref="T36:U36"/>
      <selection pane="bottomLeft" activeCell="T36" sqref="T36:U36"/>
      <selection pane="bottomRight" activeCell="T36" sqref="T36:U36"/>
    </sheetView>
  </sheetViews>
  <sheetFormatPr defaultColWidth="10.28515625" defaultRowHeight="12.75" x14ac:dyDescent="0.2"/>
  <cols>
    <col min="1" max="1" width="33.5703125" customWidth="1"/>
    <col min="2" max="2" width="6.7109375" hidden="1" customWidth="1"/>
    <col min="3" max="3" width="12.5703125" hidden="1" customWidth="1"/>
    <col min="4" max="4" width="6.7109375" hidden="1" customWidth="1"/>
    <col min="5" max="5" width="12.5703125" hidden="1" customWidth="1"/>
    <col min="6" max="6" width="6.7109375" customWidth="1"/>
    <col min="7" max="7" width="11.28515625" customWidth="1"/>
    <col min="8" max="8" width="6.7109375" customWidth="1"/>
    <col min="9" max="9" width="11.28515625" customWidth="1"/>
    <col min="10" max="10" width="6.7109375" customWidth="1"/>
    <col min="11" max="11" width="11.28515625" customWidth="1"/>
    <col min="12" max="12" width="6.7109375" customWidth="1"/>
    <col min="13" max="13" width="11.28515625" customWidth="1"/>
    <col min="14" max="14" width="6.7109375" customWidth="1"/>
    <col min="15" max="15" width="11.28515625" customWidth="1"/>
    <col min="16" max="16" width="6.7109375" customWidth="1"/>
    <col min="17" max="17" width="11.28515625" customWidth="1"/>
    <col min="18" max="18" width="6.7109375" customWidth="1"/>
    <col min="19" max="19" width="11.28515625" customWidth="1"/>
    <col min="20" max="20" width="6.7109375" customWidth="1"/>
    <col min="21" max="21" width="12" customWidth="1"/>
    <col min="22" max="22" width="3.28515625" customWidth="1"/>
    <col min="23" max="23" width="6.7109375" customWidth="1"/>
    <col min="24" max="24" width="10.28515625" customWidth="1"/>
    <col min="25" max="25" width="1.5703125" customWidth="1"/>
  </cols>
  <sheetData>
    <row r="1" spans="1:26" ht="15.75" x14ac:dyDescent="0.25">
      <c r="A1" s="667" t="s">
        <v>240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</row>
    <row r="2" spans="1:26" ht="15.75" x14ac:dyDescent="0.25">
      <c r="A2" s="667" t="s">
        <v>241</v>
      </c>
    </row>
    <row r="3" spans="1:26" ht="15.75" x14ac:dyDescent="0.25">
      <c r="A3" s="667"/>
    </row>
    <row r="4" spans="1:26" ht="15.75" x14ac:dyDescent="0.25">
      <c r="A4" s="668" t="s">
        <v>261</v>
      </c>
    </row>
    <row r="5" spans="1:26" ht="15.75" x14ac:dyDescent="0.25">
      <c r="A5" s="668"/>
    </row>
    <row r="6" spans="1:26" x14ac:dyDescent="0.2">
      <c r="A6" s="669" t="s">
        <v>135</v>
      </c>
    </row>
    <row r="7" spans="1:26" x14ac:dyDescent="0.2">
      <c r="A7" s="720">
        <v>3670020250</v>
      </c>
      <c r="O7" s="65" t="s">
        <v>19</v>
      </c>
    </row>
    <row r="8" spans="1:26" ht="13.5" thickBot="1" x14ac:dyDescent="0.25">
      <c r="A8" s="1"/>
    </row>
    <row r="9" spans="1:26" ht="15" customHeight="1" thickTop="1" x14ac:dyDescent="0.2">
      <c r="A9" s="4"/>
      <c r="B9" s="1401" t="s">
        <v>0</v>
      </c>
      <c r="C9" s="1398"/>
      <c r="D9" s="1401" t="s">
        <v>1</v>
      </c>
      <c r="E9" s="1398"/>
      <c r="F9" s="1401" t="s">
        <v>2</v>
      </c>
      <c r="G9" s="1398"/>
      <c r="H9" s="1401" t="s">
        <v>3</v>
      </c>
      <c r="I9" s="1398"/>
      <c r="J9" s="1401" t="s">
        <v>4</v>
      </c>
      <c r="K9" s="1398"/>
      <c r="L9" s="1401" t="s">
        <v>5</v>
      </c>
      <c r="M9" s="1398"/>
      <c r="N9" s="1401" t="s">
        <v>6</v>
      </c>
      <c r="O9" s="1398"/>
      <c r="P9" s="1401" t="s">
        <v>7</v>
      </c>
      <c r="Q9" s="1398"/>
      <c r="R9" s="1401" t="s">
        <v>8</v>
      </c>
      <c r="S9" s="1398"/>
      <c r="T9" s="1401" t="s">
        <v>301</v>
      </c>
      <c r="U9" s="1402"/>
      <c r="W9" s="1407" t="s">
        <v>9</v>
      </c>
      <c r="X9" s="1408"/>
    </row>
    <row r="10" spans="1:26" ht="15" customHeight="1" x14ac:dyDescent="0.2">
      <c r="A10" s="5"/>
      <c r="B10" s="68" t="s">
        <v>287</v>
      </c>
      <c r="C10" s="8" t="s">
        <v>10</v>
      </c>
      <c r="D10" s="68" t="s">
        <v>287</v>
      </c>
      <c r="E10" s="8" t="s">
        <v>10</v>
      </c>
      <c r="F10" s="68" t="s">
        <v>287</v>
      </c>
      <c r="G10" s="8" t="s">
        <v>10</v>
      </c>
      <c r="H10" s="68" t="s">
        <v>287</v>
      </c>
      <c r="I10" s="8" t="s">
        <v>10</v>
      </c>
      <c r="J10" s="68" t="s">
        <v>287</v>
      </c>
      <c r="K10" s="8" t="s">
        <v>10</v>
      </c>
      <c r="L10" s="68" t="s">
        <v>287</v>
      </c>
      <c r="M10" s="8" t="s">
        <v>10</v>
      </c>
      <c r="N10" s="68" t="s">
        <v>287</v>
      </c>
      <c r="O10" s="8" t="s">
        <v>10</v>
      </c>
      <c r="P10" s="68" t="s">
        <v>287</v>
      </c>
      <c r="Q10" s="8" t="s">
        <v>10</v>
      </c>
      <c r="R10" s="68" t="s">
        <v>287</v>
      </c>
      <c r="S10" s="8" t="s">
        <v>10</v>
      </c>
      <c r="T10" s="68" t="s">
        <v>287</v>
      </c>
      <c r="U10" s="97" t="s">
        <v>10</v>
      </c>
      <c r="W10" s="6" t="s">
        <v>287</v>
      </c>
      <c r="X10" s="7" t="s">
        <v>11</v>
      </c>
    </row>
    <row r="11" spans="1:26" ht="15" customHeight="1" thickBot="1" x14ac:dyDescent="0.25">
      <c r="A11" s="70" t="s">
        <v>77</v>
      </c>
      <c r="B11" s="69" t="s">
        <v>12</v>
      </c>
      <c r="C11" s="922" t="s">
        <v>13</v>
      </c>
      <c r="D11" s="69" t="s">
        <v>12</v>
      </c>
      <c r="E11" s="922" t="s">
        <v>13</v>
      </c>
      <c r="F11" s="69" t="s">
        <v>12</v>
      </c>
      <c r="G11" s="922" t="s">
        <v>13</v>
      </c>
      <c r="H11" s="69" t="s">
        <v>12</v>
      </c>
      <c r="I11" s="922" t="s">
        <v>13</v>
      </c>
      <c r="J11" s="69" t="s">
        <v>12</v>
      </c>
      <c r="K11" s="922" t="s">
        <v>13</v>
      </c>
      <c r="L11" s="69" t="s">
        <v>12</v>
      </c>
      <c r="M11" s="922" t="s">
        <v>13</v>
      </c>
      <c r="N11" s="69" t="s">
        <v>12</v>
      </c>
      <c r="O11" s="922" t="s">
        <v>13</v>
      </c>
      <c r="P11" s="69" t="s">
        <v>12</v>
      </c>
      <c r="Q11" s="922" t="s">
        <v>13</v>
      </c>
      <c r="R11" s="69" t="s">
        <v>12</v>
      </c>
      <c r="S11" s="922" t="s">
        <v>13</v>
      </c>
      <c r="T11" s="69" t="s">
        <v>12</v>
      </c>
      <c r="U11" s="10" t="s">
        <v>13</v>
      </c>
      <c r="W11" s="9" t="s">
        <v>12</v>
      </c>
      <c r="X11" s="10" t="s">
        <v>13</v>
      </c>
    </row>
    <row r="12" spans="1:26" ht="15" customHeight="1" x14ac:dyDescent="0.2">
      <c r="A12" s="269" t="s">
        <v>136</v>
      </c>
      <c r="B12" s="258"/>
      <c r="C12" s="259"/>
      <c r="D12" s="11"/>
      <c r="E12" s="12"/>
      <c r="F12" s="13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5"/>
      <c r="V12" s="564"/>
      <c r="W12" s="779"/>
      <c r="X12" s="24"/>
    </row>
    <row r="13" spans="1:26" s="23" customFormat="1" ht="15" customHeight="1" x14ac:dyDescent="0.2">
      <c r="A13" s="18" t="s">
        <v>15</v>
      </c>
      <c r="B13" s="20">
        <v>134</v>
      </c>
      <c r="C13" s="262"/>
      <c r="D13" s="22">
        <v>136</v>
      </c>
      <c r="E13" s="264"/>
      <c r="F13" s="20">
        <v>164</v>
      </c>
      <c r="G13" s="264"/>
      <c r="H13" s="20">
        <v>158</v>
      </c>
      <c r="I13" s="264"/>
      <c r="J13" s="20">
        <v>163</v>
      </c>
      <c r="K13" s="264"/>
      <c r="L13" s="20">
        <v>166</v>
      </c>
      <c r="M13" s="264"/>
      <c r="N13" s="20">
        <v>186</v>
      </c>
      <c r="O13" s="264"/>
      <c r="P13" s="20">
        <v>161</v>
      </c>
      <c r="Q13" s="264"/>
      <c r="R13" s="20">
        <f>72+77+1</f>
        <v>150</v>
      </c>
      <c r="S13" s="264"/>
      <c r="T13" s="20">
        <v>115</v>
      </c>
      <c r="U13" s="266"/>
      <c r="W13" s="16">
        <f>AVERAGE(N13,L13,R13,T13,P13)</f>
        <v>155.6</v>
      </c>
      <c r="X13" s="496"/>
    </row>
    <row r="14" spans="1:26" s="23" customFormat="1" ht="15" customHeight="1" thickBot="1" x14ac:dyDescent="0.25">
      <c r="A14" s="27" t="s">
        <v>16</v>
      </c>
      <c r="B14" s="29">
        <v>194</v>
      </c>
      <c r="C14" s="263"/>
      <c r="D14" s="86">
        <v>192</v>
      </c>
      <c r="E14" s="265"/>
      <c r="F14" s="29">
        <v>192</v>
      </c>
      <c r="G14" s="265"/>
      <c r="H14" s="29">
        <v>220</v>
      </c>
      <c r="I14" s="265"/>
      <c r="J14" s="29">
        <v>211</v>
      </c>
      <c r="K14" s="265"/>
      <c r="L14" s="29">
        <v>186</v>
      </c>
      <c r="M14" s="265"/>
      <c r="N14" s="29">
        <v>180</v>
      </c>
      <c r="O14" s="265"/>
      <c r="P14" s="29">
        <v>185</v>
      </c>
      <c r="Q14" s="265"/>
      <c r="R14" s="29">
        <f>91+98</f>
        <v>189</v>
      </c>
      <c r="S14" s="265"/>
      <c r="T14" s="29">
        <v>175</v>
      </c>
      <c r="U14" s="267"/>
      <c r="W14" s="16">
        <f>AVERAGE(N14,L14,R14,T14,P14)</f>
        <v>183</v>
      </c>
      <c r="X14" s="497"/>
    </row>
    <row r="15" spans="1:26" s="73" customFormat="1" ht="15" customHeight="1" thickBot="1" x14ac:dyDescent="0.25">
      <c r="A15" s="98" t="s">
        <v>17</v>
      </c>
      <c r="B15" s="89">
        <f t="shared" ref="B15:R15" si="0">SUM(B13:B14)</f>
        <v>328</v>
      </c>
      <c r="C15" s="100">
        <v>85</v>
      </c>
      <c r="D15" s="89">
        <f t="shared" si="0"/>
        <v>328</v>
      </c>
      <c r="E15" s="100">
        <v>91</v>
      </c>
      <c r="F15" s="89">
        <f t="shared" si="0"/>
        <v>356</v>
      </c>
      <c r="G15" s="100">
        <v>76</v>
      </c>
      <c r="H15" s="89">
        <f t="shared" si="0"/>
        <v>378</v>
      </c>
      <c r="I15" s="100">
        <v>80</v>
      </c>
      <c r="J15" s="89">
        <f t="shared" si="0"/>
        <v>374</v>
      </c>
      <c r="K15" s="100">
        <v>110</v>
      </c>
      <c r="L15" s="89">
        <f t="shared" si="0"/>
        <v>352</v>
      </c>
      <c r="M15" s="100">
        <v>77</v>
      </c>
      <c r="N15" s="640">
        <f t="shared" si="0"/>
        <v>366</v>
      </c>
      <c r="O15" s="100">
        <v>80</v>
      </c>
      <c r="P15" s="89">
        <f t="shared" si="0"/>
        <v>346</v>
      </c>
      <c r="Q15" s="100">
        <v>90</v>
      </c>
      <c r="R15" s="89">
        <f t="shared" si="0"/>
        <v>339</v>
      </c>
      <c r="S15" s="100">
        <v>83</v>
      </c>
      <c r="T15" s="89">
        <v>290</v>
      </c>
      <c r="U15" s="1281">
        <f t="shared" ref="U15" si="1">SUM(U13:U14)</f>
        <v>0</v>
      </c>
      <c r="W15" s="482">
        <f>AVERAGE(N15,L15,R15,T15,P15)</f>
        <v>338.6</v>
      </c>
      <c r="X15" s="483">
        <f>AVERAGE(O15,M15,S15,K15,Q15)</f>
        <v>88</v>
      </c>
    </row>
    <row r="16" spans="1:26" s="23" customFormat="1" ht="15" customHeight="1" x14ac:dyDescent="0.2">
      <c r="A16" s="28" t="s">
        <v>20</v>
      </c>
      <c r="B16" s="22">
        <v>18</v>
      </c>
      <c r="C16" s="288">
        <f>5+2</f>
        <v>7</v>
      </c>
      <c r="D16" s="22">
        <v>18</v>
      </c>
      <c r="E16" s="287">
        <v>4</v>
      </c>
      <c r="F16" s="20">
        <v>17</v>
      </c>
      <c r="G16" s="287">
        <v>5</v>
      </c>
      <c r="H16" s="20">
        <v>16</v>
      </c>
      <c r="I16" s="287">
        <v>3</v>
      </c>
      <c r="J16" s="20">
        <v>18</v>
      </c>
      <c r="K16" s="287">
        <v>7</v>
      </c>
      <c r="L16" s="20">
        <v>14</v>
      </c>
      <c r="M16" s="287">
        <v>4</v>
      </c>
      <c r="N16" s="20">
        <v>14</v>
      </c>
      <c r="O16" s="287">
        <v>2</v>
      </c>
      <c r="P16" s="20">
        <v>17</v>
      </c>
      <c r="Q16" s="287">
        <v>6</v>
      </c>
      <c r="R16" s="20">
        <v>14</v>
      </c>
      <c r="S16" s="287">
        <v>4</v>
      </c>
      <c r="T16" s="20">
        <v>9</v>
      </c>
      <c r="U16" s="152"/>
      <c r="W16" s="16">
        <f>AVERAGE(N16,L16,R16,T16,P16)</f>
        <v>13.6</v>
      </c>
      <c r="X16" s="470">
        <f t="shared" ref="X16:X17" si="2">AVERAGE(O16,M16,S16,K16,Q16)</f>
        <v>4.5999999999999996</v>
      </c>
      <c r="Z16" s="23" t="s">
        <v>19</v>
      </c>
    </row>
    <row r="17" spans="1:26" s="23" customFormat="1" ht="15" customHeight="1" x14ac:dyDescent="0.2">
      <c r="A17" s="28" t="s">
        <v>86</v>
      </c>
      <c r="B17" s="22">
        <v>28</v>
      </c>
      <c r="C17" s="288">
        <v>1</v>
      </c>
      <c r="D17" s="22">
        <v>33</v>
      </c>
      <c r="E17" s="287">
        <v>0</v>
      </c>
      <c r="F17" s="20">
        <v>34</v>
      </c>
      <c r="G17" s="287">
        <v>3</v>
      </c>
      <c r="H17" s="20">
        <v>31</v>
      </c>
      <c r="I17" s="287">
        <v>4</v>
      </c>
      <c r="J17" s="20">
        <v>28</v>
      </c>
      <c r="K17" s="287">
        <v>6</v>
      </c>
      <c r="L17" s="20">
        <v>30</v>
      </c>
      <c r="M17" s="287">
        <v>1</v>
      </c>
      <c r="N17" s="20">
        <v>28</v>
      </c>
      <c r="O17" s="287">
        <v>9</v>
      </c>
      <c r="P17" s="20">
        <v>26</v>
      </c>
      <c r="Q17" s="287">
        <v>1</v>
      </c>
      <c r="R17" s="20">
        <v>28</v>
      </c>
      <c r="S17" s="287">
        <v>4</v>
      </c>
      <c r="T17" s="20">
        <v>30</v>
      </c>
      <c r="U17" s="152"/>
      <c r="W17" s="16">
        <f>AVERAGE(N17,L17,R17,T17,P17)</f>
        <v>28.4</v>
      </c>
      <c r="X17" s="470">
        <f t="shared" si="2"/>
        <v>4.2</v>
      </c>
    </row>
    <row r="18" spans="1:26" ht="15" customHeight="1" x14ac:dyDescent="0.2">
      <c r="A18" s="269" t="s">
        <v>137</v>
      </c>
      <c r="B18" s="258"/>
      <c r="C18" s="259"/>
      <c r="D18" s="11"/>
      <c r="E18" s="12"/>
      <c r="F18" s="13"/>
      <c r="G18" s="12"/>
      <c r="H18" s="13"/>
      <c r="I18" s="12"/>
      <c r="J18" s="13"/>
      <c r="K18" s="12"/>
      <c r="L18" s="13"/>
      <c r="M18" s="12"/>
      <c r="N18" s="13"/>
      <c r="O18" s="12"/>
      <c r="P18" s="13"/>
      <c r="Q18" s="12"/>
      <c r="R18" s="13"/>
      <c r="S18" s="12"/>
      <c r="T18" s="13"/>
      <c r="U18" s="15"/>
      <c r="V18" s="564"/>
      <c r="W18" s="779"/>
      <c r="X18" s="24"/>
    </row>
    <row r="19" spans="1:26" s="23" customFormat="1" ht="15" customHeight="1" x14ac:dyDescent="0.2">
      <c r="A19" s="18" t="s">
        <v>15</v>
      </c>
      <c r="B19" s="20">
        <v>52</v>
      </c>
      <c r="C19" s="262"/>
      <c r="D19" s="22">
        <v>49</v>
      </c>
      <c r="E19" s="264"/>
      <c r="F19" s="20">
        <v>55</v>
      </c>
      <c r="G19" s="264"/>
      <c r="H19" s="20">
        <v>66</v>
      </c>
      <c r="I19" s="264"/>
      <c r="J19" s="20">
        <v>78</v>
      </c>
      <c r="K19" s="264"/>
      <c r="L19" s="20">
        <v>92</v>
      </c>
      <c r="M19" s="264"/>
      <c r="N19" s="20">
        <v>105</v>
      </c>
      <c r="O19" s="264"/>
      <c r="P19" s="20">
        <v>117</v>
      </c>
      <c r="Q19" s="264"/>
      <c r="R19" s="20">
        <f>44+60</f>
        <v>104</v>
      </c>
      <c r="S19" s="264"/>
      <c r="T19" s="20">
        <v>100</v>
      </c>
      <c r="U19" s="266"/>
      <c r="W19" s="16">
        <f>AVERAGE(N19,L19,R19,T19,P19)</f>
        <v>103.6</v>
      </c>
      <c r="X19" s="496"/>
    </row>
    <row r="20" spans="1:26" s="23" customFormat="1" ht="15" customHeight="1" thickBot="1" x14ac:dyDescent="0.25">
      <c r="A20" s="27" t="s">
        <v>16</v>
      </c>
      <c r="B20" s="29">
        <v>66</v>
      </c>
      <c r="C20" s="263"/>
      <c r="D20" s="86">
        <v>66</v>
      </c>
      <c r="E20" s="265"/>
      <c r="F20" s="29">
        <v>70</v>
      </c>
      <c r="G20" s="265"/>
      <c r="H20" s="29">
        <v>98</v>
      </c>
      <c r="I20" s="265"/>
      <c r="J20" s="29">
        <v>94</v>
      </c>
      <c r="K20" s="265"/>
      <c r="L20" s="29">
        <v>118</v>
      </c>
      <c r="M20" s="265"/>
      <c r="N20" s="29">
        <v>119</v>
      </c>
      <c r="O20" s="265"/>
      <c r="P20" s="29">
        <v>144</v>
      </c>
      <c r="Q20" s="265"/>
      <c r="R20" s="29">
        <f>80+79</f>
        <v>159</v>
      </c>
      <c r="S20" s="265"/>
      <c r="T20" s="29">
        <v>152</v>
      </c>
      <c r="U20" s="267"/>
      <c r="W20" s="16">
        <f>AVERAGE(N20,L20,R20,T20,P20)</f>
        <v>138.4</v>
      </c>
      <c r="X20" s="497"/>
    </row>
    <row r="21" spans="1:26" s="73" customFormat="1" ht="15" customHeight="1" thickBot="1" x14ac:dyDescent="0.25">
      <c r="A21" s="98" t="s">
        <v>17</v>
      </c>
      <c r="B21" s="89">
        <f t="shared" ref="B21:R21" si="3">SUM(B19:B20)</f>
        <v>118</v>
      </c>
      <c r="C21" s="100">
        <v>23</v>
      </c>
      <c r="D21" s="89">
        <f t="shared" si="3"/>
        <v>115</v>
      </c>
      <c r="E21" s="100">
        <v>22</v>
      </c>
      <c r="F21" s="89">
        <f t="shared" si="3"/>
        <v>125</v>
      </c>
      <c r="G21" s="100">
        <v>24</v>
      </c>
      <c r="H21" s="89">
        <f t="shared" si="3"/>
        <v>164</v>
      </c>
      <c r="I21" s="100">
        <v>28</v>
      </c>
      <c r="J21" s="89">
        <f t="shared" si="3"/>
        <v>172</v>
      </c>
      <c r="K21" s="100">
        <v>33</v>
      </c>
      <c r="L21" s="89">
        <f t="shared" si="3"/>
        <v>210</v>
      </c>
      <c r="M21" s="100">
        <v>47</v>
      </c>
      <c r="N21" s="89">
        <f t="shared" si="3"/>
        <v>224</v>
      </c>
      <c r="O21" s="100">
        <v>46</v>
      </c>
      <c r="P21" s="89">
        <f t="shared" si="3"/>
        <v>261</v>
      </c>
      <c r="Q21" s="100">
        <v>57</v>
      </c>
      <c r="R21" s="89">
        <f t="shared" si="3"/>
        <v>263</v>
      </c>
      <c r="S21" s="100">
        <v>67</v>
      </c>
      <c r="T21" s="89">
        <v>252</v>
      </c>
      <c r="U21" s="1275">
        <f t="shared" ref="U21" si="4">SUM(U19:U20)</f>
        <v>0</v>
      </c>
      <c r="W21" s="482">
        <f>AVERAGE(N21,L21,R21,T21,P21)</f>
        <v>242</v>
      </c>
      <c r="X21" s="483">
        <f>AVERAGE(O21,M21,S21,K21,Q21)</f>
        <v>50</v>
      </c>
    </row>
    <row r="22" spans="1:26" ht="15" customHeight="1" x14ac:dyDescent="0.2">
      <c r="A22" s="269" t="s">
        <v>138</v>
      </c>
      <c r="B22" s="258"/>
      <c r="C22" s="259"/>
      <c r="D22" s="11"/>
      <c r="E22" s="12"/>
      <c r="F22" s="13"/>
      <c r="G22" s="12"/>
      <c r="H22" s="13"/>
      <c r="I22" s="12"/>
      <c r="J22" s="13"/>
      <c r="K22" s="12"/>
      <c r="L22" s="13"/>
      <c r="M22" s="12"/>
      <c r="N22" s="13"/>
      <c r="O22" s="12"/>
      <c r="P22" s="13"/>
      <c r="Q22" s="12"/>
      <c r="R22" s="13"/>
      <c r="S22" s="12"/>
      <c r="T22" s="13"/>
      <c r="U22" s="15"/>
      <c r="V22" s="564"/>
      <c r="W22" s="1178"/>
      <c r="X22" s="470"/>
    </row>
    <row r="23" spans="1:26" s="23" customFormat="1" ht="15" customHeight="1" x14ac:dyDescent="0.2">
      <c r="A23" s="18" t="s">
        <v>15</v>
      </c>
      <c r="B23" s="20">
        <v>39</v>
      </c>
      <c r="C23" s="262"/>
      <c r="D23" s="22">
        <v>38</v>
      </c>
      <c r="E23" s="264"/>
      <c r="F23" s="20">
        <v>36</v>
      </c>
      <c r="G23" s="264"/>
      <c r="H23" s="20">
        <v>36</v>
      </c>
      <c r="I23" s="264"/>
      <c r="J23" s="20">
        <v>43</v>
      </c>
      <c r="K23" s="264"/>
      <c r="L23" s="20">
        <v>44</v>
      </c>
      <c r="M23" s="264"/>
      <c r="N23" s="20">
        <v>33</v>
      </c>
      <c r="O23" s="264"/>
      <c r="P23" s="20">
        <v>31</v>
      </c>
      <c r="Q23" s="264"/>
      <c r="R23" s="20">
        <f>19+25</f>
        <v>44</v>
      </c>
      <c r="S23" s="264"/>
      <c r="T23" s="20">
        <v>30</v>
      </c>
      <c r="U23" s="266"/>
      <c r="W23" s="16">
        <f>AVERAGE(N23,L23,R23,T23,P23)</f>
        <v>36.4</v>
      </c>
      <c r="X23" s="496"/>
    </row>
    <row r="24" spans="1:26" s="23" customFormat="1" ht="15" customHeight="1" thickBot="1" x14ac:dyDescent="0.25">
      <c r="A24" s="27" t="s">
        <v>16</v>
      </c>
      <c r="B24" s="29">
        <v>79</v>
      </c>
      <c r="C24" s="263"/>
      <c r="D24" s="86">
        <v>75</v>
      </c>
      <c r="E24" s="265"/>
      <c r="F24" s="29">
        <v>71</v>
      </c>
      <c r="G24" s="265"/>
      <c r="H24" s="29">
        <v>82</v>
      </c>
      <c r="I24" s="265"/>
      <c r="J24" s="29">
        <v>81</v>
      </c>
      <c r="K24" s="265"/>
      <c r="L24" s="29">
        <v>77</v>
      </c>
      <c r="M24" s="265"/>
      <c r="N24" s="29">
        <v>58</v>
      </c>
      <c r="O24" s="265"/>
      <c r="P24" s="29">
        <v>60</v>
      </c>
      <c r="Q24" s="265"/>
      <c r="R24" s="29">
        <f>18+31</f>
        <v>49</v>
      </c>
      <c r="S24" s="265"/>
      <c r="T24" s="29">
        <v>63</v>
      </c>
      <c r="U24" s="267"/>
      <c r="W24" s="16">
        <f>AVERAGE(N24,L24,R24,T24,P24)</f>
        <v>61.4</v>
      </c>
      <c r="X24" s="497"/>
    </row>
    <row r="25" spans="1:26" s="73" customFormat="1" ht="15" customHeight="1" thickBot="1" x14ac:dyDescent="0.25">
      <c r="A25" s="98" t="s">
        <v>17</v>
      </c>
      <c r="B25" s="89">
        <f t="shared" ref="B25:R25" si="5">SUM(B23:B24)</f>
        <v>118</v>
      </c>
      <c r="C25" s="100">
        <v>27</v>
      </c>
      <c r="D25" s="89">
        <f t="shared" si="5"/>
        <v>113</v>
      </c>
      <c r="E25" s="100">
        <v>25</v>
      </c>
      <c r="F25" s="89">
        <f t="shared" si="5"/>
        <v>107</v>
      </c>
      <c r="G25" s="100">
        <v>23</v>
      </c>
      <c r="H25" s="89">
        <f t="shared" si="5"/>
        <v>118</v>
      </c>
      <c r="I25" s="100">
        <v>22</v>
      </c>
      <c r="J25" s="89">
        <f t="shared" si="5"/>
        <v>124</v>
      </c>
      <c r="K25" s="100">
        <v>31</v>
      </c>
      <c r="L25" s="89">
        <f t="shared" si="5"/>
        <v>121</v>
      </c>
      <c r="M25" s="100">
        <v>31</v>
      </c>
      <c r="N25" s="89">
        <f t="shared" si="5"/>
        <v>91</v>
      </c>
      <c r="O25" s="100">
        <v>16</v>
      </c>
      <c r="P25" s="89">
        <f t="shared" si="5"/>
        <v>91</v>
      </c>
      <c r="Q25" s="1231">
        <v>22</v>
      </c>
      <c r="R25" s="1232">
        <f t="shared" si="5"/>
        <v>93</v>
      </c>
      <c r="S25" s="100">
        <v>16</v>
      </c>
      <c r="T25" s="1232">
        <v>93</v>
      </c>
      <c r="U25" s="1275">
        <f t="shared" ref="U25" si="6">SUM(U23:U24)</f>
        <v>0</v>
      </c>
      <c r="W25" s="482">
        <f>AVERAGE(N25,L25,R25,T25,P25)</f>
        <v>97.8</v>
      </c>
      <c r="X25" s="483">
        <f t="shared" ref="X25:X26" si="7">AVERAGE(O25,M25,S25,K25,Q25)</f>
        <v>23.2</v>
      </c>
    </row>
    <row r="26" spans="1:26" s="23" customFormat="1" ht="15" customHeight="1" thickBot="1" x14ac:dyDescent="0.25">
      <c r="A26" s="142" t="s">
        <v>18</v>
      </c>
      <c r="B26" s="31">
        <v>16</v>
      </c>
      <c r="C26" s="34">
        <v>5</v>
      </c>
      <c r="D26" s="31">
        <v>15</v>
      </c>
      <c r="E26" s="32">
        <v>8</v>
      </c>
      <c r="F26" s="33">
        <v>10</v>
      </c>
      <c r="G26" s="32">
        <v>4</v>
      </c>
      <c r="H26" s="33">
        <v>14</v>
      </c>
      <c r="I26" s="32">
        <v>4</v>
      </c>
      <c r="J26" s="33">
        <v>16</v>
      </c>
      <c r="K26" s="32">
        <v>9</v>
      </c>
      <c r="L26" s="33">
        <v>15</v>
      </c>
      <c r="M26" s="32">
        <v>7</v>
      </c>
      <c r="N26" s="33">
        <v>19</v>
      </c>
      <c r="O26" s="32">
        <v>7</v>
      </c>
      <c r="P26" s="33">
        <v>15</v>
      </c>
      <c r="Q26" s="32">
        <v>6</v>
      </c>
      <c r="R26" s="33">
        <v>19</v>
      </c>
      <c r="S26" s="32">
        <v>6</v>
      </c>
      <c r="T26" s="143">
        <v>22</v>
      </c>
      <c r="U26" s="1319"/>
      <c r="W26" s="16">
        <f>AVERAGE(N26,L26,R26,T26,P26)</f>
        <v>18</v>
      </c>
      <c r="X26" s="470">
        <f t="shared" si="7"/>
        <v>7</v>
      </c>
      <c r="Z26" s="23" t="s">
        <v>19</v>
      </c>
    </row>
    <row r="27" spans="1:26" ht="18" customHeight="1" thickTop="1" thickBot="1" x14ac:dyDescent="0.25">
      <c r="A27" s="298" t="s">
        <v>71</v>
      </c>
      <c r="B27" s="1380"/>
      <c r="C27" s="1381"/>
      <c r="D27" s="1380"/>
      <c r="E27" s="1381"/>
      <c r="F27" s="1380"/>
      <c r="G27" s="1381"/>
      <c r="H27" s="1380"/>
      <c r="I27" s="1381"/>
      <c r="J27" s="1380"/>
      <c r="K27" s="1381"/>
      <c r="L27" s="1380"/>
      <c r="M27" s="1381"/>
      <c r="N27" s="1380"/>
      <c r="O27" s="1381"/>
      <c r="P27" s="1380"/>
      <c r="Q27" s="1381"/>
      <c r="R27" s="1380"/>
      <c r="S27" s="1381"/>
      <c r="T27" s="1380"/>
      <c r="U27" s="1383"/>
      <c r="V27" s="226"/>
      <c r="W27" s="1382"/>
      <c r="X27" s="1383"/>
    </row>
    <row r="28" spans="1:26" ht="15" customHeight="1" x14ac:dyDescent="0.2">
      <c r="A28" s="1226" t="s">
        <v>79</v>
      </c>
      <c r="B28" s="300"/>
      <c r="C28" s="385"/>
      <c r="D28" s="384"/>
      <c r="E28" s="385"/>
      <c r="F28" s="384"/>
      <c r="G28" s="385"/>
      <c r="H28" s="384"/>
      <c r="I28" s="385"/>
      <c r="J28" s="384"/>
      <c r="K28" s="385"/>
      <c r="L28" s="384"/>
      <c r="M28" s="385"/>
      <c r="N28" s="384"/>
      <c r="O28" s="385"/>
      <c r="P28" s="384"/>
      <c r="Q28" s="385"/>
      <c r="R28" s="384"/>
      <c r="S28" s="385"/>
      <c r="T28" s="384"/>
      <c r="U28" s="386"/>
      <c r="V28" s="525"/>
      <c r="W28" s="495"/>
      <c r="X28" s="852" t="e">
        <f>AVERAGE(O28,M28,I28,K28,Q28)</f>
        <v>#DIV/0!</v>
      </c>
    </row>
    <row r="29" spans="1:26" ht="15" customHeight="1" x14ac:dyDescent="0.2">
      <c r="A29" s="303" t="s">
        <v>161</v>
      </c>
      <c r="B29" s="532"/>
      <c r="C29" s="533">
        <v>0.68</v>
      </c>
      <c r="D29" s="534"/>
      <c r="E29" s="533">
        <v>0.7</v>
      </c>
      <c r="F29" s="534"/>
      <c r="G29" s="533">
        <v>0.68</v>
      </c>
      <c r="H29" s="534"/>
      <c r="I29" s="388">
        <v>0.77</v>
      </c>
      <c r="J29" s="387"/>
      <c r="K29" s="388">
        <v>0.75</v>
      </c>
      <c r="L29" s="387"/>
      <c r="M29" s="388">
        <v>0.71</v>
      </c>
      <c r="N29" s="387"/>
      <c r="O29" s="388">
        <v>0.77</v>
      </c>
      <c r="P29" s="387"/>
      <c r="Q29" s="388">
        <v>0.76</v>
      </c>
      <c r="R29" s="387"/>
      <c r="S29" s="388"/>
      <c r="T29" s="387"/>
      <c r="U29" s="1271"/>
      <c r="V29" s="525"/>
      <c r="W29" s="495"/>
      <c r="X29" s="1255">
        <f t="shared" ref="X29:X34" si="8">AVERAGE(O29,M29,S29,K29,Q29)</f>
        <v>0.74750000000000005</v>
      </c>
    </row>
    <row r="30" spans="1:26" ht="15" customHeight="1" x14ac:dyDescent="0.2">
      <c r="A30" s="303" t="s">
        <v>162</v>
      </c>
      <c r="B30" s="532"/>
      <c r="C30" s="533">
        <v>0.83</v>
      </c>
      <c r="D30" s="534"/>
      <c r="E30" s="533">
        <v>0.92</v>
      </c>
      <c r="F30" s="534"/>
      <c r="G30" s="533">
        <v>0.63</v>
      </c>
      <c r="H30" s="534"/>
      <c r="I30" s="388">
        <v>0.65</v>
      </c>
      <c r="J30" s="387"/>
      <c r="K30" s="388">
        <v>0.86</v>
      </c>
      <c r="L30" s="387"/>
      <c r="M30" s="388">
        <v>0.78</v>
      </c>
      <c r="N30" s="387"/>
      <c r="O30" s="388">
        <v>0.65</v>
      </c>
      <c r="P30" s="387"/>
      <c r="Q30" s="388">
        <v>0.81</v>
      </c>
      <c r="R30" s="387"/>
      <c r="S30" s="388"/>
      <c r="T30" s="387"/>
      <c r="U30" s="1271"/>
      <c r="V30" s="525"/>
      <c r="W30" s="495"/>
      <c r="X30" s="1255">
        <f t="shared" si="8"/>
        <v>0.77500000000000002</v>
      </c>
    </row>
    <row r="31" spans="1:26" ht="15" customHeight="1" x14ac:dyDescent="0.2">
      <c r="A31" s="303" t="s">
        <v>163</v>
      </c>
      <c r="B31" s="304"/>
      <c r="C31" s="388">
        <v>0.5</v>
      </c>
      <c r="D31" s="387"/>
      <c r="E31" s="388">
        <v>0.46</v>
      </c>
      <c r="F31" s="387"/>
      <c r="G31" s="388">
        <v>0.37</v>
      </c>
      <c r="H31" s="387"/>
      <c r="I31" s="388">
        <v>0.44</v>
      </c>
      <c r="J31" s="387"/>
      <c r="K31" s="388">
        <v>0.74</v>
      </c>
      <c r="L31" s="387"/>
      <c r="M31" s="388">
        <v>0.64</v>
      </c>
      <c r="N31" s="387"/>
      <c r="O31" s="388">
        <v>0.73</v>
      </c>
      <c r="P31" s="387"/>
      <c r="Q31" s="388">
        <v>0.6</v>
      </c>
      <c r="R31" s="387"/>
      <c r="S31" s="388"/>
      <c r="T31" s="387"/>
      <c r="U31" s="1271"/>
      <c r="V31" s="525"/>
      <c r="W31" s="495"/>
      <c r="X31" s="1255">
        <f t="shared" si="8"/>
        <v>0.6775000000000001</v>
      </c>
    </row>
    <row r="32" spans="1:26" ht="15" customHeight="1" x14ac:dyDescent="0.2">
      <c r="A32" s="305" t="s">
        <v>164</v>
      </c>
      <c r="B32" s="304"/>
      <c r="C32" s="388">
        <v>0.18</v>
      </c>
      <c r="D32" s="387"/>
      <c r="E32" s="388">
        <v>0.2</v>
      </c>
      <c r="F32" s="387"/>
      <c r="G32" s="388">
        <v>0.19</v>
      </c>
      <c r="H32" s="387"/>
      <c r="I32" s="388">
        <v>0.1</v>
      </c>
      <c r="J32" s="387"/>
      <c r="K32" s="388">
        <v>0.19</v>
      </c>
      <c r="L32" s="387"/>
      <c r="M32" s="388">
        <v>0.16</v>
      </c>
      <c r="N32" s="387"/>
      <c r="O32" s="388">
        <v>0.09</v>
      </c>
      <c r="P32" s="387"/>
      <c r="Q32" s="388">
        <v>0.18</v>
      </c>
      <c r="R32" s="387"/>
      <c r="S32" s="388"/>
      <c r="T32" s="387"/>
      <c r="U32" s="1271"/>
      <c r="V32" s="525"/>
      <c r="W32" s="495"/>
      <c r="X32" s="1255">
        <f t="shared" si="8"/>
        <v>0.155</v>
      </c>
    </row>
    <row r="33" spans="1:27" ht="15" customHeight="1" x14ac:dyDescent="0.2">
      <c r="A33" s="305" t="s">
        <v>165</v>
      </c>
      <c r="B33" s="304"/>
      <c r="C33" s="388">
        <v>0.11</v>
      </c>
      <c r="D33" s="387"/>
      <c r="E33" s="388">
        <v>0</v>
      </c>
      <c r="F33" s="387"/>
      <c r="G33" s="388">
        <v>0.32</v>
      </c>
      <c r="H33" s="387"/>
      <c r="I33" s="388">
        <v>0.3</v>
      </c>
      <c r="J33" s="387"/>
      <c r="K33" s="388">
        <v>0.09</v>
      </c>
      <c r="L33" s="387"/>
      <c r="M33" s="388">
        <v>0.18</v>
      </c>
      <c r="N33" s="387"/>
      <c r="O33" s="388">
        <v>0.26</v>
      </c>
      <c r="P33" s="387"/>
      <c r="Q33" s="388">
        <v>0.12</v>
      </c>
      <c r="R33" s="387"/>
      <c r="S33" s="388"/>
      <c r="T33" s="387"/>
      <c r="U33" s="1271"/>
      <c r="V33" s="525"/>
      <c r="W33" s="495"/>
      <c r="X33" s="1255">
        <f t="shared" si="8"/>
        <v>0.16250000000000001</v>
      </c>
    </row>
    <row r="34" spans="1:27" ht="15" customHeight="1" x14ac:dyDescent="0.2">
      <c r="A34" s="305" t="s">
        <v>166</v>
      </c>
      <c r="B34" s="306"/>
      <c r="C34" s="390">
        <v>0.45</v>
      </c>
      <c r="D34" s="389"/>
      <c r="E34" s="390">
        <v>0.38</v>
      </c>
      <c r="F34" s="389"/>
      <c r="G34" s="390">
        <v>0.32</v>
      </c>
      <c r="H34" s="389"/>
      <c r="I34" s="390">
        <v>0.44</v>
      </c>
      <c r="J34" s="389"/>
      <c r="K34" s="390">
        <v>0.19</v>
      </c>
      <c r="L34" s="389"/>
      <c r="M34" s="390">
        <v>0.24</v>
      </c>
      <c r="N34" s="389"/>
      <c r="O34" s="390">
        <v>0.18</v>
      </c>
      <c r="P34" s="389"/>
      <c r="Q34" s="390">
        <v>0.27</v>
      </c>
      <c r="R34" s="389"/>
      <c r="S34" s="390"/>
      <c r="T34" s="389"/>
      <c r="U34" s="1276"/>
      <c r="V34" s="525"/>
      <c r="W34" s="495"/>
      <c r="X34" s="1255">
        <f t="shared" si="8"/>
        <v>0.22</v>
      </c>
    </row>
    <row r="35" spans="1:27" ht="15" customHeight="1" thickBot="1" x14ac:dyDescent="0.25">
      <c r="A35" s="307" t="s">
        <v>75</v>
      </c>
      <c r="B35" s="308"/>
      <c r="C35" s="309"/>
      <c r="D35" s="308"/>
      <c r="E35" s="309"/>
      <c r="F35" s="308"/>
      <c r="G35" s="309"/>
      <c r="H35" s="308"/>
      <c r="I35" s="309"/>
      <c r="J35" s="308"/>
      <c r="K35" s="309"/>
      <c r="L35" s="308"/>
      <c r="M35" s="309"/>
      <c r="N35" s="308"/>
      <c r="O35" s="309"/>
      <c r="P35" s="308"/>
      <c r="Q35" s="309"/>
      <c r="R35" s="308"/>
      <c r="S35" s="309"/>
      <c r="T35" s="308"/>
      <c r="U35" s="310"/>
      <c r="V35" s="226"/>
      <c r="W35" s="242"/>
      <c r="X35" s="543" t="e">
        <f>AVERAGE(O35,M35,S35,U35,Q35)</f>
        <v>#DIV/0!</v>
      </c>
    </row>
    <row r="36" spans="1:27" ht="18" customHeight="1" thickTop="1" thickBot="1" x14ac:dyDescent="0.25">
      <c r="A36" s="221" t="s">
        <v>78</v>
      </c>
      <c r="B36" s="1380"/>
      <c r="C36" s="1381"/>
      <c r="D36" s="1380"/>
      <c r="E36" s="1381"/>
      <c r="F36" s="1380"/>
      <c r="G36" s="1381"/>
      <c r="H36" s="1380"/>
      <c r="I36" s="1381"/>
      <c r="J36" s="1380"/>
      <c r="K36" s="1381"/>
      <c r="L36" s="1380"/>
      <c r="M36" s="1381"/>
      <c r="N36" s="1380"/>
      <c r="O36" s="1381"/>
      <c r="P36" s="1380"/>
      <c r="Q36" s="1381"/>
      <c r="R36" s="1380"/>
      <c r="S36" s="1381"/>
      <c r="T36" s="1380"/>
      <c r="U36" s="1383"/>
      <c r="V36" s="226"/>
      <c r="W36" s="1382"/>
      <c r="X36" s="1383"/>
    </row>
    <row r="37" spans="1:27" ht="15" customHeight="1" x14ac:dyDescent="0.2">
      <c r="A37" s="518" t="s">
        <v>158</v>
      </c>
      <c r="B37" s="528"/>
      <c r="C37" s="529">
        <v>22.2</v>
      </c>
      <c r="D37" s="770"/>
      <c r="E37" s="771">
        <v>22</v>
      </c>
      <c r="F37" s="770"/>
      <c r="G37" s="771">
        <v>22</v>
      </c>
      <c r="H37" s="770"/>
      <c r="I37" s="771">
        <v>22</v>
      </c>
      <c r="J37" s="770"/>
      <c r="K37" s="771">
        <v>22</v>
      </c>
      <c r="L37" s="770"/>
      <c r="M37" s="771">
        <v>22</v>
      </c>
      <c r="N37" s="770"/>
      <c r="O37" s="771">
        <v>21.1</v>
      </c>
      <c r="P37" s="530"/>
      <c r="Q37" s="529">
        <v>21.6</v>
      </c>
      <c r="R37" s="770"/>
      <c r="S37" s="771">
        <v>21.3</v>
      </c>
      <c r="T37" s="300"/>
      <c r="U37" s="339"/>
      <c r="V37" s="226"/>
      <c r="W37" s="522"/>
      <c r="X37" s="516">
        <f>AVERAGE(O37,M37,S37,U37,Q37)</f>
        <v>21.5</v>
      </c>
    </row>
    <row r="38" spans="1:27" ht="15" customHeight="1" x14ac:dyDescent="0.2">
      <c r="A38" s="519" t="s">
        <v>159</v>
      </c>
      <c r="B38" s="531"/>
      <c r="C38" s="508">
        <v>21.7</v>
      </c>
      <c r="D38" s="763"/>
      <c r="E38" s="764">
        <v>22.3</v>
      </c>
      <c r="F38" s="763"/>
      <c r="G38" s="764">
        <v>21.7</v>
      </c>
      <c r="H38" s="763"/>
      <c r="I38" s="764">
        <v>21.8</v>
      </c>
      <c r="J38" s="763"/>
      <c r="K38" s="764">
        <v>22.6</v>
      </c>
      <c r="L38" s="763"/>
      <c r="M38" s="764">
        <v>21.8</v>
      </c>
      <c r="N38" s="763"/>
      <c r="O38" s="764">
        <v>21.3</v>
      </c>
      <c r="P38" s="509"/>
      <c r="Q38" s="508">
        <v>21.8</v>
      </c>
      <c r="R38" s="763"/>
      <c r="S38" s="764">
        <v>21.6</v>
      </c>
      <c r="T38" s="505"/>
      <c r="U38" s="617"/>
      <c r="V38" s="226"/>
      <c r="W38" s="523"/>
      <c r="X38" s="516">
        <f t="shared" ref="X38:X39" si="9">AVERAGE(O38,M38,S38,U38,Q38)</f>
        <v>21.625</v>
      </c>
    </row>
    <row r="39" spans="1:27" ht="15" customHeight="1" thickBot="1" x14ac:dyDescent="0.25">
      <c r="A39" s="520" t="s">
        <v>160</v>
      </c>
      <c r="B39" s="521"/>
      <c r="C39" s="309">
        <v>26.4</v>
      </c>
      <c r="D39" s="772"/>
      <c r="E39" s="773">
        <v>25.1</v>
      </c>
      <c r="F39" s="772"/>
      <c r="G39" s="773">
        <v>25.3</v>
      </c>
      <c r="H39" s="772"/>
      <c r="I39" s="773">
        <v>25.7</v>
      </c>
      <c r="J39" s="772"/>
      <c r="K39" s="773">
        <v>25.8</v>
      </c>
      <c r="L39" s="772"/>
      <c r="M39" s="773">
        <v>25.7</v>
      </c>
      <c r="N39" s="772"/>
      <c r="O39" s="773">
        <v>26</v>
      </c>
      <c r="P39" s="308"/>
      <c r="Q39" s="309">
        <v>26.9</v>
      </c>
      <c r="R39" s="772"/>
      <c r="S39" s="773">
        <v>26.4</v>
      </c>
      <c r="T39" s="308"/>
      <c r="U39" s="310"/>
      <c r="V39" s="226"/>
      <c r="W39" s="524"/>
      <c r="X39" s="516">
        <f t="shared" si="9"/>
        <v>26.25</v>
      </c>
    </row>
    <row r="40" spans="1:27" ht="18" customHeight="1" thickTop="1" thickBot="1" x14ac:dyDescent="0.25">
      <c r="A40" s="314" t="s">
        <v>22</v>
      </c>
      <c r="B40" s="1380"/>
      <c r="C40" s="1381"/>
      <c r="D40" s="1380"/>
      <c r="E40" s="1381"/>
      <c r="F40" s="1380"/>
      <c r="G40" s="1381"/>
      <c r="H40" s="1380"/>
      <c r="I40" s="1381"/>
      <c r="J40" s="1380"/>
      <c r="K40" s="1381"/>
      <c r="L40" s="1380"/>
      <c r="M40" s="1381"/>
      <c r="N40" s="1380"/>
      <c r="O40" s="1381"/>
      <c r="P40" s="1380"/>
      <c r="Q40" s="1381"/>
      <c r="R40" s="1380"/>
      <c r="S40" s="1381"/>
      <c r="T40" s="1380"/>
      <c r="U40" s="1383"/>
      <c r="V40" s="226"/>
      <c r="W40" s="1382"/>
      <c r="X40" s="1383"/>
    </row>
    <row r="41" spans="1:27" ht="15" customHeight="1" x14ac:dyDescent="0.2">
      <c r="A41" s="305" t="s">
        <v>24</v>
      </c>
      <c r="B41" s="315"/>
      <c r="C41" s="209">
        <v>11016</v>
      </c>
      <c r="D41" s="316"/>
      <c r="E41" s="321">
        <f>4986+4452+672</f>
        <v>10110</v>
      </c>
      <c r="F41" s="315"/>
      <c r="G41" s="321">
        <v>10987</v>
      </c>
      <c r="H41" s="315"/>
      <c r="I41" s="321">
        <v>11556</v>
      </c>
      <c r="J41" s="315"/>
      <c r="K41" s="321">
        <v>11852</v>
      </c>
      <c r="L41" s="315"/>
      <c r="M41" s="321">
        <v>11142</v>
      </c>
      <c r="N41" s="315"/>
      <c r="O41" s="321">
        <v>11502</v>
      </c>
      <c r="P41" s="315"/>
      <c r="Q41" s="321">
        <v>10718</v>
      </c>
      <c r="R41" s="315"/>
      <c r="S41" s="321">
        <v>11334</v>
      </c>
      <c r="T41" s="315"/>
      <c r="U41" s="1273"/>
      <c r="V41" s="226"/>
      <c r="W41" s="50"/>
      <c r="X41" s="51">
        <f>AVERAGE(O41,M41,S41,K41,Q41)</f>
        <v>11309.6</v>
      </c>
    </row>
    <row r="42" spans="1:27" ht="15" customHeight="1" x14ac:dyDescent="0.2">
      <c r="A42" s="305" t="s">
        <v>25</v>
      </c>
      <c r="B42" s="315"/>
      <c r="C42" s="209">
        <v>10508</v>
      </c>
      <c r="D42" s="316"/>
      <c r="E42" s="321">
        <f>7317+932+1388</f>
        <v>9637</v>
      </c>
      <c r="F42" s="315"/>
      <c r="G42" s="321">
        <v>10760</v>
      </c>
      <c r="H42" s="315"/>
      <c r="I42" s="321">
        <v>10763</v>
      </c>
      <c r="J42" s="315"/>
      <c r="K42" s="321">
        <v>10888</v>
      </c>
      <c r="L42" s="315"/>
      <c r="M42" s="321">
        <v>10990</v>
      </c>
      <c r="N42" s="315"/>
      <c r="O42" s="321">
        <v>10654</v>
      </c>
      <c r="P42" s="315"/>
      <c r="Q42" s="321">
        <v>10987</v>
      </c>
      <c r="R42" s="315"/>
      <c r="S42" s="321">
        <v>11564</v>
      </c>
      <c r="T42" s="315"/>
      <c r="U42" s="1273"/>
      <c r="V42" s="226"/>
      <c r="W42" s="52"/>
      <c r="X42" s="51">
        <f t="shared" ref="X42:X45" si="10">AVERAGE(O42,M42,S42,K42,Q42)</f>
        <v>11016.6</v>
      </c>
    </row>
    <row r="43" spans="1:27" ht="15" customHeight="1" x14ac:dyDescent="0.2">
      <c r="A43" s="305" t="s">
        <v>26</v>
      </c>
      <c r="B43" s="315"/>
      <c r="C43" s="209">
        <v>369</v>
      </c>
      <c r="D43" s="316"/>
      <c r="E43" s="321">
        <f>351+67</f>
        <v>418</v>
      </c>
      <c r="F43" s="315"/>
      <c r="G43" s="321">
        <v>362</v>
      </c>
      <c r="H43" s="315"/>
      <c r="I43" s="321">
        <v>434</v>
      </c>
      <c r="J43" s="315"/>
      <c r="K43" s="321">
        <v>328</v>
      </c>
      <c r="L43" s="315"/>
      <c r="M43" s="321">
        <v>437</v>
      </c>
      <c r="N43" s="315"/>
      <c r="O43" s="321">
        <v>317</v>
      </c>
      <c r="P43" s="315"/>
      <c r="Q43" s="321">
        <v>462</v>
      </c>
      <c r="R43" s="315"/>
      <c r="S43" s="321">
        <v>321</v>
      </c>
      <c r="T43" s="315"/>
      <c r="U43" s="1273"/>
      <c r="V43" s="226"/>
      <c r="W43" s="52"/>
      <c r="X43" s="51">
        <f t="shared" si="10"/>
        <v>373</v>
      </c>
    </row>
    <row r="44" spans="1:27" ht="15" customHeight="1" thickBot="1" x14ac:dyDescent="0.25">
      <c r="A44" s="1238" t="s">
        <v>27</v>
      </c>
      <c r="B44" s="83"/>
      <c r="C44" s="324">
        <v>310</v>
      </c>
      <c r="D44" s="316"/>
      <c r="E44" s="325">
        <v>328</v>
      </c>
      <c r="F44" s="315"/>
      <c r="G44" s="325">
        <v>403</v>
      </c>
      <c r="H44" s="315"/>
      <c r="I44" s="325">
        <v>367</v>
      </c>
      <c r="J44" s="315"/>
      <c r="K44" s="325">
        <v>323</v>
      </c>
      <c r="L44" s="315"/>
      <c r="M44" s="325">
        <v>245</v>
      </c>
      <c r="N44" s="315"/>
      <c r="O44" s="325">
        <v>312</v>
      </c>
      <c r="P44" s="315"/>
      <c r="Q44" s="325">
        <v>259</v>
      </c>
      <c r="R44" s="315"/>
      <c r="S44" s="325">
        <v>300</v>
      </c>
      <c r="T44" s="83"/>
      <c r="U44" s="1274"/>
      <c r="V44" s="226"/>
      <c r="W44" s="63"/>
      <c r="X44" s="484">
        <f t="shared" si="10"/>
        <v>287.8</v>
      </c>
    </row>
    <row r="45" spans="1:27" ht="15" customHeight="1" thickBot="1" x14ac:dyDescent="0.25">
      <c r="A45" s="850" t="s">
        <v>28</v>
      </c>
      <c r="B45" s="328"/>
      <c r="C45" s="329">
        <f>SUM(C41:C44)</f>
        <v>22203</v>
      </c>
      <c r="D45" s="330"/>
      <c r="E45" s="331">
        <f>SUM(E41:E44)</f>
        <v>20493</v>
      </c>
      <c r="F45" s="328"/>
      <c r="G45" s="331">
        <f>SUM(G41:G44)</f>
        <v>22512</v>
      </c>
      <c r="H45" s="328"/>
      <c r="I45" s="331">
        <f>SUM(I41:I44)</f>
        <v>23120</v>
      </c>
      <c r="J45" s="328"/>
      <c r="K45" s="331">
        <f>SUM(K41:K44)</f>
        <v>23391</v>
      </c>
      <c r="L45" s="328"/>
      <c r="M45" s="331">
        <f>SUM(M41:M44)</f>
        <v>22814</v>
      </c>
      <c r="N45" s="328"/>
      <c r="O45" s="331">
        <f>SUM(O41:O44)</f>
        <v>22785</v>
      </c>
      <c r="P45" s="328"/>
      <c r="Q45" s="331">
        <f>SUM(Q41:Q44)</f>
        <v>22426</v>
      </c>
      <c r="R45" s="328"/>
      <c r="S45" s="331">
        <f>SUM(S41:S44)</f>
        <v>23519</v>
      </c>
      <c r="T45" s="328"/>
      <c r="U45" s="1277">
        <f>SUM(U41:U44)</f>
        <v>0</v>
      </c>
      <c r="V45" s="226"/>
      <c r="W45" s="485"/>
      <c r="X45" s="486">
        <f t="shared" si="10"/>
        <v>22987</v>
      </c>
    </row>
    <row r="46" spans="1:27" ht="15" customHeight="1" thickTop="1" thickBot="1" x14ac:dyDescent="0.25">
      <c r="A46" s="280"/>
      <c r="B46" s="332"/>
      <c r="C46" s="333"/>
      <c r="D46" s="332"/>
      <c r="E46" s="333"/>
      <c r="F46" s="332"/>
      <c r="G46" s="333"/>
      <c r="H46" s="332"/>
      <c r="I46" s="333"/>
      <c r="J46" s="332"/>
      <c r="K46" s="333"/>
      <c r="L46" s="332"/>
      <c r="M46" s="333"/>
      <c r="N46" s="332"/>
      <c r="O46" s="333"/>
      <c r="P46" s="332"/>
      <c r="Q46" s="333"/>
      <c r="R46" s="332"/>
      <c r="S46" s="333"/>
      <c r="T46" s="332"/>
      <c r="U46" s="333"/>
      <c r="V46" s="334"/>
      <c r="W46" s="335"/>
      <c r="X46" s="333"/>
    </row>
    <row r="47" spans="1:27" ht="18" customHeight="1" thickTop="1" thickBot="1" x14ac:dyDescent="0.25">
      <c r="A47" s="175" t="s">
        <v>29</v>
      </c>
      <c r="B47" s="1385" t="s">
        <v>30</v>
      </c>
      <c r="C47" s="1395"/>
      <c r="D47" s="1385" t="s">
        <v>31</v>
      </c>
      <c r="E47" s="1396"/>
      <c r="F47" s="1385" t="s">
        <v>32</v>
      </c>
      <c r="G47" s="1396"/>
      <c r="H47" s="1385" t="s">
        <v>33</v>
      </c>
      <c r="I47" s="1396"/>
      <c r="J47" s="1385" t="s">
        <v>34</v>
      </c>
      <c r="K47" s="1396"/>
      <c r="L47" s="1385" t="s">
        <v>35</v>
      </c>
      <c r="M47" s="1396"/>
      <c r="N47" s="1385" t="s">
        <v>36</v>
      </c>
      <c r="O47" s="1396"/>
      <c r="P47" s="1385" t="s">
        <v>37</v>
      </c>
      <c r="Q47" s="1396"/>
      <c r="R47" s="1385" t="s">
        <v>38</v>
      </c>
      <c r="S47" s="1396"/>
      <c r="T47" s="1385" t="s">
        <v>302</v>
      </c>
      <c r="U47" s="1386"/>
      <c r="V47" s="869"/>
      <c r="W47" s="1382" t="s">
        <v>9</v>
      </c>
      <c r="X47" s="1383"/>
      <c r="Y47" s="56"/>
      <c r="Z47" s="56"/>
      <c r="AA47" s="57"/>
    </row>
    <row r="48" spans="1:27" ht="15" customHeight="1" x14ac:dyDescent="0.2">
      <c r="A48" s="1068" t="s">
        <v>244</v>
      </c>
      <c r="B48" s="177"/>
      <c r="C48" s="178">
        <v>0.249</v>
      </c>
      <c r="D48" s="179"/>
      <c r="E48" s="180">
        <v>0.32900000000000001</v>
      </c>
      <c r="F48" s="181"/>
      <c r="G48" s="180">
        <v>0.27900000000000003</v>
      </c>
      <c r="H48" s="181"/>
      <c r="I48" s="180">
        <v>0.307</v>
      </c>
      <c r="J48" s="181"/>
      <c r="K48" s="180">
        <v>0.29699999999999999</v>
      </c>
      <c r="L48" s="181"/>
      <c r="M48" s="180">
        <v>0.308</v>
      </c>
      <c r="N48" s="181"/>
      <c r="O48" s="180">
        <v>0.28899999999999998</v>
      </c>
      <c r="P48" s="181"/>
      <c r="Q48" s="180">
        <v>0.29799999999999999</v>
      </c>
      <c r="R48" s="181"/>
      <c r="S48" s="180">
        <v>0.32100000000000001</v>
      </c>
      <c r="T48" s="181"/>
      <c r="U48" s="182">
        <v>0.33</v>
      </c>
      <c r="V48" s="651"/>
      <c r="W48" s="469"/>
      <c r="X48" s="594">
        <f>AVERAGE(Q48,O48,M48,U48,S48)</f>
        <v>0.30920000000000003</v>
      </c>
      <c r="Y48" s="56"/>
      <c r="Z48" s="56"/>
      <c r="AA48" s="57"/>
    </row>
    <row r="49" spans="1:27" ht="15" customHeight="1" x14ac:dyDescent="0.2">
      <c r="A49" s="1069" t="s">
        <v>245</v>
      </c>
      <c r="B49" s="184"/>
      <c r="C49" s="185">
        <v>2.9000000000000001E-2</v>
      </c>
      <c r="D49" s="184"/>
      <c r="E49" s="185">
        <v>2.9000000000000001E-2</v>
      </c>
      <c r="F49" s="186"/>
      <c r="G49" s="185">
        <v>2.9000000000000001E-2</v>
      </c>
      <c r="H49" s="186"/>
      <c r="I49" s="185">
        <v>2.5000000000000001E-2</v>
      </c>
      <c r="J49" s="186"/>
      <c r="K49" s="185">
        <v>2.4E-2</v>
      </c>
      <c r="L49" s="186"/>
      <c r="M49" s="185">
        <v>2.4E-2</v>
      </c>
      <c r="N49" s="186"/>
      <c r="O49" s="185">
        <v>2.3E-2</v>
      </c>
      <c r="P49" s="186"/>
      <c r="Q49" s="185">
        <v>2.1000000000000001E-2</v>
      </c>
      <c r="R49" s="186"/>
      <c r="S49" s="185">
        <v>1.9E-2</v>
      </c>
      <c r="T49" s="186"/>
      <c r="U49" s="187">
        <v>1.9E-2</v>
      </c>
      <c r="V49" s="651"/>
      <c r="W49" s="469"/>
      <c r="X49" s="594">
        <f>AVERAGE(Q49,O49,M49,U49,S49)</f>
        <v>2.1200000000000004E-2</v>
      </c>
      <c r="Y49" s="56"/>
      <c r="Z49" s="56"/>
      <c r="AA49" s="57"/>
    </row>
    <row r="50" spans="1:27" ht="15" customHeight="1" thickBot="1" x14ac:dyDescent="0.25">
      <c r="A50" s="189" t="s">
        <v>243</v>
      </c>
      <c r="B50" s="1403">
        <f>1-C48-C49</f>
        <v>0.72199999999999998</v>
      </c>
      <c r="C50" s="1404"/>
      <c r="D50" s="1403">
        <f>1-E48-E49</f>
        <v>0.64200000000000002</v>
      </c>
      <c r="E50" s="1404"/>
      <c r="F50" s="1403">
        <f>1-G48-G49</f>
        <v>0.69199999999999995</v>
      </c>
      <c r="G50" s="1404"/>
      <c r="H50" s="1403">
        <f>1-I48-I49</f>
        <v>0.66800000000000004</v>
      </c>
      <c r="I50" s="1404"/>
      <c r="J50" s="1403">
        <f>1-K48-K49</f>
        <v>0.67900000000000005</v>
      </c>
      <c r="K50" s="1404"/>
      <c r="L50" s="1403">
        <f>1-M48-M49</f>
        <v>0.66799999999999993</v>
      </c>
      <c r="M50" s="1404"/>
      <c r="N50" s="1403">
        <f>1-O48-O49</f>
        <v>0.68800000000000006</v>
      </c>
      <c r="O50" s="1404"/>
      <c r="P50" s="1403">
        <f>1-Q48-Q49</f>
        <v>0.68099999999999994</v>
      </c>
      <c r="Q50" s="1404"/>
      <c r="R50" s="1403">
        <f>1-S48-S49</f>
        <v>0.66</v>
      </c>
      <c r="S50" s="1404"/>
      <c r="T50" s="1403">
        <f>1-U48-U49</f>
        <v>0.65099999999999991</v>
      </c>
      <c r="U50" s="1406"/>
      <c r="V50" s="651"/>
      <c r="W50" s="1390">
        <f>1-X48-X49</f>
        <v>0.66959999999999997</v>
      </c>
      <c r="X50" s="1391"/>
      <c r="Y50" s="56"/>
      <c r="Z50" s="56"/>
      <c r="AA50" s="57"/>
    </row>
    <row r="51" spans="1:27" s="3" customFormat="1" ht="18" customHeight="1" thickTop="1" thickBot="1" x14ac:dyDescent="0.25">
      <c r="A51" s="194" t="s">
        <v>67</v>
      </c>
      <c r="B51" s="227" t="s">
        <v>39</v>
      </c>
      <c r="C51" s="228" t="s">
        <v>74</v>
      </c>
      <c r="D51" s="227" t="s">
        <v>39</v>
      </c>
      <c r="E51" s="228" t="s">
        <v>74</v>
      </c>
      <c r="F51" s="227" t="s">
        <v>39</v>
      </c>
      <c r="G51" s="228" t="s">
        <v>74</v>
      </c>
      <c r="H51" s="227" t="s">
        <v>39</v>
      </c>
      <c r="I51" s="228" t="s">
        <v>74</v>
      </c>
      <c r="J51" s="227" t="s">
        <v>39</v>
      </c>
      <c r="K51" s="228" t="s">
        <v>74</v>
      </c>
      <c r="L51" s="227" t="s">
        <v>39</v>
      </c>
      <c r="M51" s="228" t="s">
        <v>74</v>
      </c>
      <c r="N51" s="227" t="s">
        <v>39</v>
      </c>
      <c r="O51" s="228" t="s">
        <v>74</v>
      </c>
      <c r="P51" s="227" t="s">
        <v>39</v>
      </c>
      <c r="Q51" s="228" t="s">
        <v>74</v>
      </c>
      <c r="R51" s="227" t="s">
        <v>39</v>
      </c>
      <c r="S51" s="228" t="s">
        <v>74</v>
      </c>
      <c r="T51" s="227" t="s">
        <v>39</v>
      </c>
      <c r="U51" s="229" t="s">
        <v>74</v>
      </c>
      <c r="V51" s="230"/>
      <c r="W51" s="1071" t="s">
        <v>39</v>
      </c>
      <c r="X51" s="229" t="s">
        <v>74</v>
      </c>
    </row>
    <row r="52" spans="1:27" ht="15" customHeight="1" x14ac:dyDescent="0.2">
      <c r="A52" s="233" t="s">
        <v>68</v>
      </c>
      <c r="B52" s="234"/>
      <c r="C52" s="235">
        <f>B52/B16</f>
        <v>0</v>
      </c>
      <c r="D52" s="234"/>
      <c r="E52" s="235">
        <f>D52/D16</f>
        <v>0</v>
      </c>
      <c r="F52" s="234"/>
      <c r="G52" s="235">
        <f>F52/F16</f>
        <v>0</v>
      </c>
      <c r="H52" s="234">
        <v>8</v>
      </c>
      <c r="I52" s="235">
        <f>H52/H16</f>
        <v>0.5</v>
      </c>
      <c r="J52" s="234">
        <v>7</v>
      </c>
      <c r="K52" s="235">
        <f>J52/J16</f>
        <v>0.3888888888888889</v>
      </c>
      <c r="L52" s="234">
        <v>7</v>
      </c>
      <c r="M52" s="235">
        <f>L52/L16</f>
        <v>0.5</v>
      </c>
      <c r="N52" s="234">
        <v>8</v>
      </c>
      <c r="O52" s="235">
        <f>N52/N16</f>
        <v>0.5714285714285714</v>
      </c>
      <c r="P52" s="234">
        <v>5</v>
      </c>
      <c r="Q52" s="235">
        <f>P52/P16</f>
        <v>0.29411764705882354</v>
      </c>
      <c r="R52" s="234">
        <v>7</v>
      </c>
      <c r="S52" s="235">
        <f>R52/R16</f>
        <v>0.5</v>
      </c>
      <c r="T52" s="234"/>
      <c r="U52" s="236">
        <f>T52/T16</f>
        <v>0</v>
      </c>
      <c r="V52" s="226"/>
      <c r="W52" s="237">
        <f>AVERAGE(N52,L52,R52,T52,P52)</f>
        <v>6.75</v>
      </c>
      <c r="X52" s="480">
        <f>W52/W16</f>
        <v>0.49632352941176472</v>
      </c>
    </row>
    <row r="53" spans="1:27" ht="15" customHeight="1" thickBot="1" x14ac:dyDescent="0.25">
      <c r="A53" s="238" t="s">
        <v>69</v>
      </c>
      <c r="B53" s="239"/>
      <c r="C53" s="240">
        <f>B53/B17</f>
        <v>0</v>
      </c>
      <c r="D53" s="239"/>
      <c r="E53" s="240">
        <f>D53/D17</f>
        <v>0</v>
      </c>
      <c r="F53" s="239"/>
      <c r="G53" s="240">
        <f>F53/F17</f>
        <v>0</v>
      </c>
      <c r="H53" s="239">
        <v>17</v>
      </c>
      <c r="I53" s="240">
        <f>H53/H17</f>
        <v>0.54838709677419351</v>
      </c>
      <c r="J53" s="239">
        <v>14</v>
      </c>
      <c r="K53" s="240">
        <f>J53/J17</f>
        <v>0.5</v>
      </c>
      <c r="L53" s="239">
        <v>13</v>
      </c>
      <c r="M53" s="240">
        <f>L53/L17</f>
        <v>0.43333333333333335</v>
      </c>
      <c r="N53" s="239">
        <v>16</v>
      </c>
      <c r="O53" s="240">
        <f>N53/N17</f>
        <v>0.5714285714285714</v>
      </c>
      <c r="P53" s="239">
        <v>15</v>
      </c>
      <c r="Q53" s="240">
        <f>P53/P17</f>
        <v>0.57692307692307687</v>
      </c>
      <c r="R53" s="239">
        <v>14</v>
      </c>
      <c r="S53" s="240">
        <f>R53/R17</f>
        <v>0.5</v>
      </c>
      <c r="T53" s="239"/>
      <c r="U53" s="241">
        <f>T53/T17</f>
        <v>0</v>
      </c>
      <c r="V53" s="226"/>
      <c r="W53" s="242">
        <f>AVERAGE(N53,L53,R53,T53,P53)</f>
        <v>14.5</v>
      </c>
      <c r="X53" s="241">
        <f>W53/W17</f>
        <v>0.51056338028169013</v>
      </c>
    </row>
    <row r="54" spans="1:27" s="85" customFormat="1" ht="15" customHeight="1" thickTop="1" x14ac:dyDescent="0.2">
      <c r="A54" s="37" t="s">
        <v>288</v>
      </c>
      <c r="B54" s="650"/>
      <c r="C54" s="650"/>
      <c r="D54" s="650"/>
      <c r="E54" s="650"/>
      <c r="F54" s="650"/>
      <c r="G54" s="650"/>
      <c r="H54" s="650"/>
      <c r="I54" s="650"/>
      <c r="J54" s="650"/>
      <c r="K54" s="650"/>
      <c r="L54" s="650"/>
      <c r="M54" s="650"/>
      <c r="N54" s="650"/>
      <c r="O54" s="650"/>
      <c r="P54" s="650"/>
      <c r="Q54" s="650"/>
      <c r="R54" s="650"/>
      <c r="S54" s="650"/>
      <c r="T54" s="650"/>
      <c r="U54" s="650"/>
      <c r="V54" s="651"/>
      <c r="W54" s="650"/>
      <c r="X54" s="650"/>
      <c r="Y54" s="56"/>
      <c r="Z54" s="56"/>
      <c r="AA54" s="57"/>
    </row>
    <row r="55" spans="1:27" s="85" customFormat="1" ht="15" customHeight="1" thickBot="1" x14ac:dyDescent="0.25">
      <c r="A55" s="37"/>
      <c r="B55" s="650"/>
      <c r="C55" s="650"/>
      <c r="D55" s="650"/>
      <c r="E55" s="650"/>
      <c r="F55" s="650"/>
      <c r="G55" s="650"/>
      <c r="H55" s="650"/>
      <c r="I55" s="650"/>
      <c r="J55" s="650"/>
      <c r="K55" s="650"/>
      <c r="L55" s="650"/>
      <c r="M55" s="650"/>
      <c r="N55" s="650"/>
      <c r="O55" s="650"/>
      <c r="P55" s="650"/>
      <c r="Q55" s="650"/>
      <c r="R55" s="650"/>
      <c r="S55" s="650"/>
      <c r="T55" s="650"/>
      <c r="U55" s="650"/>
      <c r="V55" s="651"/>
      <c r="W55" s="650"/>
      <c r="X55" s="650"/>
      <c r="Y55" s="56"/>
      <c r="Z55" s="56"/>
      <c r="AA55" s="57"/>
    </row>
    <row r="56" spans="1:27" s="1" customFormat="1" ht="18.75" customHeight="1" thickTop="1" thickBot="1" x14ac:dyDescent="0.25">
      <c r="A56" s="175" t="s">
        <v>247</v>
      </c>
      <c r="B56" s="1385" t="s">
        <v>30</v>
      </c>
      <c r="C56" s="1395"/>
      <c r="D56" s="1385" t="s">
        <v>31</v>
      </c>
      <c r="E56" s="1396"/>
      <c r="F56" s="1385" t="s">
        <v>32</v>
      </c>
      <c r="G56" s="1396"/>
      <c r="H56" s="1385" t="s">
        <v>33</v>
      </c>
      <c r="I56" s="1396"/>
      <c r="J56" s="1385" t="s">
        <v>34</v>
      </c>
      <c r="K56" s="1396"/>
      <c r="L56" s="1385" t="s">
        <v>35</v>
      </c>
      <c r="M56" s="1396"/>
      <c r="N56" s="1385" t="s">
        <v>36</v>
      </c>
      <c r="O56" s="1396"/>
      <c r="P56" s="1385" t="s">
        <v>37</v>
      </c>
      <c r="Q56" s="1396"/>
      <c r="R56" s="1385" t="s">
        <v>38</v>
      </c>
      <c r="S56" s="1396"/>
      <c r="T56" s="1385" t="s">
        <v>302</v>
      </c>
      <c r="U56" s="1386"/>
      <c r="V56" s="195"/>
      <c r="W56" s="1382" t="s">
        <v>9</v>
      </c>
      <c r="X56" s="1383"/>
    </row>
    <row r="57" spans="1:27" s="1" customFormat="1" ht="24" x14ac:dyDescent="0.2">
      <c r="A57" s="715" t="s">
        <v>289</v>
      </c>
      <c r="B57" s="711"/>
      <c r="C57" s="529"/>
      <c r="D57" s="711"/>
      <c r="E57" s="712"/>
      <c r="F57" s="711"/>
      <c r="G57" s="712"/>
      <c r="H57" s="711"/>
      <c r="I57" s="712"/>
      <c r="J57" s="711"/>
      <c r="K57" s="712"/>
      <c r="L57" s="711"/>
      <c r="M57" s="712"/>
      <c r="N57" s="711"/>
      <c r="O57" s="712"/>
      <c r="P57" s="711"/>
      <c r="Q57" s="712"/>
      <c r="R57" s="711"/>
      <c r="S57" s="712"/>
      <c r="T57" s="713"/>
      <c r="U57" s="714"/>
      <c r="V57" s="195"/>
      <c r="W57" s="272"/>
      <c r="X57" s="271"/>
    </row>
    <row r="58" spans="1:27" s="1" customFormat="1" ht="24" x14ac:dyDescent="0.2">
      <c r="A58" s="721" t="s">
        <v>237</v>
      </c>
      <c r="B58" s="186"/>
      <c r="C58" s="653">
        <v>19</v>
      </c>
      <c r="D58" s="186"/>
      <c r="E58" s="653">
        <v>23</v>
      </c>
      <c r="F58" s="186"/>
      <c r="G58" s="653">
        <v>23</v>
      </c>
      <c r="H58" s="186"/>
      <c r="I58" s="653">
        <v>21</v>
      </c>
      <c r="J58" s="186"/>
      <c r="K58" s="653">
        <v>22</v>
      </c>
      <c r="L58" s="186"/>
      <c r="M58" s="653">
        <v>22</v>
      </c>
      <c r="N58" s="186"/>
      <c r="O58" s="653">
        <v>21</v>
      </c>
      <c r="P58" s="186"/>
      <c r="Q58" s="653">
        <v>22</v>
      </c>
      <c r="R58" s="186"/>
      <c r="S58" s="653">
        <v>25</v>
      </c>
      <c r="T58" s="654"/>
      <c r="U58" s="659"/>
      <c r="V58" s="195"/>
      <c r="W58" s="347"/>
      <c r="X58" s="659">
        <f>AVERAGE(O58,M58,S58,U58,Q58)</f>
        <v>22.5</v>
      </c>
    </row>
    <row r="59" spans="1:27" s="1" customFormat="1" ht="24" x14ac:dyDescent="0.2">
      <c r="A59" s="721" t="s">
        <v>239</v>
      </c>
      <c r="B59" s="654"/>
      <c r="C59" s="716">
        <v>19</v>
      </c>
      <c r="D59" s="654"/>
      <c r="E59" s="716">
        <v>23</v>
      </c>
      <c r="F59" s="654"/>
      <c r="G59" s="716">
        <v>23</v>
      </c>
      <c r="H59" s="654"/>
      <c r="I59" s="716">
        <v>21</v>
      </c>
      <c r="J59" s="654"/>
      <c r="K59" s="716">
        <v>22</v>
      </c>
      <c r="L59" s="654"/>
      <c r="M59" s="716">
        <v>22</v>
      </c>
      <c r="N59" s="654"/>
      <c r="O59" s="716">
        <v>21</v>
      </c>
      <c r="P59" s="654"/>
      <c r="Q59" s="716">
        <v>22</v>
      </c>
      <c r="R59" s="654"/>
      <c r="S59" s="716">
        <v>25</v>
      </c>
      <c r="T59" s="654"/>
      <c r="U59" s="659"/>
      <c r="V59" s="195"/>
      <c r="W59" s="1252"/>
      <c r="X59" s="394">
        <f t="shared" ref="X59:X60" si="11">AVERAGE(O59,M59,S59,U59,Q59)</f>
        <v>22.5</v>
      </c>
    </row>
    <row r="60" spans="1:27" s="1" customFormat="1" ht="15" customHeight="1" thickBot="1" x14ac:dyDescent="0.25">
      <c r="A60" s="942" t="s">
        <v>238</v>
      </c>
      <c r="B60" s="943"/>
      <c r="C60" s="944">
        <v>19</v>
      </c>
      <c r="D60" s="943"/>
      <c r="E60" s="944">
        <v>22.9</v>
      </c>
      <c r="F60" s="943"/>
      <c r="G60" s="944">
        <v>22.45</v>
      </c>
      <c r="H60" s="943"/>
      <c r="I60" s="944">
        <v>20.55</v>
      </c>
      <c r="J60" s="943"/>
      <c r="K60" s="944">
        <v>21.55</v>
      </c>
      <c r="L60" s="943"/>
      <c r="M60" s="944">
        <v>21.55</v>
      </c>
      <c r="N60" s="943"/>
      <c r="O60" s="944">
        <v>20.55</v>
      </c>
      <c r="P60" s="943"/>
      <c r="Q60" s="944">
        <v>21.6</v>
      </c>
      <c r="R60" s="943"/>
      <c r="S60" s="944">
        <v>24.8</v>
      </c>
      <c r="T60" s="956"/>
      <c r="U60" s="947"/>
      <c r="V60" s="195"/>
      <c r="W60" s="950"/>
      <c r="X60" s="1253">
        <f t="shared" si="11"/>
        <v>22.125</v>
      </c>
    </row>
    <row r="61" spans="1:27" s="1" customFormat="1" ht="18" customHeight="1" thickBot="1" x14ac:dyDescent="0.25">
      <c r="A61" s="872" t="s">
        <v>264</v>
      </c>
      <c r="B61" s="799" t="s">
        <v>40</v>
      </c>
      <c r="C61" s="798" t="s">
        <v>41</v>
      </c>
      <c r="D61" s="799" t="s">
        <v>40</v>
      </c>
      <c r="E61" s="798" t="s">
        <v>41</v>
      </c>
      <c r="F61" s="799" t="s">
        <v>40</v>
      </c>
      <c r="G61" s="798" t="s">
        <v>41</v>
      </c>
      <c r="H61" s="799" t="s">
        <v>40</v>
      </c>
      <c r="I61" s="798" t="s">
        <v>41</v>
      </c>
      <c r="J61" s="799" t="s">
        <v>40</v>
      </c>
      <c r="K61" s="798" t="s">
        <v>41</v>
      </c>
      <c r="L61" s="799" t="s">
        <v>40</v>
      </c>
      <c r="M61" s="798" t="s">
        <v>41</v>
      </c>
      <c r="N61" s="799" t="s">
        <v>40</v>
      </c>
      <c r="O61" s="798" t="s">
        <v>41</v>
      </c>
      <c r="P61" s="799" t="s">
        <v>40</v>
      </c>
      <c r="Q61" s="798" t="s">
        <v>41</v>
      </c>
      <c r="R61" s="799" t="s">
        <v>40</v>
      </c>
      <c r="S61" s="798" t="s">
        <v>41</v>
      </c>
      <c r="T61" s="799" t="s">
        <v>40</v>
      </c>
      <c r="U61" s="804" t="s">
        <v>41</v>
      </c>
      <c r="V61" s="955"/>
      <c r="W61" s="1254" t="s">
        <v>40</v>
      </c>
      <c r="X61" s="804" t="s">
        <v>41</v>
      </c>
    </row>
    <row r="62" spans="1:27" s="1" customFormat="1" ht="15" customHeight="1" x14ac:dyDescent="0.2">
      <c r="A62" s="680" t="s">
        <v>42</v>
      </c>
      <c r="B62" s="808"/>
      <c r="C62" s="805"/>
      <c r="D62" s="806"/>
      <c r="E62" s="807"/>
      <c r="F62" s="808"/>
      <c r="G62" s="807"/>
      <c r="H62" s="808"/>
      <c r="I62" s="807"/>
      <c r="J62" s="808"/>
      <c r="K62" s="807"/>
      <c r="L62" s="808"/>
      <c r="M62" s="807"/>
      <c r="N62" s="808"/>
      <c r="O62" s="807"/>
      <c r="P62" s="808"/>
      <c r="Q62" s="807"/>
      <c r="R62" s="808"/>
      <c r="S62" s="807"/>
      <c r="T62" s="808"/>
      <c r="U62" s="1013"/>
      <c r="V62" s="195"/>
      <c r="W62" s="1029"/>
      <c r="X62" s="1030"/>
    </row>
    <row r="63" spans="1:27" s="1" customFormat="1" ht="15" customHeight="1" x14ac:dyDescent="0.2">
      <c r="A63" s="678" t="s">
        <v>43</v>
      </c>
      <c r="B63" s="258"/>
      <c r="C63" s="810">
        <v>23</v>
      </c>
      <c r="D63" s="260"/>
      <c r="E63" s="811">
        <v>28</v>
      </c>
      <c r="F63" s="258"/>
      <c r="G63" s="811">
        <v>26</v>
      </c>
      <c r="H63" s="258"/>
      <c r="I63" s="811">
        <v>24</v>
      </c>
      <c r="J63" s="813">
        <v>26</v>
      </c>
      <c r="K63" s="811">
        <v>26</v>
      </c>
      <c r="L63" s="813">
        <v>26</v>
      </c>
      <c r="M63" s="811">
        <v>26</v>
      </c>
      <c r="N63" s="813">
        <v>25</v>
      </c>
      <c r="O63" s="811">
        <v>25</v>
      </c>
      <c r="P63" s="813">
        <v>27</v>
      </c>
      <c r="Q63" s="811">
        <v>27</v>
      </c>
      <c r="R63" s="813">
        <v>29</v>
      </c>
      <c r="S63" s="811">
        <v>29</v>
      </c>
      <c r="T63" s="813"/>
      <c r="U63" s="932"/>
      <c r="V63" s="195"/>
      <c r="W63" s="936">
        <f>AVERAGE(T63,L63,N63,P63,R63)</f>
        <v>26.75</v>
      </c>
      <c r="X63" s="1031">
        <f t="shared" ref="X63:X68" si="12">AVERAGE(O63,M63,S63,U63,Q63)</f>
        <v>26.75</v>
      </c>
    </row>
    <row r="64" spans="1:27" s="1" customFormat="1" ht="15" customHeight="1" x14ac:dyDescent="0.2">
      <c r="A64" s="678" t="s">
        <v>44</v>
      </c>
      <c r="B64" s="258"/>
      <c r="C64" s="810">
        <v>2</v>
      </c>
      <c r="D64" s="260"/>
      <c r="E64" s="811">
        <v>3</v>
      </c>
      <c r="F64" s="258"/>
      <c r="G64" s="811">
        <v>1</v>
      </c>
      <c r="H64" s="258"/>
      <c r="I64" s="811">
        <v>2</v>
      </c>
      <c r="J64" s="813">
        <v>0</v>
      </c>
      <c r="K64" s="811">
        <v>0</v>
      </c>
      <c r="L64" s="345">
        <v>1.1499999999999999</v>
      </c>
      <c r="M64" s="811">
        <v>3</v>
      </c>
      <c r="N64" s="345">
        <v>0.75</v>
      </c>
      <c r="O64" s="811">
        <v>3</v>
      </c>
      <c r="P64" s="345">
        <v>2.1</v>
      </c>
      <c r="Q64" s="811">
        <v>6</v>
      </c>
      <c r="R64" s="813">
        <v>1</v>
      </c>
      <c r="S64" s="811">
        <v>5</v>
      </c>
      <c r="T64" s="813"/>
      <c r="U64" s="932"/>
      <c r="V64" s="195"/>
      <c r="W64" s="936">
        <f t="shared" ref="W64:W68" si="13">AVERAGE(T64,L64,N64,P64,R64)</f>
        <v>1.25</v>
      </c>
      <c r="X64" s="1031">
        <f t="shared" si="12"/>
        <v>4.25</v>
      </c>
    </row>
    <row r="65" spans="1:24" s="1" customFormat="1" ht="15" customHeight="1" x14ac:dyDescent="0.2">
      <c r="A65" s="676" t="s">
        <v>45</v>
      </c>
      <c r="B65" s="345"/>
      <c r="C65" s="815"/>
      <c r="D65" s="663"/>
      <c r="E65" s="816"/>
      <c r="F65" s="345"/>
      <c r="G65" s="816"/>
      <c r="H65" s="345"/>
      <c r="I65" s="816"/>
      <c r="J65" s="345"/>
      <c r="K65" s="816"/>
      <c r="L65" s="345"/>
      <c r="M65" s="816"/>
      <c r="N65" s="345"/>
      <c r="O65" s="816"/>
      <c r="P65" s="345"/>
      <c r="Q65" s="816"/>
      <c r="R65" s="345"/>
      <c r="S65" s="816"/>
      <c r="T65" s="345"/>
      <c r="U65" s="933"/>
      <c r="V65" s="195"/>
      <c r="W65" s="936"/>
      <c r="X65" s="1031"/>
    </row>
    <row r="66" spans="1:24" s="1" customFormat="1" ht="15" customHeight="1" x14ac:dyDescent="0.2">
      <c r="A66" s="678" t="s">
        <v>43</v>
      </c>
      <c r="B66" s="258"/>
      <c r="C66" s="815">
        <v>0</v>
      </c>
      <c r="D66" s="260"/>
      <c r="E66" s="816">
        <v>0</v>
      </c>
      <c r="F66" s="258"/>
      <c r="G66" s="816">
        <v>0</v>
      </c>
      <c r="H66" s="258"/>
      <c r="I66" s="816">
        <v>1</v>
      </c>
      <c r="J66" s="813">
        <v>2</v>
      </c>
      <c r="K66" s="816">
        <v>2</v>
      </c>
      <c r="L66" s="813">
        <v>0</v>
      </c>
      <c r="M66" s="816">
        <v>0</v>
      </c>
      <c r="N66" s="813">
        <v>0</v>
      </c>
      <c r="O66" s="816">
        <v>0</v>
      </c>
      <c r="P66" s="813">
        <v>0</v>
      </c>
      <c r="Q66" s="816">
        <v>0</v>
      </c>
      <c r="R66" s="813">
        <v>0</v>
      </c>
      <c r="S66" s="816">
        <v>0</v>
      </c>
      <c r="T66" s="813"/>
      <c r="U66" s="933"/>
      <c r="V66" s="195"/>
      <c r="W66" s="936">
        <f t="shared" si="13"/>
        <v>0</v>
      </c>
      <c r="X66" s="1031">
        <f t="shared" si="12"/>
        <v>0</v>
      </c>
    </row>
    <row r="67" spans="1:24" s="1" customFormat="1" ht="15" customHeight="1" thickBot="1" x14ac:dyDescent="0.25">
      <c r="A67" s="939" t="s">
        <v>44</v>
      </c>
      <c r="B67" s="1017"/>
      <c r="C67" s="818">
        <v>2</v>
      </c>
      <c r="D67" s="1050"/>
      <c r="E67" s="819">
        <v>2</v>
      </c>
      <c r="F67" s="1017"/>
      <c r="G67" s="819">
        <v>2</v>
      </c>
      <c r="H67" s="1017"/>
      <c r="I67" s="819">
        <v>1</v>
      </c>
      <c r="J67" s="1067">
        <v>0.75</v>
      </c>
      <c r="K67" s="819">
        <v>1</v>
      </c>
      <c r="L67" s="1067">
        <v>0.75</v>
      </c>
      <c r="M67" s="819">
        <v>1</v>
      </c>
      <c r="N67" s="1067">
        <v>1.25</v>
      </c>
      <c r="O67" s="819">
        <v>2</v>
      </c>
      <c r="P67" s="821">
        <v>0</v>
      </c>
      <c r="Q67" s="819">
        <v>0</v>
      </c>
      <c r="R67" s="1067">
        <v>0</v>
      </c>
      <c r="S67" s="819">
        <v>0</v>
      </c>
      <c r="T67" s="821"/>
      <c r="U67" s="934"/>
      <c r="V67" s="195"/>
      <c r="W67" s="1020">
        <f t="shared" si="13"/>
        <v>0.5</v>
      </c>
      <c r="X67" s="1032">
        <f t="shared" si="12"/>
        <v>0.75</v>
      </c>
    </row>
    <row r="68" spans="1:24" s="1" customFormat="1" ht="15" customHeight="1" thickBot="1" x14ac:dyDescent="0.25">
      <c r="A68" s="796" t="s">
        <v>28</v>
      </c>
      <c r="B68" s="1021"/>
      <c r="C68" s="824">
        <f>SUM(C63:C67)</f>
        <v>27</v>
      </c>
      <c r="D68" s="1022"/>
      <c r="E68" s="826">
        <f>SUM(E63:E67)</f>
        <v>33</v>
      </c>
      <c r="F68" s="1021"/>
      <c r="G68" s="826">
        <f>SUM(G63:G67)</f>
        <v>29</v>
      </c>
      <c r="H68" s="1021"/>
      <c r="I68" s="826">
        <f t="shared" ref="I68:S68" si="14">SUM(I63:I67)</f>
        <v>28</v>
      </c>
      <c r="J68" s="906">
        <f t="shared" si="14"/>
        <v>28.75</v>
      </c>
      <c r="K68" s="826">
        <f t="shared" si="14"/>
        <v>29</v>
      </c>
      <c r="L68" s="906">
        <f t="shared" si="14"/>
        <v>27.9</v>
      </c>
      <c r="M68" s="826">
        <f t="shared" si="14"/>
        <v>30</v>
      </c>
      <c r="N68" s="906">
        <f t="shared" si="14"/>
        <v>27</v>
      </c>
      <c r="O68" s="826">
        <f t="shared" si="14"/>
        <v>30</v>
      </c>
      <c r="P68" s="906">
        <f t="shared" si="14"/>
        <v>29.1</v>
      </c>
      <c r="Q68" s="826">
        <f t="shared" si="14"/>
        <v>33</v>
      </c>
      <c r="R68" s="906">
        <f t="shared" si="14"/>
        <v>30</v>
      </c>
      <c r="S68" s="826">
        <f t="shared" si="14"/>
        <v>34</v>
      </c>
      <c r="T68" s="906">
        <f t="shared" ref="T68:U68" si="15">SUM(T63:T67)</f>
        <v>0</v>
      </c>
      <c r="U68" s="1023">
        <f t="shared" si="15"/>
        <v>0</v>
      </c>
      <c r="V68" s="195"/>
      <c r="W68" s="1028">
        <f t="shared" si="13"/>
        <v>22.8</v>
      </c>
      <c r="X68" s="1033">
        <f t="shared" si="12"/>
        <v>25.4</v>
      </c>
    </row>
    <row r="69" spans="1:24" s="1" customFormat="1" ht="18" customHeight="1" thickBot="1" x14ac:dyDescent="0.25">
      <c r="A69" s="795" t="s">
        <v>253</v>
      </c>
      <c r="B69" s="801" t="s">
        <v>39</v>
      </c>
      <c r="C69" s="954" t="s">
        <v>46</v>
      </c>
      <c r="D69" s="801" t="s">
        <v>39</v>
      </c>
      <c r="E69" s="798" t="s">
        <v>46</v>
      </c>
      <c r="F69" s="799" t="s">
        <v>39</v>
      </c>
      <c r="G69" s="798" t="s">
        <v>46</v>
      </c>
      <c r="H69" s="799" t="s">
        <v>39</v>
      </c>
      <c r="I69" s="798" t="s">
        <v>46</v>
      </c>
      <c r="J69" s="799" t="s">
        <v>39</v>
      </c>
      <c r="K69" s="798" t="s">
        <v>46</v>
      </c>
      <c r="L69" s="799" t="s">
        <v>39</v>
      </c>
      <c r="M69" s="798" t="s">
        <v>46</v>
      </c>
      <c r="N69" s="799" t="s">
        <v>39</v>
      </c>
      <c r="O69" s="798" t="s">
        <v>46</v>
      </c>
      <c r="P69" s="799" t="s">
        <v>39</v>
      </c>
      <c r="Q69" s="798" t="s">
        <v>46</v>
      </c>
      <c r="R69" s="799" t="s">
        <v>39</v>
      </c>
      <c r="S69" s="798" t="s">
        <v>46</v>
      </c>
      <c r="T69" s="799" t="s">
        <v>39</v>
      </c>
      <c r="U69" s="804" t="s">
        <v>46</v>
      </c>
      <c r="V69" s="195"/>
      <c r="W69" s="832" t="s">
        <v>39</v>
      </c>
      <c r="X69" s="804" t="s">
        <v>46</v>
      </c>
    </row>
    <row r="70" spans="1:24" s="1" customFormat="1" ht="18" customHeight="1" x14ac:dyDescent="0.2">
      <c r="A70" s="680" t="s">
        <v>265</v>
      </c>
      <c r="B70" s="938"/>
      <c r="C70" s="196"/>
      <c r="D70" s="938"/>
      <c r="E70" s="197"/>
      <c r="F70" s="937"/>
      <c r="G70" s="197"/>
      <c r="H70" s="198"/>
      <c r="I70" s="197"/>
      <c r="J70" s="198"/>
      <c r="K70" s="197"/>
      <c r="L70" s="198"/>
      <c r="M70" s="197"/>
      <c r="N70" s="937"/>
      <c r="O70" s="197"/>
      <c r="P70" s="937"/>
      <c r="Q70" s="197"/>
      <c r="R70" s="198"/>
      <c r="S70" s="197"/>
      <c r="T70" s="937"/>
      <c r="U70" s="199"/>
      <c r="V70" s="195"/>
      <c r="W70" s="1026"/>
      <c r="X70" s="199"/>
    </row>
    <row r="71" spans="1:24" s="1" customFormat="1" ht="15" customHeight="1" x14ac:dyDescent="0.2">
      <c r="A71" s="706" t="s">
        <v>47</v>
      </c>
      <c r="B71" s="201">
        <v>25</v>
      </c>
      <c r="C71" s="191">
        <f t="shared" ref="C71:C78" si="16">B71/C$68</f>
        <v>0.92592592592592593</v>
      </c>
      <c r="D71" s="201">
        <f>24+5</f>
        <v>29</v>
      </c>
      <c r="E71" s="192">
        <f t="shared" ref="E71:E78" si="17">D71/E$68</f>
        <v>0.87878787878787878</v>
      </c>
      <c r="F71" s="202">
        <v>25</v>
      </c>
      <c r="G71" s="192">
        <f t="shared" ref="G71:G78" si="18">F71/G$68</f>
        <v>0.86206896551724133</v>
      </c>
      <c r="H71" s="202">
        <v>24</v>
      </c>
      <c r="I71" s="192">
        <f t="shared" ref="I71:I78" si="19">H71/I$68</f>
        <v>0.8571428571428571</v>
      </c>
      <c r="J71" s="202">
        <f>3+21</f>
        <v>24</v>
      </c>
      <c r="K71" s="192">
        <f t="shared" ref="K71:K78" si="20">J71/K$68</f>
        <v>0.82758620689655171</v>
      </c>
      <c r="L71" s="202">
        <v>24</v>
      </c>
      <c r="M71" s="192">
        <f t="shared" ref="M71:M76" si="21">L71/M$68</f>
        <v>0.8</v>
      </c>
      <c r="N71" s="202">
        <f>4+20</f>
        <v>24</v>
      </c>
      <c r="O71" s="192">
        <f t="shared" ref="O71:Q76" si="22">N71/O$68</f>
        <v>0.8</v>
      </c>
      <c r="P71" s="202">
        <v>27</v>
      </c>
      <c r="Q71" s="192">
        <f t="shared" si="22"/>
        <v>0.81818181818181823</v>
      </c>
      <c r="R71" s="202">
        <v>28</v>
      </c>
      <c r="S71" s="192">
        <f t="shared" ref="S71:S76" si="23">R71/S$68</f>
        <v>0.82352941176470584</v>
      </c>
      <c r="T71" s="202"/>
      <c r="U71" s="203" t="e">
        <f t="shared" ref="U71:U76" si="24">T71/U$68</f>
        <v>#DIV/0!</v>
      </c>
      <c r="V71" s="666"/>
      <c r="W71" s="205">
        <f>AVERAGE(N71,L71,R71,T71,P71)</f>
        <v>25.75</v>
      </c>
      <c r="X71" s="206" t="e">
        <f>AVERAGE(O71,M71,S71,U71,Q71)</f>
        <v>#DIV/0!</v>
      </c>
    </row>
    <row r="72" spans="1:24" s="1" customFormat="1" ht="15" customHeight="1" x14ac:dyDescent="0.2">
      <c r="A72" s="207" t="s">
        <v>48</v>
      </c>
      <c r="B72" s="201">
        <v>1</v>
      </c>
      <c r="C72" s="191">
        <f t="shared" si="16"/>
        <v>3.7037037037037035E-2</v>
      </c>
      <c r="D72" s="201">
        <v>2</v>
      </c>
      <c r="E72" s="192">
        <f t="shared" si="17"/>
        <v>6.0606060606060608E-2</v>
      </c>
      <c r="F72" s="202">
        <v>2</v>
      </c>
      <c r="G72" s="192">
        <f t="shared" si="18"/>
        <v>6.8965517241379309E-2</v>
      </c>
      <c r="H72" s="202">
        <v>2</v>
      </c>
      <c r="I72" s="192">
        <f t="shared" si="19"/>
        <v>7.1428571428571425E-2</v>
      </c>
      <c r="J72" s="202">
        <f>2</f>
        <v>2</v>
      </c>
      <c r="K72" s="192">
        <f t="shared" si="20"/>
        <v>6.8965517241379309E-2</v>
      </c>
      <c r="L72" s="202">
        <v>1</v>
      </c>
      <c r="M72" s="192">
        <f t="shared" si="21"/>
        <v>3.3333333333333333E-2</v>
      </c>
      <c r="N72" s="202">
        <v>1</v>
      </c>
      <c r="O72" s="192">
        <f t="shared" si="22"/>
        <v>3.3333333333333333E-2</v>
      </c>
      <c r="P72" s="202">
        <v>1</v>
      </c>
      <c r="Q72" s="192">
        <f t="shared" si="22"/>
        <v>3.0303030303030304E-2</v>
      </c>
      <c r="R72" s="202">
        <v>1</v>
      </c>
      <c r="S72" s="192">
        <f t="shared" si="23"/>
        <v>2.9411764705882353E-2</v>
      </c>
      <c r="T72" s="202"/>
      <c r="U72" s="203" t="e">
        <f t="shared" si="24"/>
        <v>#DIV/0!</v>
      </c>
      <c r="V72" s="666"/>
      <c r="W72" s="205">
        <f t="shared" ref="W72:X90" si="25">AVERAGE(N72,L72,R72,T72,P72)</f>
        <v>1</v>
      </c>
      <c r="X72" s="206" t="e">
        <f t="shared" si="25"/>
        <v>#DIV/0!</v>
      </c>
    </row>
    <row r="73" spans="1:24" s="1" customFormat="1" ht="15" customHeight="1" x14ac:dyDescent="0.2">
      <c r="A73" s="207" t="s">
        <v>49</v>
      </c>
      <c r="B73" s="201"/>
      <c r="C73" s="191">
        <f t="shared" si="16"/>
        <v>0</v>
      </c>
      <c r="D73" s="201">
        <v>0</v>
      </c>
      <c r="E73" s="192">
        <f t="shared" si="17"/>
        <v>0</v>
      </c>
      <c r="F73" s="202">
        <v>0</v>
      </c>
      <c r="G73" s="192">
        <f t="shared" si="18"/>
        <v>0</v>
      </c>
      <c r="H73" s="202">
        <v>0</v>
      </c>
      <c r="I73" s="192">
        <f t="shared" si="19"/>
        <v>0</v>
      </c>
      <c r="J73" s="202">
        <f>2</f>
        <v>2</v>
      </c>
      <c r="K73" s="192">
        <f t="shared" si="20"/>
        <v>6.8965517241379309E-2</v>
      </c>
      <c r="L73" s="202">
        <v>2</v>
      </c>
      <c r="M73" s="192">
        <f t="shared" si="21"/>
        <v>6.6666666666666666E-2</v>
      </c>
      <c r="N73" s="202">
        <f>1+1</f>
        <v>2</v>
      </c>
      <c r="O73" s="192">
        <f t="shared" si="22"/>
        <v>6.6666666666666666E-2</v>
      </c>
      <c r="P73" s="202">
        <v>2</v>
      </c>
      <c r="Q73" s="192">
        <f t="shared" si="22"/>
        <v>6.0606060606060608E-2</v>
      </c>
      <c r="R73" s="202">
        <v>2</v>
      </c>
      <c r="S73" s="192">
        <f t="shared" si="23"/>
        <v>5.8823529411764705E-2</v>
      </c>
      <c r="T73" s="202"/>
      <c r="U73" s="203" t="e">
        <f t="shared" si="24"/>
        <v>#DIV/0!</v>
      </c>
      <c r="V73" s="666"/>
      <c r="W73" s="205">
        <f t="shared" si="25"/>
        <v>2</v>
      </c>
      <c r="X73" s="206" t="e">
        <f t="shared" si="25"/>
        <v>#DIV/0!</v>
      </c>
    </row>
    <row r="74" spans="1:24" s="1" customFormat="1" ht="15" customHeight="1" x14ac:dyDescent="0.2">
      <c r="A74" s="207" t="s">
        <v>50</v>
      </c>
      <c r="B74" s="201"/>
      <c r="C74" s="191">
        <f t="shared" si="16"/>
        <v>0</v>
      </c>
      <c r="D74" s="201">
        <v>0</v>
      </c>
      <c r="E74" s="192">
        <f t="shared" si="17"/>
        <v>0</v>
      </c>
      <c r="F74" s="202">
        <v>0</v>
      </c>
      <c r="G74" s="192">
        <f t="shared" si="18"/>
        <v>0</v>
      </c>
      <c r="H74" s="202">
        <v>0</v>
      </c>
      <c r="I74" s="192">
        <f t="shared" si="19"/>
        <v>0</v>
      </c>
      <c r="J74" s="202">
        <f>0</f>
        <v>0</v>
      </c>
      <c r="K74" s="192">
        <f t="shared" si="20"/>
        <v>0</v>
      </c>
      <c r="L74" s="202">
        <v>0</v>
      </c>
      <c r="M74" s="192">
        <f t="shared" si="21"/>
        <v>0</v>
      </c>
      <c r="N74" s="202">
        <v>0</v>
      </c>
      <c r="O74" s="192">
        <f t="shared" si="22"/>
        <v>0</v>
      </c>
      <c r="P74" s="202">
        <v>0</v>
      </c>
      <c r="Q74" s="192">
        <f t="shared" si="22"/>
        <v>0</v>
      </c>
      <c r="R74" s="202">
        <v>0</v>
      </c>
      <c r="S74" s="192">
        <f t="shared" si="23"/>
        <v>0</v>
      </c>
      <c r="T74" s="202"/>
      <c r="U74" s="203" t="e">
        <f t="shared" si="24"/>
        <v>#DIV/0!</v>
      </c>
      <c r="V74" s="666"/>
      <c r="W74" s="205">
        <f t="shared" si="25"/>
        <v>0</v>
      </c>
      <c r="X74" s="206" t="e">
        <f t="shared" si="25"/>
        <v>#DIV/0!</v>
      </c>
    </row>
    <row r="75" spans="1:24" s="1" customFormat="1" ht="15" customHeight="1" x14ac:dyDescent="0.2">
      <c r="A75" s="207" t="s">
        <v>51</v>
      </c>
      <c r="B75" s="201"/>
      <c r="C75" s="191">
        <f t="shared" si="16"/>
        <v>0</v>
      </c>
      <c r="D75" s="201">
        <v>0</v>
      </c>
      <c r="E75" s="192">
        <f t="shared" si="17"/>
        <v>0</v>
      </c>
      <c r="F75" s="202">
        <v>0</v>
      </c>
      <c r="G75" s="192">
        <f t="shared" si="18"/>
        <v>0</v>
      </c>
      <c r="H75" s="202">
        <v>0</v>
      </c>
      <c r="I75" s="192">
        <f t="shared" si="19"/>
        <v>0</v>
      </c>
      <c r="J75" s="202">
        <f>0</f>
        <v>0</v>
      </c>
      <c r="K75" s="192">
        <f t="shared" si="20"/>
        <v>0</v>
      </c>
      <c r="L75" s="202">
        <v>0</v>
      </c>
      <c r="M75" s="192">
        <f t="shared" si="21"/>
        <v>0</v>
      </c>
      <c r="N75" s="202">
        <v>0</v>
      </c>
      <c r="O75" s="192">
        <f t="shared" si="22"/>
        <v>0</v>
      </c>
      <c r="P75" s="202">
        <v>0</v>
      </c>
      <c r="Q75" s="192">
        <f t="shared" si="22"/>
        <v>0</v>
      </c>
      <c r="R75" s="202">
        <v>0</v>
      </c>
      <c r="S75" s="192">
        <f t="shared" si="23"/>
        <v>0</v>
      </c>
      <c r="T75" s="202"/>
      <c r="U75" s="203" t="e">
        <f t="shared" si="24"/>
        <v>#DIV/0!</v>
      </c>
      <c r="V75" s="666"/>
      <c r="W75" s="205">
        <f t="shared" si="25"/>
        <v>0</v>
      </c>
      <c r="X75" s="206" t="e">
        <f t="shared" si="25"/>
        <v>#DIV/0!</v>
      </c>
    </row>
    <row r="76" spans="1:24" s="1" customFormat="1" ht="15" customHeight="1" x14ac:dyDescent="0.2">
      <c r="A76" s="207" t="s">
        <v>52</v>
      </c>
      <c r="B76" s="201"/>
      <c r="C76" s="191">
        <f t="shared" si="16"/>
        <v>0</v>
      </c>
      <c r="D76" s="201">
        <v>1</v>
      </c>
      <c r="E76" s="192">
        <f t="shared" si="17"/>
        <v>3.0303030303030304E-2</v>
      </c>
      <c r="F76" s="202">
        <v>1</v>
      </c>
      <c r="G76" s="192">
        <f t="shared" si="18"/>
        <v>3.4482758620689655E-2</v>
      </c>
      <c r="H76" s="202">
        <v>1</v>
      </c>
      <c r="I76" s="192">
        <f t="shared" si="19"/>
        <v>3.5714285714285712E-2</v>
      </c>
      <c r="J76" s="202">
        <f>1</f>
        <v>1</v>
      </c>
      <c r="K76" s="192">
        <f t="shared" si="20"/>
        <v>3.4482758620689655E-2</v>
      </c>
      <c r="L76" s="202">
        <v>1</v>
      </c>
      <c r="M76" s="192">
        <f t="shared" si="21"/>
        <v>3.3333333333333333E-2</v>
      </c>
      <c r="N76" s="202">
        <v>1</v>
      </c>
      <c r="O76" s="192">
        <f t="shared" si="22"/>
        <v>3.3333333333333333E-2</v>
      </c>
      <c r="P76" s="202">
        <v>1</v>
      </c>
      <c r="Q76" s="192">
        <f t="shared" si="22"/>
        <v>3.0303030303030304E-2</v>
      </c>
      <c r="R76" s="202">
        <v>1</v>
      </c>
      <c r="S76" s="192">
        <f t="shared" si="23"/>
        <v>2.9411764705882353E-2</v>
      </c>
      <c r="T76" s="202"/>
      <c r="U76" s="203" t="e">
        <f t="shared" si="24"/>
        <v>#DIV/0!</v>
      </c>
      <c r="V76" s="666"/>
      <c r="W76" s="205">
        <f t="shared" si="25"/>
        <v>1</v>
      </c>
      <c r="X76" s="206" t="e">
        <f t="shared" si="25"/>
        <v>#DIV/0!</v>
      </c>
    </row>
    <row r="77" spans="1:24" s="1" customFormat="1" ht="15" customHeight="1" x14ac:dyDescent="0.2">
      <c r="A77" s="207" t="s">
        <v>53</v>
      </c>
      <c r="B77" s="164"/>
      <c r="C77" s="165">
        <f t="shared" si="16"/>
        <v>0</v>
      </c>
      <c r="D77" s="164"/>
      <c r="E77" s="166"/>
      <c r="F77" s="167"/>
      <c r="G77" s="166"/>
      <c r="H77" s="193">
        <v>0</v>
      </c>
      <c r="I77" s="192">
        <f t="shared" si="19"/>
        <v>0</v>
      </c>
      <c r="J77" s="193">
        <f>0</f>
        <v>0</v>
      </c>
      <c r="K77" s="192">
        <f t="shared" si="20"/>
        <v>0</v>
      </c>
      <c r="L77" s="193">
        <v>0</v>
      </c>
      <c r="M77" s="192">
        <f>L77/M$68</f>
        <v>0</v>
      </c>
      <c r="N77" s="193">
        <v>0</v>
      </c>
      <c r="O77" s="192">
        <f>N77/O$68</f>
        <v>0</v>
      </c>
      <c r="P77" s="193">
        <v>0</v>
      </c>
      <c r="Q77" s="192">
        <f>P77/Q$68</f>
        <v>0</v>
      </c>
      <c r="R77" s="193">
        <v>0</v>
      </c>
      <c r="S77" s="192">
        <f>R77/S$68</f>
        <v>0</v>
      </c>
      <c r="T77" s="202"/>
      <c r="U77" s="203" t="e">
        <f>T77/U$68</f>
        <v>#DIV/0!</v>
      </c>
      <c r="V77" s="666"/>
      <c r="W77" s="205">
        <f t="shared" si="25"/>
        <v>0</v>
      </c>
      <c r="X77" s="206" t="e">
        <f t="shared" si="25"/>
        <v>#DIV/0!</v>
      </c>
    </row>
    <row r="78" spans="1:24" s="1" customFormat="1" ht="15" customHeight="1" thickBot="1" x14ac:dyDescent="0.25">
      <c r="A78" s="696" t="s">
        <v>54</v>
      </c>
      <c r="B78" s="190">
        <v>1</v>
      </c>
      <c r="C78" s="724">
        <f t="shared" si="16"/>
        <v>3.7037037037037035E-2</v>
      </c>
      <c r="D78" s="190">
        <v>1</v>
      </c>
      <c r="E78" s="725">
        <f t="shared" si="17"/>
        <v>3.0303030303030304E-2</v>
      </c>
      <c r="F78" s="193">
        <v>1</v>
      </c>
      <c r="G78" s="725">
        <f t="shared" si="18"/>
        <v>3.4482758620689655E-2</v>
      </c>
      <c r="H78" s="193">
        <v>1</v>
      </c>
      <c r="I78" s="725">
        <f t="shared" si="19"/>
        <v>3.5714285714285712E-2</v>
      </c>
      <c r="J78" s="193">
        <f>0</f>
        <v>0</v>
      </c>
      <c r="K78" s="725">
        <f t="shared" si="20"/>
        <v>0</v>
      </c>
      <c r="L78" s="193">
        <v>2</v>
      </c>
      <c r="M78" s="725">
        <f>L78/M$68</f>
        <v>6.6666666666666666E-2</v>
      </c>
      <c r="N78" s="193">
        <v>2</v>
      </c>
      <c r="O78" s="725">
        <f>N78/O$68</f>
        <v>6.6666666666666666E-2</v>
      </c>
      <c r="P78" s="193">
        <v>2</v>
      </c>
      <c r="Q78" s="725">
        <f>P78/Q$68</f>
        <v>6.0606060606060608E-2</v>
      </c>
      <c r="R78" s="193">
        <v>2</v>
      </c>
      <c r="S78" s="725">
        <f>R78/S$68</f>
        <v>5.8823529411764705E-2</v>
      </c>
      <c r="T78" s="193"/>
      <c r="U78" s="726" t="e">
        <f>T78/U$68</f>
        <v>#DIV/0!</v>
      </c>
      <c r="V78" s="666"/>
      <c r="W78" s="727">
        <f t="shared" si="25"/>
        <v>2</v>
      </c>
      <c r="X78" s="728" t="e">
        <f t="shared" si="25"/>
        <v>#DIV/0!</v>
      </c>
    </row>
    <row r="79" spans="1:24" s="1" customFormat="1" ht="18" customHeight="1" x14ac:dyDescent="0.2">
      <c r="A79" s="680" t="s">
        <v>55</v>
      </c>
      <c r="B79" s="731"/>
      <c r="C79" s="732"/>
      <c r="D79" s="731"/>
      <c r="E79" s="733"/>
      <c r="F79" s="734"/>
      <c r="G79" s="733"/>
      <c r="H79" s="734"/>
      <c r="I79" s="733"/>
      <c r="J79" s="734"/>
      <c r="K79" s="733"/>
      <c r="L79" s="734"/>
      <c r="M79" s="733"/>
      <c r="N79" s="734"/>
      <c r="O79" s="733"/>
      <c r="P79" s="734"/>
      <c r="Q79" s="733"/>
      <c r="R79" s="734"/>
      <c r="S79" s="733"/>
      <c r="T79" s="734"/>
      <c r="U79" s="735"/>
      <c r="V79" s="666"/>
      <c r="W79" s="736"/>
      <c r="X79" s="737"/>
    </row>
    <row r="80" spans="1:24" s="1" customFormat="1" ht="15" customHeight="1" x14ac:dyDescent="0.2">
      <c r="A80" s="200" t="s">
        <v>56</v>
      </c>
      <c r="B80" s="208">
        <v>14</v>
      </c>
      <c r="C80" s="191">
        <f>B80/C$68</f>
        <v>0.51851851851851849</v>
      </c>
      <c r="D80" s="208">
        <f>14+2</f>
        <v>16</v>
      </c>
      <c r="E80" s="192">
        <f>D80/E$68</f>
        <v>0.48484848484848486</v>
      </c>
      <c r="F80" s="209">
        <v>15</v>
      </c>
      <c r="G80" s="192">
        <f>F80/G$68</f>
        <v>0.51724137931034486</v>
      </c>
      <c r="H80" s="209">
        <v>14</v>
      </c>
      <c r="I80" s="192">
        <f>H80/I$68</f>
        <v>0.5</v>
      </c>
      <c r="J80" s="209">
        <f>2+12</f>
        <v>14</v>
      </c>
      <c r="K80" s="192">
        <f>J80/K$68</f>
        <v>0.48275862068965519</v>
      </c>
      <c r="L80" s="209">
        <v>15</v>
      </c>
      <c r="M80" s="192">
        <f>L80/M$68</f>
        <v>0.5</v>
      </c>
      <c r="N80" s="209">
        <f>1+13</f>
        <v>14</v>
      </c>
      <c r="O80" s="192">
        <f>N80/O$68</f>
        <v>0.46666666666666667</v>
      </c>
      <c r="P80" s="209">
        <v>18</v>
      </c>
      <c r="Q80" s="192">
        <f>P80/Q$68</f>
        <v>0.54545454545454541</v>
      </c>
      <c r="R80" s="209">
        <v>18</v>
      </c>
      <c r="S80" s="192">
        <f>R80/S$68</f>
        <v>0.52941176470588236</v>
      </c>
      <c r="T80" s="209"/>
      <c r="U80" s="203" t="e">
        <f>T80/U$68</f>
        <v>#DIV/0!</v>
      </c>
      <c r="V80" s="666"/>
      <c r="W80" s="205">
        <f t="shared" si="25"/>
        <v>16.25</v>
      </c>
      <c r="X80" s="206" t="e">
        <f t="shared" si="25"/>
        <v>#DIV/0!</v>
      </c>
    </row>
    <row r="81" spans="1:24" s="1" customFormat="1" ht="15" customHeight="1" thickBot="1" x14ac:dyDescent="0.25">
      <c r="A81" s="696" t="s">
        <v>57</v>
      </c>
      <c r="B81" s="729">
        <v>14</v>
      </c>
      <c r="C81" s="724">
        <f>B81/C$68</f>
        <v>0.51851851851851849</v>
      </c>
      <c r="D81" s="729">
        <f>14+3</f>
        <v>17</v>
      </c>
      <c r="E81" s="725">
        <f>D81/E$68</f>
        <v>0.51515151515151514</v>
      </c>
      <c r="F81" s="730">
        <v>14</v>
      </c>
      <c r="G81" s="725">
        <f>F81/G$68</f>
        <v>0.48275862068965519</v>
      </c>
      <c r="H81" s="730">
        <v>14</v>
      </c>
      <c r="I81" s="725">
        <f>H81/I$68</f>
        <v>0.5</v>
      </c>
      <c r="J81" s="730">
        <f>1+14</f>
        <v>15</v>
      </c>
      <c r="K81" s="725">
        <f>J81/K$68</f>
        <v>0.51724137931034486</v>
      </c>
      <c r="L81" s="730">
        <v>15</v>
      </c>
      <c r="M81" s="725">
        <f>L81/M$68</f>
        <v>0.5</v>
      </c>
      <c r="N81" s="730">
        <f>4+12</f>
        <v>16</v>
      </c>
      <c r="O81" s="725">
        <f>N81/O$68</f>
        <v>0.53333333333333333</v>
      </c>
      <c r="P81" s="730">
        <v>15</v>
      </c>
      <c r="Q81" s="725">
        <f>P81/Q$68</f>
        <v>0.45454545454545453</v>
      </c>
      <c r="R81" s="730">
        <v>16</v>
      </c>
      <c r="S81" s="725">
        <f>R81/S$68</f>
        <v>0.47058823529411764</v>
      </c>
      <c r="T81" s="730"/>
      <c r="U81" s="726" t="e">
        <f>T81/U$68</f>
        <v>#DIV/0!</v>
      </c>
      <c r="V81" s="666"/>
      <c r="W81" s="727">
        <f t="shared" si="25"/>
        <v>15.5</v>
      </c>
      <c r="X81" s="728" t="e">
        <f t="shared" si="25"/>
        <v>#DIV/0!</v>
      </c>
    </row>
    <row r="82" spans="1:24" s="1" customFormat="1" ht="18" customHeight="1" x14ac:dyDescent="0.2">
      <c r="A82" s="680" t="s">
        <v>58</v>
      </c>
      <c r="B82" s="738"/>
      <c r="C82" s="739"/>
      <c r="D82" s="738"/>
      <c r="E82" s="740"/>
      <c r="F82" s="741"/>
      <c r="G82" s="740"/>
      <c r="H82" s="741"/>
      <c r="I82" s="740"/>
      <c r="J82" s="741"/>
      <c r="K82" s="740"/>
      <c r="L82" s="741"/>
      <c r="M82" s="740"/>
      <c r="N82" s="741"/>
      <c r="O82" s="740"/>
      <c r="P82" s="741"/>
      <c r="Q82" s="740"/>
      <c r="R82" s="741"/>
      <c r="S82" s="740"/>
      <c r="T82" s="741"/>
      <c r="U82" s="742"/>
      <c r="V82" s="666"/>
      <c r="W82" s="736"/>
      <c r="X82" s="737"/>
    </row>
    <row r="83" spans="1:24" s="1" customFormat="1" ht="15" customHeight="1" x14ac:dyDescent="0.2">
      <c r="A83" s="200" t="s">
        <v>59</v>
      </c>
      <c r="B83" s="210">
        <v>12</v>
      </c>
      <c r="C83" s="191">
        <f>B83/C$68</f>
        <v>0.44444444444444442</v>
      </c>
      <c r="D83" s="210">
        <f>11+1</f>
        <v>12</v>
      </c>
      <c r="E83" s="192">
        <f>D83/E$68</f>
        <v>0.36363636363636365</v>
      </c>
      <c r="F83" s="211">
        <v>13</v>
      </c>
      <c r="G83" s="192">
        <f>F83/G$68</f>
        <v>0.44827586206896552</v>
      </c>
      <c r="H83" s="211">
        <v>13</v>
      </c>
      <c r="I83" s="192">
        <f>H83/I$68</f>
        <v>0.4642857142857143</v>
      </c>
      <c r="J83" s="211">
        <f>12</f>
        <v>12</v>
      </c>
      <c r="K83" s="192">
        <f>J83/K$68</f>
        <v>0.41379310344827586</v>
      </c>
      <c r="L83" s="211">
        <v>12</v>
      </c>
      <c r="M83" s="192">
        <f>L83/M$68</f>
        <v>0.4</v>
      </c>
      <c r="N83" s="211">
        <v>15</v>
      </c>
      <c r="O83" s="192">
        <f>N83/O$68</f>
        <v>0.5</v>
      </c>
      <c r="P83" s="211">
        <v>17</v>
      </c>
      <c r="Q83" s="192">
        <f>P83/Q$68</f>
        <v>0.51515151515151514</v>
      </c>
      <c r="R83" s="211">
        <v>18</v>
      </c>
      <c r="S83" s="192">
        <f>R83/S$68</f>
        <v>0.52941176470588236</v>
      </c>
      <c r="T83" s="211"/>
      <c r="U83" s="203" t="e">
        <f>T83/U$68</f>
        <v>#DIV/0!</v>
      </c>
      <c r="V83" s="666"/>
      <c r="W83" s="205">
        <f t="shared" si="25"/>
        <v>15.5</v>
      </c>
      <c r="X83" s="206" t="e">
        <f t="shared" si="25"/>
        <v>#DIV/0!</v>
      </c>
    </row>
    <row r="84" spans="1:24" s="1" customFormat="1" ht="15" customHeight="1" x14ac:dyDescent="0.2">
      <c r="A84" s="200" t="s">
        <v>60</v>
      </c>
      <c r="B84" s="210">
        <v>8</v>
      </c>
      <c r="C84" s="191">
        <f>B84/C$68</f>
        <v>0.29629629629629628</v>
      </c>
      <c r="D84" s="210">
        <v>12</v>
      </c>
      <c r="E84" s="192">
        <f>D84/E$68</f>
        <v>0.36363636363636365</v>
      </c>
      <c r="F84" s="211">
        <v>11</v>
      </c>
      <c r="G84" s="192">
        <f>F84/G$68</f>
        <v>0.37931034482758619</v>
      </c>
      <c r="H84" s="211">
        <v>10</v>
      </c>
      <c r="I84" s="192">
        <f>H84/I$68</f>
        <v>0.35714285714285715</v>
      </c>
      <c r="J84" s="211">
        <f>1+10</f>
        <v>11</v>
      </c>
      <c r="K84" s="192">
        <f>J84/K$68</f>
        <v>0.37931034482758619</v>
      </c>
      <c r="L84" s="211">
        <v>10</v>
      </c>
      <c r="M84" s="192">
        <f>L84/M$68</f>
        <v>0.33333333333333331</v>
      </c>
      <c r="N84" s="211">
        <v>6</v>
      </c>
      <c r="O84" s="192">
        <f>N84/O$68</f>
        <v>0.2</v>
      </c>
      <c r="P84" s="211">
        <v>5</v>
      </c>
      <c r="Q84" s="192">
        <f>P84/Q$68</f>
        <v>0.15151515151515152</v>
      </c>
      <c r="R84" s="211">
        <v>7</v>
      </c>
      <c r="S84" s="192">
        <f>R84/S$68</f>
        <v>0.20588235294117646</v>
      </c>
      <c r="T84" s="211"/>
      <c r="U84" s="203" t="e">
        <f>T84/U$68</f>
        <v>#DIV/0!</v>
      </c>
      <c r="V84" s="666"/>
      <c r="W84" s="205">
        <f t="shared" si="25"/>
        <v>7</v>
      </c>
      <c r="X84" s="206" t="e">
        <f t="shared" si="25"/>
        <v>#DIV/0!</v>
      </c>
    </row>
    <row r="85" spans="1:24" s="1" customFormat="1" ht="15" customHeight="1" thickBot="1" x14ac:dyDescent="0.25">
      <c r="A85" s="696" t="s">
        <v>61</v>
      </c>
      <c r="B85" s="729">
        <v>8</v>
      </c>
      <c r="C85" s="724">
        <f>B85/C$68</f>
        <v>0.29629629629629628</v>
      </c>
      <c r="D85" s="729">
        <f>5+4</f>
        <v>9</v>
      </c>
      <c r="E85" s="725">
        <f>D85/E$68</f>
        <v>0.27272727272727271</v>
      </c>
      <c r="F85" s="730">
        <v>5</v>
      </c>
      <c r="G85" s="725">
        <f>F85/G$68</f>
        <v>0.17241379310344829</v>
      </c>
      <c r="H85" s="730">
        <v>5</v>
      </c>
      <c r="I85" s="725">
        <f>H85/I$68</f>
        <v>0.17857142857142858</v>
      </c>
      <c r="J85" s="730">
        <f>2+4</f>
        <v>6</v>
      </c>
      <c r="K85" s="725">
        <f>J85/K$68</f>
        <v>0.20689655172413793</v>
      </c>
      <c r="L85" s="730">
        <v>8</v>
      </c>
      <c r="M85" s="725">
        <f>L85/M$68</f>
        <v>0.26666666666666666</v>
      </c>
      <c r="N85" s="730">
        <v>9</v>
      </c>
      <c r="O85" s="725">
        <f>N85/O$68</f>
        <v>0.3</v>
      </c>
      <c r="P85" s="730">
        <v>11</v>
      </c>
      <c r="Q85" s="725">
        <f>P85/Q$68</f>
        <v>0.33333333333333331</v>
      </c>
      <c r="R85" s="730">
        <v>9</v>
      </c>
      <c r="S85" s="725">
        <f>R85/S$68</f>
        <v>0.26470588235294118</v>
      </c>
      <c r="T85" s="730"/>
      <c r="U85" s="726" t="e">
        <f>T85/U$68</f>
        <v>#DIV/0!</v>
      </c>
      <c r="V85" s="666"/>
      <c r="W85" s="727">
        <f t="shared" si="25"/>
        <v>9.25</v>
      </c>
      <c r="X85" s="728" t="e">
        <f t="shared" si="25"/>
        <v>#DIV/0!</v>
      </c>
    </row>
    <row r="86" spans="1:24" s="1" customFormat="1" ht="18" customHeight="1" x14ac:dyDescent="0.2">
      <c r="A86" s="680" t="s">
        <v>62</v>
      </c>
      <c r="B86" s="738"/>
      <c r="C86" s="739"/>
      <c r="D86" s="738"/>
      <c r="E86" s="740"/>
      <c r="F86" s="741"/>
      <c r="G86" s="740"/>
      <c r="H86" s="741"/>
      <c r="I86" s="740"/>
      <c r="J86" s="741"/>
      <c r="K86" s="740"/>
      <c r="L86" s="741"/>
      <c r="M86" s="740"/>
      <c r="N86" s="741"/>
      <c r="O86" s="740"/>
      <c r="P86" s="741"/>
      <c r="Q86" s="740"/>
      <c r="R86" s="741"/>
      <c r="S86" s="740"/>
      <c r="T86" s="741"/>
      <c r="U86" s="742"/>
      <c r="V86" s="666"/>
      <c r="W86" s="736"/>
      <c r="X86" s="737"/>
    </row>
    <row r="87" spans="1:24" s="1" customFormat="1" ht="15" customHeight="1" x14ac:dyDescent="0.2">
      <c r="A87" s="200" t="s">
        <v>63</v>
      </c>
      <c r="B87" s="210">
        <v>23</v>
      </c>
      <c r="C87" s="191">
        <f>B87/C$68</f>
        <v>0.85185185185185186</v>
      </c>
      <c r="D87" s="210">
        <f>24+3</f>
        <v>27</v>
      </c>
      <c r="E87" s="192">
        <f>D87/E$68</f>
        <v>0.81818181818181823</v>
      </c>
      <c r="F87" s="211">
        <v>26</v>
      </c>
      <c r="G87" s="192">
        <f>F87/G$68</f>
        <v>0.89655172413793105</v>
      </c>
      <c r="H87" s="211">
        <v>25</v>
      </c>
      <c r="I87" s="192">
        <f>H87/I$68</f>
        <v>0.8928571428571429</v>
      </c>
      <c r="J87" s="211">
        <f>3+23</f>
        <v>26</v>
      </c>
      <c r="K87" s="192">
        <f>J87/K$68</f>
        <v>0.89655172413793105</v>
      </c>
      <c r="L87" s="211">
        <v>24</v>
      </c>
      <c r="M87" s="192">
        <f>L87/M$68</f>
        <v>0.8</v>
      </c>
      <c r="N87" s="211">
        <f>2+22</f>
        <v>24</v>
      </c>
      <c r="O87" s="192">
        <f>N87/O$68</f>
        <v>0.8</v>
      </c>
      <c r="P87" s="211">
        <v>25</v>
      </c>
      <c r="Q87" s="192">
        <f>P87/Q$68</f>
        <v>0.75757575757575757</v>
      </c>
      <c r="R87" s="211">
        <v>28</v>
      </c>
      <c r="S87" s="192">
        <f>R87/S$68</f>
        <v>0.82352941176470584</v>
      </c>
      <c r="T87" s="211"/>
      <c r="U87" s="203" t="e">
        <f>T87/U$68</f>
        <v>#DIV/0!</v>
      </c>
      <c r="V87" s="666"/>
      <c r="W87" s="205">
        <f t="shared" si="25"/>
        <v>25.25</v>
      </c>
      <c r="X87" s="206" t="e">
        <f t="shared" si="25"/>
        <v>#DIV/0!</v>
      </c>
    </row>
    <row r="88" spans="1:24" s="1" customFormat="1" ht="15" customHeight="1" x14ac:dyDescent="0.2">
      <c r="A88" s="200" t="s">
        <v>64</v>
      </c>
      <c r="B88" s="210">
        <v>5</v>
      </c>
      <c r="C88" s="191">
        <f>B88/C$68</f>
        <v>0.18518518518518517</v>
      </c>
      <c r="D88" s="210">
        <f>4+1</f>
        <v>5</v>
      </c>
      <c r="E88" s="192">
        <f>D88/E$68</f>
        <v>0.15151515151515152</v>
      </c>
      <c r="F88" s="211">
        <v>3</v>
      </c>
      <c r="G88" s="192">
        <f>F88/G$68</f>
        <v>0.10344827586206896</v>
      </c>
      <c r="H88" s="211">
        <v>3</v>
      </c>
      <c r="I88" s="192">
        <f>H88/I$68</f>
        <v>0.10714285714285714</v>
      </c>
      <c r="J88" s="211">
        <f>3</f>
        <v>3</v>
      </c>
      <c r="K88" s="192">
        <f>J88/K$68</f>
        <v>0.10344827586206896</v>
      </c>
      <c r="L88" s="211">
        <v>6</v>
      </c>
      <c r="M88" s="192">
        <f>L88/M$68</f>
        <v>0.2</v>
      </c>
      <c r="N88" s="211">
        <f>3+3</f>
        <v>6</v>
      </c>
      <c r="O88" s="192">
        <f>N88/O$68</f>
        <v>0.2</v>
      </c>
      <c r="P88" s="211">
        <v>8</v>
      </c>
      <c r="Q88" s="192">
        <f>P88/Q$68</f>
        <v>0.24242424242424243</v>
      </c>
      <c r="R88" s="211">
        <v>5</v>
      </c>
      <c r="S88" s="192">
        <f>R88/S$68</f>
        <v>0.14705882352941177</v>
      </c>
      <c r="T88" s="211"/>
      <c r="U88" s="203" t="e">
        <f>T88/U$68</f>
        <v>#DIV/0!</v>
      </c>
      <c r="V88" s="666"/>
      <c r="W88" s="205">
        <f t="shared" si="25"/>
        <v>6.25</v>
      </c>
      <c r="X88" s="206" t="e">
        <f t="shared" si="25"/>
        <v>#DIV/0!</v>
      </c>
    </row>
    <row r="89" spans="1:24" s="1" customFormat="1" ht="15" customHeight="1" x14ac:dyDescent="0.2">
      <c r="A89" s="200" t="s">
        <v>65</v>
      </c>
      <c r="B89" s="210">
        <v>0</v>
      </c>
      <c r="C89" s="191">
        <f>B89/C$68</f>
        <v>0</v>
      </c>
      <c r="D89" s="210">
        <v>1</v>
      </c>
      <c r="E89" s="192">
        <f>D89/E$68</f>
        <v>3.0303030303030304E-2</v>
      </c>
      <c r="F89" s="211">
        <v>0</v>
      </c>
      <c r="G89" s="192">
        <f>F89/G$68</f>
        <v>0</v>
      </c>
      <c r="H89" s="211">
        <v>0</v>
      </c>
      <c r="I89" s="192">
        <f>H89/I$68</f>
        <v>0</v>
      </c>
      <c r="J89" s="211">
        <f>0</f>
        <v>0</v>
      </c>
      <c r="K89" s="192">
        <f>J89/K$68</f>
        <v>0</v>
      </c>
      <c r="L89" s="211">
        <v>0</v>
      </c>
      <c r="M89" s="192">
        <f>L89/M$68</f>
        <v>0</v>
      </c>
      <c r="N89" s="211">
        <v>0</v>
      </c>
      <c r="O89" s="192">
        <f>N89/O$68</f>
        <v>0</v>
      </c>
      <c r="P89" s="211">
        <v>0</v>
      </c>
      <c r="Q89" s="192">
        <f>P89/Q$68</f>
        <v>0</v>
      </c>
      <c r="R89" s="211">
        <v>1</v>
      </c>
      <c r="S89" s="192">
        <f>R89/S$68</f>
        <v>2.9411764705882353E-2</v>
      </c>
      <c r="T89" s="211"/>
      <c r="U89" s="203" t="e">
        <f>T89/U$68</f>
        <v>#DIV/0!</v>
      </c>
      <c r="V89" s="195"/>
      <c r="W89" s="205">
        <f t="shared" si="25"/>
        <v>0.25</v>
      </c>
      <c r="X89" s="206" t="e">
        <f t="shared" si="25"/>
        <v>#DIV/0!</v>
      </c>
    </row>
    <row r="90" spans="1:24" s="1" customFormat="1" ht="15" customHeight="1" thickBot="1" x14ac:dyDescent="0.25">
      <c r="A90" s="212" t="s">
        <v>66</v>
      </c>
      <c r="B90" s="246">
        <v>0</v>
      </c>
      <c r="C90" s="214">
        <f>B90/C$68</f>
        <v>0</v>
      </c>
      <c r="D90" s="246">
        <v>0</v>
      </c>
      <c r="E90" s="215">
        <f>D90/E$68</f>
        <v>0</v>
      </c>
      <c r="F90" s="217">
        <v>0</v>
      </c>
      <c r="G90" s="215">
        <f>F90/G$68</f>
        <v>0</v>
      </c>
      <c r="H90" s="217">
        <v>0</v>
      </c>
      <c r="I90" s="215">
        <f>H90/I$68</f>
        <v>0</v>
      </c>
      <c r="J90" s="217">
        <f>0</f>
        <v>0</v>
      </c>
      <c r="K90" s="215">
        <f>J90/K$68</f>
        <v>0</v>
      </c>
      <c r="L90" s="217">
        <v>0</v>
      </c>
      <c r="M90" s="215">
        <f>L90/M$68</f>
        <v>0</v>
      </c>
      <c r="N90" s="217">
        <v>0</v>
      </c>
      <c r="O90" s="215">
        <f>N90/O$68</f>
        <v>0</v>
      </c>
      <c r="P90" s="217">
        <v>0</v>
      </c>
      <c r="Q90" s="215">
        <f>P90/Q$68</f>
        <v>0</v>
      </c>
      <c r="R90" s="217">
        <v>0</v>
      </c>
      <c r="S90" s="215">
        <f>R90/S$68</f>
        <v>0</v>
      </c>
      <c r="T90" s="217"/>
      <c r="U90" s="218" t="e">
        <f>T90/U$68</f>
        <v>#DIV/0!</v>
      </c>
      <c r="V90" s="195"/>
      <c r="W90" s="219">
        <f t="shared" si="25"/>
        <v>0</v>
      </c>
      <c r="X90" s="220" t="e">
        <f t="shared" si="25"/>
        <v>#DIV/0!</v>
      </c>
    </row>
    <row r="91" spans="1:24" ht="15" customHeight="1" thickTop="1" x14ac:dyDescent="0.2">
      <c r="A91" s="743" t="s">
        <v>248</v>
      </c>
    </row>
    <row r="92" spans="1:24" ht="15" customHeight="1" x14ac:dyDescent="0.2">
      <c r="A92" s="1"/>
      <c r="H92" s="65" t="s">
        <v>19</v>
      </c>
      <c r="J92" s="65" t="s">
        <v>19</v>
      </c>
      <c r="L92" s="65" t="s">
        <v>19</v>
      </c>
      <c r="N92" s="65" t="s">
        <v>19</v>
      </c>
      <c r="P92" s="65" t="s">
        <v>19</v>
      </c>
      <c r="R92" s="65" t="s">
        <v>19</v>
      </c>
      <c r="T92" s="65" t="s">
        <v>19</v>
      </c>
    </row>
    <row r="93" spans="1:24" ht="15" customHeight="1" x14ac:dyDescent="0.2">
      <c r="A93" s="1"/>
    </row>
    <row r="94" spans="1:24" ht="15" customHeight="1" x14ac:dyDescent="0.2">
      <c r="A94" s="1"/>
    </row>
    <row r="95" spans="1:24" ht="15" customHeight="1" x14ac:dyDescent="0.2">
      <c r="A95" s="1"/>
    </row>
    <row r="96" spans="1:24" ht="15" customHeight="1" x14ac:dyDescent="0.2">
      <c r="A96" s="1"/>
    </row>
    <row r="97" spans="1:1" ht="15" customHeight="1" x14ac:dyDescent="0.2">
      <c r="A97" s="1"/>
    </row>
    <row r="98" spans="1:1" ht="15" customHeight="1" x14ac:dyDescent="0.2">
      <c r="A98" s="1"/>
    </row>
    <row r="99" spans="1:1" ht="15" customHeight="1" x14ac:dyDescent="0.2">
      <c r="A99" s="1"/>
    </row>
    <row r="100" spans="1:1" ht="15" customHeight="1" x14ac:dyDescent="0.2">
      <c r="A100" s="1"/>
    </row>
    <row r="101" spans="1:1" ht="15" customHeight="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x14ac:dyDescent="0.2">
      <c r="A107" s="1"/>
    </row>
    <row r="108" spans="1:1" x14ac:dyDescent="0.2">
      <c r="A108" s="1"/>
    </row>
    <row r="109" spans="1:1" x14ac:dyDescent="0.2">
      <c r="A109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x14ac:dyDescent="0.2">
      <c r="A120" s="1"/>
    </row>
    <row r="121" spans="1:1" x14ac:dyDescent="0.2">
      <c r="A121" s="1"/>
    </row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x14ac:dyDescent="0.2">
      <c r="A128" s="1"/>
    </row>
    <row r="129" spans="1:1" x14ac:dyDescent="0.2">
      <c r="A129" s="1"/>
    </row>
    <row r="130" spans="1:1" x14ac:dyDescent="0.2">
      <c r="A130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x14ac:dyDescent="0.2">
      <c r="A152" s="1"/>
    </row>
    <row r="153" spans="1:1" x14ac:dyDescent="0.2">
      <c r="A153" s="1"/>
    </row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  <row r="177" spans="1:1" x14ac:dyDescent="0.2">
      <c r="A177" s="1"/>
    </row>
    <row r="178" spans="1:1" x14ac:dyDescent="0.2">
      <c r="A178" s="1"/>
    </row>
    <row r="179" spans="1:1" x14ac:dyDescent="0.2">
      <c r="A179" s="1"/>
    </row>
    <row r="180" spans="1:1" x14ac:dyDescent="0.2">
      <c r="A180" s="1"/>
    </row>
    <row r="181" spans="1:1" x14ac:dyDescent="0.2">
      <c r="A181" s="1"/>
    </row>
    <row r="182" spans="1:1" x14ac:dyDescent="0.2">
      <c r="A182" s="1"/>
    </row>
    <row r="183" spans="1:1" x14ac:dyDescent="0.2">
      <c r="A183" s="1"/>
    </row>
    <row r="184" spans="1:1" x14ac:dyDescent="0.2">
      <c r="A184" s="1"/>
    </row>
    <row r="185" spans="1:1" x14ac:dyDescent="0.2">
      <c r="A185" s="1"/>
    </row>
    <row r="186" spans="1:1" x14ac:dyDescent="0.2">
      <c r="A186" s="1"/>
    </row>
    <row r="187" spans="1:1" x14ac:dyDescent="0.2">
      <c r="A187" s="1"/>
    </row>
    <row r="188" spans="1:1" x14ac:dyDescent="0.2">
      <c r="A188" s="1"/>
    </row>
    <row r="189" spans="1:1" x14ac:dyDescent="0.2">
      <c r="A189" s="1"/>
    </row>
    <row r="190" spans="1:1" x14ac:dyDescent="0.2">
      <c r="A190" s="1"/>
    </row>
    <row r="191" spans="1:1" x14ac:dyDescent="0.2">
      <c r="A191" s="1"/>
    </row>
    <row r="192" spans="1:1" x14ac:dyDescent="0.2">
      <c r="A192" s="1"/>
    </row>
    <row r="193" spans="1:1" x14ac:dyDescent="0.2">
      <c r="A193" s="1"/>
    </row>
    <row r="194" spans="1:1" x14ac:dyDescent="0.2">
      <c r="A194" s="1"/>
    </row>
    <row r="195" spans="1:1" x14ac:dyDescent="0.2">
      <c r="A195" s="1"/>
    </row>
    <row r="196" spans="1:1" x14ac:dyDescent="0.2">
      <c r="A196" s="1"/>
    </row>
    <row r="197" spans="1:1" x14ac:dyDescent="0.2">
      <c r="A197" s="1"/>
    </row>
    <row r="198" spans="1:1" x14ac:dyDescent="0.2">
      <c r="A198" s="1"/>
    </row>
    <row r="199" spans="1:1" x14ac:dyDescent="0.2">
      <c r="A199" s="1"/>
    </row>
    <row r="200" spans="1:1" x14ac:dyDescent="0.2">
      <c r="A200" s="1"/>
    </row>
    <row r="201" spans="1:1" x14ac:dyDescent="0.2">
      <c r="A201" s="1"/>
    </row>
    <row r="202" spans="1:1" x14ac:dyDescent="0.2">
      <c r="A202" s="1"/>
    </row>
    <row r="203" spans="1:1" x14ac:dyDescent="0.2">
      <c r="A203" s="1"/>
    </row>
    <row r="204" spans="1:1" x14ac:dyDescent="0.2">
      <c r="A204" s="1"/>
    </row>
    <row r="205" spans="1:1" x14ac:dyDescent="0.2">
      <c r="A205" s="1"/>
    </row>
    <row r="206" spans="1:1" x14ac:dyDescent="0.2">
      <c r="A206" s="1"/>
    </row>
    <row r="207" spans="1:1" x14ac:dyDescent="0.2">
      <c r="A207" s="1"/>
    </row>
    <row r="208" spans="1:1" x14ac:dyDescent="0.2">
      <c r="A208" s="1"/>
    </row>
    <row r="209" spans="1:1" x14ac:dyDescent="0.2">
      <c r="A209" s="1"/>
    </row>
    <row r="210" spans="1:1" x14ac:dyDescent="0.2">
      <c r="A210" s="1"/>
    </row>
    <row r="211" spans="1:1" x14ac:dyDescent="0.2">
      <c r="A211" s="1"/>
    </row>
    <row r="212" spans="1:1" x14ac:dyDescent="0.2">
      <c r="A212" s="1"/>
    </row>
    <row r="213" spans="1:1" x14ac:dyDescent="0.2">
      <c r="A213" s="1"/>
    </row>
    <row r="214" spans="1:1" x14ac:dyDescent="0.2">
      <c r="A214" s="1"/>
    </row>
    <row r="215" spans="1:1" x14ac:dyDescent="0.2">
      <c r="A215" s="1"/>
    </row>
    <row r="216" spans="1:1" x14ac:dyDescent="0.2">
      <c r="A216" s="1"/>
    </row>
    <row r="217" spans="1:1" x14ac:dyDescent="0.2">
      <c r="A217" s="1"/>
    </row>
    <row r="218" spans="1:1" x14ac:dyDescent="0.2">
      <c r="A218" s="1"/>
    </row>
    <row r="219" spans="1:1" x14ac:dyDescent="0.2">
      <c r="A219" s="1"/>
    </row>
    <row r="220" spans="1:1" x14ac:dyDescent="0.2">
      <c r="A220" s="1"/>
    </row>
    <row r="221" spans="1:1" x14ac:dyDescent="0.2">
      <c r="A221" s="1"/>
    </row>
    <row r="222" spans="1:1" x14ac:dyDescent="0.2">
      <c r="A222" s="1"/>
    </row>
    <row r="223" spans="1:1" x14ac:dyDescent="0.2">
      <c r="A223" s="1"/>
    </row>
    <row r="224" spans="1:1" x14ac:dyDescent="0.2">
      <c r="A224" s="1"/>
    </row>
    <row r="225" spans="1:1" x14ac:dyDescent="0.2">
      <c r="A225" s="1"/>
    </row>
    <row r="226" spans="1:1" x14ac:dyDescent="0.2">
      <c r="A226" s="1"/>
    </row>
    <row r="227" spans="1:1" x14ac:dyDescent="0.2">
      <c r="A227" s="1"/>
    </row>
    <row r="228" spans="1:1" x14ac:dyDescent="0.2">
      <c r="A228" s="1"/>
    </row>
    <row r="229" spans="1:1" x14ac:dyDescent="0.2">
      <c r="A229" s="1"/>
    </row>
    <row r="230" spans="1:1" x14ac:dyDescent="0.2">
      <c r="A230" s="1"/>
    </row>
    <row r="231" spans="1:1" x14ac:dyDescent="0.2">
      <c r="A231" s="1"/>
    </row>
    <row r="232" spans="1:1" x14ac:dyDescent="0.2">
      <c r="A232" s="1"/>
    </row>
    <row r="233" spans="1:1" x14ac:dyDescent="0.2">
      <c r="A233" s="1"/>
    </row>
    <row r="234" spans="1:1" x14ac:dyDescent="0.2">
      <c r="A234" s="1"/>
    </row>
    <row r="235" spans="1:1" x14ac:dyDescent="0.2">
      <c r="A235" s="1"/>
    </row>
    <row r="236" spans="1:1" x14ac:dyDescent="0.2">
      <c r="A236" s="1"/>
    </row>
    <row r="237" spans="1:1" x14ac:dyDescent="0.2">
      <c r="A237" s="1"/>
    </row>
    <row r="238" spans="1:1" x14ac:dyDescent="0.2">
      <c r="A238" s="1"/>
    </row>
    <row r="239" spans="1:1" x14ac:dyDescent="0.2">
      <c r="A239" s="1"/>
    </row>
    <row r="240" spans="1:1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6" spans="1:1" x14ac:dyDescent="0.2">
      <c r="A296" s="1"/>
    </row>
    <row r="297" spans="1:1" x14ac:dyDescent="0.2">
      <c r="A297" s="1"/>
    </row>
    <row r="298" spans="1:1" x14ac:dyDescent="0.2">
      <c r="A298" s="1"/>
    </row>
    <row r="299" spans="1:1" x14ac:dyDescent="0.2">
      <c r="A299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  <row r="303" spans="1:1" x14ac:dyDescent="0.2">
      <c r="A303" s="1"/>
    </row>
    <row r="304" spans="1:1" x14ac:dyDescent="0.2">
      <c r="A304" s="1"/>
    </row>
    <row r="305" spans="1:1" x14ac:dyDescent="0.2">
      <c r="A305" s="1"/>
    </row>
    <row r="306" spans="1:1" x14ac:dyDescent="0.2">
      <c r="A306" s="1"/>
    </row>
    <row r="307" spans="1:1" x14ac:dyDescent="0.2">
      <c r="A307" s="1"/>
    </row>
    <row r="308" spans="1:1" x14ac:dyDescent="0.2">
      <c r="A308" s="1"/>
    </row>
    <row r="309" spans="1:1" x14ac:dyDescent="0.2">
      <c r="A309" s="1"/>
    </row>
    <row r="310" spans="1:1" x14ac:dyDescent="0.2">
      <c r="A310" s="1"/>
    </row>
    <row r="311" spans="1:1" x14ac:dyDescent="0.2">
      <c r="A311" s="1"/>
    </row>
    <row r="312" spans="1:1" x14ac:dyDescent="0.2">
      <c r="A312" s="1"/>
    </row>
    <row r="313" spans="1:1" x14ac:dyDescent="0.2">
      <c r="A313" s="1"/>
    </row>
    <row r="314" spans="1:1" x14ac:dyDescent="0.2">
      <c r="A314" s="1"/>
    </row>
    <row r="315" spans="1:1" x14ac:dyDescent="0.2">
      <c r="A315" s="1"/>
    </row>
    <row r="316" spans="1:1" x14ac:dyDescent="0.2">
      <c r="A316" s="1"/>
    </row>
    <row r="317" spans="1:1" x14ac:dyDescent="0.2">
      <c r="A317" s="1"/>
    </row>
    <row r="318" spans="1:1" x14ac:dyDescent="0.2">
      <c r="A318" s="1"/>
    </row>
    <row r="319" spans="1:1" x14ac:dyDescent="0.2">
      <c r="A319" s="1"/>
    </row>
    <row r="320" spans="1:1" x14ac:dyDescent="0.2">
      <c r="A320" s="1"/>
    </row>
    <row r="321" spans="1:1" x14ac:dyDescent="0.2">
      <c r="A321" s="1"/>
    </row>
    <row r="322" spans="1:1" x14ac:dyDescent="0.2">
      <c r="A322" s="1"/>
    </row>
    <row r="323" spans="1:1" x14ac:dyDescent="0.2">
      <c r="A323" s="1"/>
    </row>
    <row r="324" spans="1:1" x14ac:dyDescent="0.2">
      <c r="A324" s="1"/>
    </row>
    <row r="325" spans="1:1" x14ac:dyDescent="0.2">
      <c r="A325" s="1"/>
    </row>
    <row r="326" spans="1:1" x14ac:dyDescent="0.2">
      <c r="A326" s="1"/>
    </row>
    <row r="327" spans="1:1" x14ac:dyDescent="0.2">
      <c r="A327" s="1"/>
    </row>
    <row r="328" spans="1:1" x14ac:dyDescent="0.2">
      <c r="A328" s="1"/>
    </row>
    <row r="329" spans="1:1" x14ac:dyDescent="0.2">
      <c r="A329" s="1"/>
    </row>
    <row r="330" spans="1:1" x14ac:dyDescent="0.2">
      <c r="A330" s="1"/>
    </row>
    <row r="331" spans="1:1" x14ac:dyDescent="0.2">
      <c r="A331" s="1"/>
    </row>
    <row r="332" spans="1:1" x14ac:dyDescent="0.2">
      <c r="A332" s="1"/>
    </row>
    <row r="333" spans="1:1" x14ac:dyDescent="0.2">
      <c r="A333" s="1"/>
    </row>
    <row r="334" spans="1:1" x14ac:dyDescent="0.2">
      <c r="A334" s="1"/>
    </row>
    <row r="335" spans="1:1" x14ac:dyDescent="0.2">
      <c r="A335" s="1"/>
    </row>
    <row r="336" spans="1:1" x14ac:dyDescent="0.2">
      <c r="A336" s="1"/>
    </row>
    <row r="337" spans="1:1" x14ac:dyDescent="0.2">
      <c r="A337" s="1"/>
    </row>
    <row r="338" spans="1:1" x14ac:dyDescent="0.2">
      <c r="A338" s="1"/>
    </row>
    <row r="339" spans="1:1" x14ac:dyDescent="0.2">
      <c r="A339" s="1"/>
    </row>
    <row r="340" spans="1:1" x14ac:dyDescent="0.2">
      <c r="A340" s="1"/>
    </row>
    <row r="341" spans="1:1" x14ac:dyDescent="0.2">
      <c r="A341" s="1"/>
    </row>
    <row r="342" spans="1:1" x14ac:dyDescent="0.2">
      <c r="A342" s="1"/>
    </row>
    <row r="343" spans="1:1" x14ac:dyDescent="0.2">
      <c r="A343" s="1"/>
    </row>
    <row r="344" spans="1:1" x14ac:dyDescent="0.2">
      <c r="A344" s="1"/>
    </row>
    <row r="345" spans="1:1" x14ac:dyDescent="0.2">
      <c r="A345" s="1"/>
    </row>
    <row r="346" spans="1:1" x14ac:dyDescent="0.2">
      <c r="A346" s="1"/>
    </row>
    <row r="347" spans="1:1" x14ac:dyDescent="0.2">
      <c r="A347" s="1"/>
    </row>
    <row r="348" spans="1:1" x14ac:dyDescent="0.2">
      <c r="A348" s="1"/>
    </row>
    <row r="349" spans="1:1" x14ac:dyDescent="0.2">
      <c r="A349" s="1"/>
    </row>
    <row r="350" spans="1:1" x14ac:dyDescent="0.2">
      <c r="A350" s="1"/>
    </row>
    <row r="351" spans="1:1" x14ac:dyDescent="0.2">
      <c r="A351" s="1"/>
    </row>
    <row r="352" spans="1:1" x14ac:dyDescent="0.2">
      <c r="A352" s="1"/>
    </row>
    <row r="353" spans="1:1" x14ac:dyDescent="0.2">
      <c r="A353" s="1"/>
    </row>
    <row r="354" spans="1:1" x14ac:dyDescent="0.2">
      <c r="A354" s="1"/>
    </row>
    <row r="355" spans="1:1" x14ac:dyDescent="0.2">
      <c r="A355" s="1"/>
    </row>
    <row r="356" spans="1:1" x14ac:dyDescent="0.2">
      <c r="A356" s="1"/>
    </row>
    <row r="357" spans="1:1" x14ac:dyDescent="0.2">
      <c r="A357" s="1"/>
    </row>
    <row r="358" spans="1:1" x14ac:dyDescent="0.2">
      <c r="A358" s="1"/>
    </row>
    <row r="359" spans="1:1" x14ac:dyDescent="0.2">
      <c r="A359" s="1"/>
    </row>
    <row r="360" spans="1:1" x14ac:dyDescent="0.2">
      <c r="A360" s="1"/>
    </row>
    <row r="361" spans="1:1" x14ac:dyDescent="0.2">
      <c r="A361" s="1"/>
    </row>
    <row r="362" spans="1:1" x14ac:dyDescent="0.2">
      <c r="A362" s="1"/>
    </row>
    <row r="363" spans="1:1" x14ac:dyDescent="0.2">
      <c r="A363" s="1"/>
    </row>
    <row r="364" spans="1:1" x14ac:dyDescent="0.2">
      <c r="A364" s="1"/>
    </row>
    <row r="365" spans="1:1" x14ac:dyDescent="0.2">
      <c r="A365" s="1"/>
    </row>
    <row r="366" spans="1:1" x14ac:dyDescent="0.2">
      <c r="A366" s="1"/>
    </row>
    <row r="367" spans="1:1" x14ac:dyDescent="0.2">
      <c r="A367" s="1"/>
    </row>
    <row r="368" spans="1:1" x14ac:dyDescent="0.2">
      <c r="A368" s="1"/>
    </row>
    <row r="369" spans="1:1" x14ac:dyDescent="0.2">
      <c r="A369" s="1"/>
    </row>
    <row r="370" spans="1:1" x14ac:dyDescent="0.2">
      <c r="A370" s="1"/>
    </row>
    <row r="371" spans="1:1" x14ac:dyDescent="0.2">
      <c r="A371" s="1"/>
    </row>
    <row r="372" spans="1:1" x14ac:dyDescent="0.2">
      <c r="A372" s="1"/>
    </row>
    <row r="373" spans="1:1" x14ac:dyDescent="0.2">
      <c r="A373" s="1"/>
    </row>
    <row r="374" spans="1:1" x14ac:dyDescent="0.2">
      <c r="A374" s="1"/>
    </row>
    <row r="375" spans="1:1" x14ac:dyDescent="0.2">
      <c r="A375" s="1"/>
    </row>
    <row r="376" spans="1:1" x14ac:dyDescent="0.2">
      <c r="A376" s="1"/>
    </row>
    <row r="377" spans="1:1" x14ac:dyDescent="0.2">
      <c r="A377" s="1"/>
    </row>
    <row r="378" spans="1:1" x14ac:dyDescent="0.2">
      <c r="A378" s="1"/>
    </row>
    <row r="379" spans="1:1" x14ac:dyDescent="0.2">
      <c r="A379" s="1"/>
    </row>
    <row r="380" spans="1:1" x14ac:dyDescent="0.2">
      <c r="A380" s="1"/>
    </row>
    <row r="381" spans="1:1" x14ac:dyDescent="0.2">
      <c r="A381" s="1"/>
    </row>
    <row r="382" spans="1:1" x14ac:dyDescent="0.2">
      <c r="A382" s="1"/>
    </row>
    <row r="383" spans="1:1" x14ac:dyDescent="0.2">
      <c r="A383" s="1"/>
    </row>
    <row r="384" spans="1:1" x14ac:dyDescent="0.2">
      <c r="A384" s="1"/>
    </row>
    <row r="385" spans="1:1" x14ac:dyDescent="0.2">
      <c r="A385" s="1"/>
    </row>
    <row r="386" spans="1:1" x14ac:dyDescent="0.2">
      <c r="A386" s="1"/>
    </row>
    <row r="387" spans="1:1" x14ac:dyDescent="0.2">
      <c r="A387" s="1"/>
    </row>
    <row r="388" spans="1:1" x14ac:dyDescent="0.2">
      <c r="A388" s="1"/>
    </row>
    <row r="389" spans="1:1" x14ac:dyDescent="0.2">
      <c r="A389" s="1"/>
    </row>
    <row r="390" spans="1:1" x14ac:dyDescent="0.2">
      <c r="A390" s="1"/>
    </row>
    <row r="391" spans="1:1" x14ac:dyDescent="0.2">
      <c r="A391" s="1"/>
    </row>
    <row r="392" spans="1:1" x14ac:dyDescent="0.2">
      <c r="A392" s="1"/>
    </row>
    <row r="393" spans="1:1" x14ac:dyDescent="0.2">
      <c r="A393" s="1"/>
    </row>
    <row r="394" spans="1:1" x14ac:dyDescent="0.2">
      <c r="A394" s="1"/>
    </row>
    <row r="395" spans="1:1" x14ac:dyDescent="0.2">
      <c r="A395" s="1"/>
    </row>
    <row r="396" spans="1:1" x14ac:dyDescent="0.2">
      <c r="A396" s="1"/>
    </row>
    <row r="397" spans="1:1" x14ac:dyDescent="0.2">
      <c r="A397" s="1"/>
    </row>
    <row r="398" spans="1:1" x14ac:dyDescent="0.2">
      <c r="A398" s="1"/>
    </row>
    <row r="399" spans="1:1" x14ac:dyDescent="0.2">
      <c r="A399" s="1"/>
    </row>
    <row r="400" spans="1:1" x14ac:dyDescent="0.2">
      <c r="A400" s="1"/>
    </row>
    <row r="401" spans="1:1" x14ac:dyDescent="0.2">
      <c r="A401" s="1"/>
    </row>
    <row r="402" spans="1:1" x14ac:dyDescent="0.2">
      <c r="A402" s="1"/>
    </row>
    <row r="403" spans="1:1" x14ac:dyDescent="0.2">
      <c r="A403" s="1"/>
    </row>
    <row r="404" spans="1:1" x14ac:dyDescent="0.2">
      <c r="A404" s="1"/>
    </row>
    <row r="405" spans="1:1" x14ac:dyDescent="0.2">
      <c r="A405" s="1"/>
    </row>
    <row r="406" spans="1:1" x14ac:dyDescent="0.2">
      <c r="A406" s="1"/>
    </row>
    <row r="407" spans="1:1" x14ac:dyDescent="0.2">
      <c r="A407" s="1"/>
    </row>
    <row r="408" spans="1:1" x14ac:dyDescent="0.2">
      <c r="A408" s="1"/>
    </row>
    <row r="409" spans="1:1" x14ac:dyDescent="0.2">
      <c r="A409" s="1"/>
    </row>
    <row r="410" spans="1:1" x14ac:dyDescent="0.2">
      <c r="A410" s="1"/>
    </row>
    <row r="411" spans="1:1" x14ac:dyDescent="0.2">
      <c r="A411" s="1"/>
    </row>
    <row r="412" spans="1:1" x14ac:dyDescent="0.2">
      <c r="A412" s="1"/>
    </row>
    <row r="413" spans="1:1" x14ac:dyDescent="0.2">
      <c r="A413" s="1"/>
    </row>
    <row r="414" spans="1:1" x14ac:dyDescent="0.2">
      <c r="A414" s="1"/>
    </row>
    <row r="415" spans="1:1" x14ac:dyDescent="0.2">
      <c r="A415" s="1"/>
    </row>
    <row r="416" spans="1:1" x14ac:dyDescent="0.2">
      <c r="A416" s="1"/>
    </row>
    <row r="417" spans="1:1" x14ac:dyDescent="0.2">
      <c r="A417" s="1"/>
    </row>
    <row r="418" spans="1:1" x14ac:dyDescent="0.2">
      <c r="A418" s="1"/>
    </row>
    <row r="419" spans="1:1" x14ac:dyDescent="0.2">
      <c r="A419" s="1"/>
    </row>
    <row r="420" spans="1:1" x14ac:dyDescent="0.2">
      <c r="A420" s="1"/>
    </row>
    <row r="421" spans="1:1" x14ac:dyDescent="0.2">
      <c r="A421" s="1"/>
    </row>
    <row r="422" spans="1:1" x14ac:dyDescent="0.2">
      <c r="A422" s="1"/>
    </row>
    <row r="423" spans="1:1" x14ac:dyDescent="0.2">
      <c r="A423" s="1"/>
    </row>
    <row r="424" spans="1:1" x14ac:dyDescent="0.2">
      <c r="A424" s="1"/>
    </row>
    <row r="425" spans="1:1" x14ac:dyDescent="0.2">
      <c r="A425" s="1"/>
    </row>
    <row r="426" spans="1:1" x14ac:dyDescent="0.2">
      <c r="A426" s="1"/>
    </row>
    <row r="427" spans="1:1" x14ac:dyDescent="0.2">
      <c r="A427" s="1"/>
    </row>
    <row r="428" spans="1:1" x14ac:dyDescent="0.2">
      <c r="A428" s="1"/>
    </row>
    <row r="429" spans="1:1" x14ac:dyDescent="0.2">
      <c r="A429" s="1"/>
    </row>
    <row r="430" spans="1:1" x14ac:dyDescent="0.2">
      <c r="A430" s="1"/>
    </row>
    <row r="431" spans="1:1" x14ac:dyDescent="0.2">
      <c r="A431" s="1"/>
    </row>
    <row r="432" spans="1:1" x14ac:dyDescent="0.2">
      <c r="A432" s="1"/>
    </row>
    <row r="433" spans="1:1" x14ac:dyDescent="0.2">
      <c r="A433" s="1"/>
    </row>
    <row r="434" spans="1:1" x14ac:dyDescent="0.2">
      <c r="A434" s="1"/>
    </row>
    <row r="435" spans="1:1" x14ac:dyDescent="0.2">
      <c r="A435" s="1"/>
    </row>
    <row r="436" spans="1:1" x14ac:dyDescent="0.2">
      <c r="A436" s="1"/>
    </row>
    <row r="437" spans="1:1" x14ac:dyDescent="0.2">
      <c r="A437" s="1"/>
    </row>
  </sheetData>
  <mergeCells count="77">
    <mergeCell ref="B27:C27"/>
    <mergeCell ref="D27:E27"/>
    <mergeCell ref="R9:S9"/>
    <mergeCell ref="W9:X9"/>
    <mergeCell ref="F9:G9"/>
    <mergeCell ref="H9:I9"/>
    <mergeCell ref="J9:K9"/>
    <mergeCell ref="L9:M9"/>
    <mergeCell ref="N9:O9"/>
    <mergeCell ref="P9:Q9"/>
    <mergeCell ref="B9:C9"/>
    <mergeCell ref="D9:E9"/>
    <mergeCell ref="F27:G27"/>
    <mergeCell ref="H27:I27"/>
    <mergeCell ref="J27:K27"/>
    <mergeCell ref="L27:M27"/>
    <mergeCell ref="N27:O27"/>
    <mergeCell ref="P36:Q36"/>
    <mergeCell ref="R36:S36"/>
    <mergeCell ref="W36:X36"/>
    <mergeCell ref="R27:S27"/>
    <mergeCell ref="W27:X27"/>
    <mergeCell ref="P27:Q27"/>
    <mergeCell ref="J36:K36"/>
    <mergeCell ref="L36:M36"/>
    <mergeCell ref="N36:O36"/>
    <mergeCell ref="B36:C36"/>
    <mergeCell ref="D36:E36"/>
    <mergeCell ref="F36:G36"/>
    <mergeCell ref="H36:I36"/>
    <mergeCell ref="B47:C47"/>
    <mergeCell ref="D47:E47"/>
    <mergeCell ref="F47:G47"/>
    <mergeCell ref="H47:I47"/>
    <mergeCell ref="P47:Q47"/>
    <mergeCell ref="J47:K47"/>
    <mergeCell ref="L47:M47"/>
    <mergeCell ref="N47:O47"/>
    <mergeCell ref="R40:S40"/>
    <mergeCell ref="W40:X40"/>
    <mergeCell ref="P40:Q40"/>
    <mergeCell ref="B40:C40"/>
    <mergeCell ref="D40:E40"/>
    <mergeCell ref="F40:G40"/>
    <mergeCell ref="H40:I40"/>
    <mergeCell ref="J40:K40"/>
    <mergeCell ref="L40:M40"/>
    <mergeCell ref="N40:O40"/>
    <mergeCell ref="R47:S47"/>
    <mergeCell ref="W50:X50"/>
    <mergeCell ref="P50:Q50"/>
    <mergeCell ref="R50:S50"/>
    <mergeCell ref="J50:K50"/>
    <mergeCell ref="L50:M50"/>
    <mergeCell ref="N50:O50"/>
    <mergeCell ref="W47:X47"/>
    <mergeCell ref="T50:U50"/>
    <mergeCell ref="P56:Q56"/>
    <mergeCell ref="R56:S56"/>
    <mergeCell ref="W56:X56"/>
    <mergeCell ref="B56:C56"/>
    <mergeCell ref="D56:E56"/>
    <mergeCell ref="F56:G56"/>
    <mergeCell ref="H56:I56"/>
    <mergeCell ref="J56:K56"/>
    <mergeCell ref="T56:U56"/>
    <mergeCell ref="B50:C50"/>
    <mergeCell ref="D50:E50"/>
    <mergeCell ref="F50:G50"/>
    <mergeCell ref="L56:M56"/>
    <mergeCell ref="N56:O56"/>
    <mergeCell ref="H50:I50"/>
    <mergeCell ref="T9:U9"/>
    <mergeCell ref="T27:U27"/>
    <mergeCell ref="T36:U36"/>
    <mergeCell ref="T40:U40"/>
    <mergeCell ref="T47:U47"/>
  </mergeCells>
  <printOptions horizontalCentered="1"/>
  <pageMargins left="0.75" right="0.75" top="0.5" bottom="0.5" header="0.25" footer="0.25"/>
  <pageSetup scale="58" orientation="landscape" r:id="rId1"/>
  <headerFooter alignWithMargins="0">
    <oddFooter>&amp;LPrepared by Planning and Analysis&amp;C&amp;P of &amp;N&amp;RUpdated &amp;D</oddFooter>
  </headerFooter>
  <rowBreaks count="1" manualBreakCount="1">
    <brk id="54" max="21" man="1"/>
  </rowBreaks>
  <colBreaks count="1" manualBreakCount="1">
    <brk id="21" min="8" max="90" man="1"/>
  </colBreaks>
  <ignoredErrors>
    <ignoredError sqref="A71:N72 A78:N93 A77:C77 H77:N77 A76:N76 A73:C73 E73 A74:C74 E74 A75:C75 E75 G73:N73 G74:N74 G75:N75" formula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AG424"/>
  <sheetViews>
    <sheetView view="pageBreakPreview" zoomScaleNormal="100" zoomScaleSheetLayoutView="100" workbookViewId="0">
      <pane xSplit="1" ySplit="7" topLeftCell="T8" activePane="bottomRight" state="frozen"/>
      <selection activeCell="T36" sqref="T36:U36"/>
      <selection pane="topRight" activeCell="T36" sqref="T36:U36"/>
      <selection pane="bottomLeft" activeCell="T36" sqref="T36:U36"/>
      <selection pane="bottomRight" activeCell="T36" sqref="T36:U36"/>
    </sheetView>
  </sheetViews>
  <sheetFormatPr defaultColWidth="10.28515625" defaultRowHeight="12.75" x14ac:dyDescent="0.2"/>
  <cols>
    <col min="1" max="1" width="37" customWidth="1"/>
    <col min="2" max="2" width="6.7109375" hidden="1" customWidth="1"/>
    <col min="3" max="3" width="10.7109375" hidden="1" customWidth="1"/>
    <col min="4" max="4" width="6.7109375" hidden="1" customWidth="1"/>
    <col min="5" max="5" width="10.7109375" hidden="1" customWidth="1"/>
    <col min="6" max="6" width="6.7109375" customWidth="1"/>
    <col min="7" max="7" width="10.7109375" customWidth="1"/>
    <col min="8" max="8" width="6.7109375" customWidth="1"/>
    <col min="9" max="9" width="10.7109375" customWidth="1"/>
    <col min="10" max="10" width="6.7109375" customWidth="1"/>
    <col min="11" max="11" width="10.7109375" customWidth="1"/>
    <col min="12" max="12" width="6.7109375" customWidth="1"/>
    <col min="13" max="13" width="10.7109375" customWidth="1"/>
    <col min="14" max="14" width="6.7109375" customWidth="1"/>
    <col min="15" max="15" width="10.7109375" customWidth="1"/>
    <col min="16" max="16" width="6.7109375" customWidth="1"/>
    <col min="17" max="17" width="10.7109375" customWidth="1"/>
    <col min="18" max="18" width="6.7109375" customWidth="1"/>
    <col min="19" max="19" width="10.7109375" customWidth="1"/>
    <col min="20" max="20" width="6.7109375" customWidth="1"/>
    <col min="21" max="21" width="10.7109375" customWidth="1"/>
    <col min="22" max="22" width="3.28515625" customWidth="1"/>
    <col min="23" max="23" width="6.7109375" customWidth="1"/>
    <col min="24" max="24" width="10.7109375" customWidth="1"/>
    <col min="25" max="25" width="1.5703125" customWidth="1"/>
  </cols>
  <sheetData>
    <row r="1" spans="1:33" s="1" customFormat="1" ht="15.75" x14ac:dyDescent="0.25">
      <c r="A1" s="667" t="s">
        <v>240</v>
      </c>
      <c r="B1"/>
      <c r="C1"/>
      <c r="D1"/>
      <c r="E1"/>
      <c r="F1" s="564"/>
      <c r="G1" s="564"/>
      <c r="H1" s="564"/>
      <c r="I1" s="564"/>
    </row>
    <row r="2" spans="1:33" s="1" customFormat="1" ht="15.75" x14ac:dyDescent="0.25">
      <c r="A2" s="667" t="s">
        <v>241</v>
      </c>
      <c r="B2"/>
      <c r="C2"/>
      <c r="D2"/>
      <c r="E2"/>
      <c r="F2" s="564"/>
      <c r="G2" s="564"/>
      <c r="H2" s="564"/>
      <c r="I2" s="564"/>
    </row>
    <row r="3" spans="1:33" s="1" customFormat="1" ht="5.25" customHeight="1" x14ac:dyDescent="0.25">
      <c r="A3" s="667"/>
      <c r="B3"/>
      <c r="C3"/>
      <c r="D3"/>
      <c r="E3"/>
      <c r="F3" s="564"/>
      <c r="G3" s="564"/>
      <c r="H3" s="564"/>
      <c r="I3" s="564"/>
    </row>
    <row r="4" spans="1:33" s="1" customFormat="1" ht="15.75" x14ac:dyDescent="0.25">
      <c r="A4" s="668" t="s">
        <v>261</v>
      </c>
      <c r="B4"/>
      <c r="C4"/>
      <c r="D4"/>
      <c r="E4"/>
      <c r="F4" s="564"/>
      <c r="G4" s="564"/>
      <c r="H4" s="564"/>
      <c r="I4" s="564"/>
      <c r="S4" s="1" t="s">
        <v>19</v>
      </c>
    </row>
    <row r="5" spans="1:33" s="1" customFormat="1" ht="6" customHeight="1" x14ac:dyDescent="0.25">
      <c r="A5" s="668"/>
      <c r="B5"/>
      <c r="C5"/>
      <c r="D5"/>
      <c r="E5"/>
      <c r="F5" s="564"/>
      <c r="G5" s="564"/>
      <c r="H5" s="564"/>
      <c r="I5" s="564"/>
    </row>
    <row r="6" spans="1:33" s="85" customFormat="1" x14ac:dyDescent="0.2">
      <c r="A6" s="669" t="s">
        <v>303</v>
      </c>
      <c r="B6" s="670"/>
      <c r="C6" s="670"/>
      <c r="D6" s="670"/>
      <c r="E6" s="670"/>
      <c r="F6" s="671"/>
      <c r="G6" s="671"/>
      <c r="H6" s="671"/>
      <c r="I6" s="671"/>
      <c r="AG6" s="1"/>
    </row>
    <row r="7" spans="1:33" s="1" customFormat="1" ht="12" x14ac:dyDescent="0.2">
      <c r="A7" s="57">
        <v>3670020270</v>
      </c>
      <c r="B7" s="673"/>
      <c r="C7" s="674"/>
      <c r="D7" s="673"/>
      <c r="E7" s="674"/>
      <c r="F7" s="79"/>
      <c r="G7" s="56"/>
      <c r="H7" s="79"/>
      <c r="I7" s="56"/>
      <c r="J7" s="79"/>
      <c r="K7" s="56"/>
      <c r="L7" s="79"/>
      <c r="M7" s="56"/>
      <c r="N7" s="79"/>
      <c r="O7" s="56"/>
      <c r="P7" s="79"/>
      <c r="Q7" s="56"/>
      <c r="R7" s="79"/>
      <c r="S7" s="56"/>
      <c r="T7" s="79"/>
      <c r="U7" s="56"/>
      <c r="V7" s="79"/>
      <c r="W7" s="56"/>
      <c r="X7" s="79"/>
      <c r="Y7" s="56"/>
      <c r="Z7" s="79"/>
      <c r="AA7" s="56"/>
      <c r="AB7" s="79"/>
      <c r="AC7" s="56"/>
    </row>
    <row r="8" spans="1:33" ht="12.75" customHeight="1" thickBot="1" x14ac:dyDescent="0.25">
      <c r="A8" s="1"/>
    </row>
    <row r="9" spans="1:33" ht="15" customHeight="1" thickTop="1" thickBot="1" x14ac:dyDescent="0.25">
      <c r="A9" s="4"/>
      <c r="B9" s="1401" t="s">
        <v>0</v>
      </c>
      <c r="C9" s="1398"/>
      <c r="D9" s="1401" t="s">
        <v>1</v>
      </c>
      <c r="E9" s="1398"/>
      <c r="F9" s="1401" t="s">
        <v>2</v>
      </c>
      <c r="G9" s="1398"/>
      <c r="H9" s="1401" t="s">
        <v>3</v>
      </c>
      <c r="I9" s="1398"/>
      <c r="J9" s="1401" t="s">
        <v>4</v>
      </c>
      <c r="K9" s="1398"/>
      <c r="L9" s="1401" t="s">
        <v>5</v>
      </c>
      <c r="M9" s="1398"/>
      <c r="N9" s="1401" t="s">
        <v>6</v>
      </c>
      <c r="O9" s="1398"/>
      <c r="P9" s="1401" t="s">
        <v>7</v>
      </c>
      <c r="Q9" s="1398"/>
      <c r="R9" s="1401" t="s">
        <v>8</v>
      </c>
      <c r="S9" s="1398"/>
      <c r="T9" s="1401" t="s">
        <v>301</v>
      </c>
      <c r="U9" s="1402"/>
      <c r="W9" s="1378" t="s">
        <v>9</v>
      </c>
      <c r="X9" s="1379"/>
    </row>
    <row r="10" spans="1:33" ht="30" customHeight="1" thickBot="1" x14ac:dyDescent="0.25">
      <c r="A10" s="70" t="s">
        <v>246</v>
      </c>
      <c r="B10" s="782" t="s">
        <v>262</v>
      </c>
      <c r="C10" s="783" t="s">
        <v>263</v>
      </c>
      <c r="D10" s="784" t="s">
        <v>262</v>
      </c>
      <c r="E10" s="783" t="s">
        <v>263</v>
      </c>
      <c r="F10" s="782" t="s">
        <v>262</v>
      </c>
      <c r="G10" s="783" t="s">
        <v>263</v>
      </c>
      <c r="H10" s="782" t="s">
        <v>262</v>
      </c>
      <c r="I10" s="783" t="s">
        <v>263</v>
      </c>
      <c r="J10" s="782" t="s">
        <v>262</v>
      </c>
      <c r="K10" s="783" t="s">
        <v>263</v>
      </c>
      <c r="L10" s="782" t="s">
        <v>262</v>
      </c>
      <c r="M10" s="783" t="s">
        <v>263</v>
      </c>
      <c r="N10" s="782" t="s">
        <v>262</v>
      </c>
      <c r="O10" s="783" t="s">
        <v>263</v>
      </c>
      <c r="P10" s="782" t="s">
        <v>262</v>
      </c>
      <c r="Q10" s="783" t="s">
        <v>263</v>
      </c>
      <c r="R10" s="782" t="s">
        <v>262</v>
      </c>
      <c r="S10" s="783" t="s">
        <v>263</v>
      </c>
      <c r="T10" s="782" t="s">
        <v>262</v>
      </c>
      <c r="U10" s="785" t="s">
        <v>263</v>
      </c>
      <c r="W10" s="786" t="s">
        <v>262</v>
      </c>
      <c r="X10" s="787" t="s">
        <v>263</v>
      </c>
    </row>
    <row r="11" spans="1:33" ht="15" customHeight="1" x14ac:dyDescent="0.2">
      <c r="A11" s="269" t="s">
        <v>139</v>
      </c>
      <c r="B11" s="258"/>
      <c r="C11" s="259"/>
      <c r="D11" s="11"/>
      <c r="E11" s="12"/>
      <c r="F11" s="13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2"/>
      <c r="R11" s="13"/>
      <c r="S11" s="12"/>
      <c r="T11" s="13"/>
      <c r="U11" s="15"/>
      <c r="V11" s="564"/>
      <c r="W11" s="779"/>
      <c r="X11" s="858"/>
    </row>
    <row r="12" spans="1:33" s="23" customFormat="1" ht="15" customHeight="1" x14ac:dyDescent="0.2">
      <c r="A12" s="18" t="s">
        <v>15</v>
      </c>
      <c r="B12" s="20">
        <v>3</v>
      </c>
      <c r="C12" s="262"/>
      <c r="D12" s="22">
        <v>6</v>
      </c>
      <c r="E12" s="264"/>
      <c r="F12" s="20">
        <v>5</v>
      </c>
      <c r="G12" s="264"/>
      <c r="H12" s="20">
        <v>4</v>
      </c>
      <c r="I12" s="264"/>
      <c r="J12" s="20">
        <v>2</v>
      </c>
      <c r="K12" s="264"/>
      <c r="L12" s="20">
        <v>4</v>
      </c>
      <c r="M12" s="264"/>
      <c r="N12" s="20">
        <v>5</v>
      </c>
      <c r="O12" s="264"/>
      <c r="P12" s="20">
        <v>3</v>
      </c>
      <c r="Q12" s="264"/>
      <c r="R12" s="20">
        <v>4</v>
      </c>
      <c r="S12" s="264"/>
      <c r="T12" s="20">
        <v>7</v>
      </c>
      <c r="U12" s="266"/>
      <c r="W12" s="16">
        <f t="shared" ref="W12:W18" si="0">AVERAGE(N12,L12,R12,T12,P12)</f>
        <v>4.5999999999999996</v>
      </c>
      <c r="X12" s="859"/>
    </row>
    <row r="13" spans="1:33" s="23" customFormat="1" ht="15" customHeight="1" thickBot="1" x14ac:dyDescent="0.25">
      <c r="A13" s="27" t="s">
        <v>16</v>
      </c>
      <c r="B13" s="29">
        <v>5</v>
      </c>
      <c r="C13" s="263"/>
      <c r="D13" s="86">
        <v>9</v>
      </c>
      <c r="E13" s="265"/>
      <c r="F13" s="29">
        <v>10</v>
      </c>
      <c r="G13" s="265"/>
      <c r="H13" s="29">
        <v>9</v>
      </c>
      <c r="I13" s="265"/>
      <c r="J13" s="29">
        <v>10</v>
      </c>
      <c r="K13" s="265"/>
      <c r="L13" s="29">
        <v>12</v>
      </c>
      <c r="M13" s="265"/>
      <c r="N13" s="29">
        <v>12</v>
      </c>
      <c r="O13" s="265"/>
      <c r="P13" s="29">
        <v>15</v>
      </c>
      <c r="Q13" s="265"/>
      <c r="R13" s="29">
        <v>17</v>
      </c>
      <c r="S13" s="265"/>
      <c r="T13" s="29">
        <v>26</v>
      </c>
      <c r="U13" s="267"/>
      <c r="W13" s="16">
        <f t="shared" si="0"/>
        <v>16.399999999999999</v>
      </c>
      <c r="X13" s="860"/>
    </row>
    <row r="14" spans="1:33" s="73" customFormat="1" ht="15" customHeight="1" thickBot="1" x14ac:dyDescent="0.25">
      <c r="A14" s="98" t="s">
        <v>17</v>
      </c>
      <c r="B14" s="89">
        <f t="shared" ref="B14:R14" si="1">SUM(B12:B13)</f>
        <v>8</v>
      </c>
      <c r="C14" s="100">
        <v>3</v>
      </c>
      <c r="D14" s="89">
        <f t="shared" si="1"/>
        <v>15</v>
      </c>
      <c r="E14" s="100">
        <v>2</v>
      </c>
      <c r="F14" s="89">
        <f t="shared" si="1"/>
        <v>15</v>
      </c>
      <c r="G14" s="100">
        <v>2</v>
      </c>
      <c r="H14" s="89">
        <f t="shared" si="1"/>
        <v>13</v>
      </c>
      <c r="I14" s="100">
        <v>6</v>
      </c>
      <c r="J14" s="89">
        <f t="shared" si="1"/>
        <v>12</v>
      </c>
      <c r="K14" s="100">
        <v>1</v>
      </c>
      <c r="L14" s="89">
        <f t="shared" si="1"/>
        <v>16</v>
      </c>
      <c r="M14" s="100">
        <v>6</v>
      </c>
      <c r="N14" s="89">
        <f t="shared" si="1"/>
        <v>17</v>
      </c>
      <c r="O14" s="100">
        <v>4</v>
      </c>
      <c r="P14" s="89">
        <f t="shared" si="1"/>
        <v>18</v>
      </c>
      <c r="Q14" s="100">
        <v>2</v>
      </c>
      <c r="R14" s="89">
        <f t="shared" si="1"/>
        <v>21</v>
      </c>
      <c r="S14" s="100">
        <v>7</v>
      </c>
      <c r="T14" s="89">
        <v>33</v>
      </c>
      <c r="U14" s="1281"/>
      <c r="W14" s="482">
        <f t="shared" si="0"/>
        <v>21</v>
      </c>
      <c r="X14" s="857">
        <f>AVERAGE(O14,M14,S14,K14,Q14)</f>
        <v>4</v>
      </c>
    </row>
    <row r="15" spans="1:33" s="23" customFormat="1" ht="15" customHeight="1" x14ac:dyDescent="0.2">
      <c r="A15" s="1214" t="s">
        <v>18</v>
      </c>
      <c r="B15" s="22">
        <v>3</v>
      </c>
      <c r="C15" s="21">
        <v>1</v>
      </c>
      <c r="D15" s="22">
        <v>4</v>
      </c>
      <c r="E15" s="19">
        <v>5</v>
      </c>
      <c r="F15" s="20">
        <v>3</v>
      </c>
      <c r="G15" s="19">
        <v>2</v>
      </c>
      <c r="H15" s="20">
        <v>11</v>
      </c>
      <c r="I15" s="19">
        <v>7</v>
      </c>
      <c r="J15" s="20">
        <v>7</v>
      </c>
      <c r="K15" s="19">
        <v>7</v>
      </c>
      <c r="L15" s="20">
        <v>10</v>
      </c>
      <c r="M15" s="19">
        <v>3</v>
      </c>
      <c r="N15" s="20">
        <v>22</v>
      </c>
      <c r="O15" s="19">
        <v>18</v>
      </c>
      <c r="P15" s="20">
        <v>24</v>
      </c>
      <c r="Q15" s="19">
        <v>11</v>
      </c>
      <c r="R15" s="20">
        <v>34</v>
      </c>
      <c r="S15" s="19">
        <v>20</v>
      </c>
      <c r="T15" s="20">
        <v>41</v>
      </c>
      <c r="U15" s="152"/>
      <c r="W15" s="16">
        <f t="shared" si="0"/>
        <v>26.2</v>
      </c>
      <c r="X15" s="565">
        <f t="shared" ref="X15:X18" si="2">AVERAGE(O15,M15,S15,K15,Q15)</f>
        <v>11.8</v>
      </c>
      <c r="Z15" s="23" t="s">
        <v>19</v>
      </c>
    </row>
    <row r="16" spans="1:33" s="23" customFormat="1" ht="15" customHeight="1" x14ac:dyDescent="0.2">
      <c r="A16" s="549" t="s">
        <v>20</v>
      </c>
      <c r="B16" s="22">
        <v>24</v>
      </c>
      <c r="C16" s="21">
        <v>4</v>
      </c>
      <c r="D16" s="22">
        <v>28</v>
      </c>
      <c r="E16" s="19">
        <v>5</v>
      </c>
      <c r="F16" s="20">
        <v>34</v>
      </c>
      <c r="G16" s="19">
        <v>9</v>
      </c>
      <c r="H16" s="20">
        <v>29</v>
      </c>
      <c r="I16" s="19">
        <v>15</v>
      </c>
      <c r="J16" s="20">
        <v>34</v>
      </c>
      <c r="K16" s="19">
        <v>12</v>
      </c>
      <c r="L16" s="20">
        <v>31</v>
      </c>
      <c r="M16" s="19">
        <v>18</v>
      </c>
      <c r="N16" s="20">
        <v>23</v>
      </c>
      <c r="O16" s="19">
        <v>7</v>
      </c>
      <c r="P16" s="20">
        <v>11</v>
      </c>
      <c r="Q16" s="19">
        <v>9</v>
      </c>
      <c r="R16" s="20">
        <v>16</v>
      </c>
      <c r="S16" s="19">
        <v>4</v>
      </c>
      <c r="T16" s="20">
        <v>16</v>
      </c>
      <c r="U16" s="152"/>
      <c r="W16" s="16">
        <f t="shared" si="0"/>
        <v>19.399999999999999</v>
      </c>
      <c r="X16" s="565">
        <f t="shared" si="2"/>
        <v>10</v>
      </c>
    </row>
    <row r="17" spans="1:24" s="23" customFormat="1" ht="15" customHeight="1" x14ac:dyDescent="0.2">
      <c r="A17" s="549" t="s">
        <v>86</v>
      </c>
      <c r="B17" s="22">
        <v>33</v>
      </c>
      <c r="C17" s="21">
        <v>3</v>
      </c>
      <c r="D17" s="22">
        <v>32</v>
      </c>
      <c r="E17" s="19">
        <v>2</v>
      </c>
      <c r="F17" s="20">
        <v>29</v>
      </c>
      <c r="G17" s="19">
        <v>5</v>
      </c>
      <c r="H17" s="20">
        <v>28</v>
      </c>
      <c r="I17" s="19">
        <v>2</v>
      </c>
      <c r="J17" s="20">
        <v>24</v>
      </c>
      <c r="K17" s="19">
        <v>5</v>
      </c>
      <c r="L17" s="20">
        <v>24</v>
      </c>
      <c r="M17" s="19">
        <v>3</v>
      </c>
      <c r="N17" s="20">
        <v>26</v>
      </c>
      <c r="O17" s="19">
        <v>4</v>
      </c>
      <c r="P17" s="20">
        <v>33</v>
      </c>
      <c r="Q17" s="19">
        <v>5</v>
      </c>
      <c r="R17" s="20">
        <v>37</v>
      </c>
      <c r="S17" s="19">
        <v>1</v>
      </c>
      <c r="T17" s="20">
        <v>39</v>
      </c>
      <c r="U17" s="151"/>
      <c r="W17" s="16">
        <f t="shared" si="0"/>
        <v>31.8</v>
      </c>
      <c r="X17" s="565">
        <f t="shared" si="2"/>
        <v>3.6</v>
      </c>
    </row>
    <row r="18" spans="1:24" s="23" customFormat="1" ht="15" customHeight="1" thickBot="1" x14ac:dyDescent="0.25">
      <c r="A18" s="30" t="s">
        <v>21</v>
      </c>
      <c r="B18" s="31">
        <v>2</v>
      </c>
      <c r="C18" s="34">
        <v>0</v>
      </c>
      <c r="D18" s="31">
        <v>4</v>
      </c>
      <c r="E18" s="32">
        <v>1</v>
      </c>
      <c r="F18" s="33">
        <v>7</v>
      </c>
      <c r="G18" s="32">
        <v>6</v>
      </c>
      <c r="H18" s="33">
        <v>6</v>
      </c>
      <c r="I18" s="32">
        <v>14</v>
      </c>
      <c r="J18" s="33">
        <v>9</v>
      </c>
      <c r="K18" s="32">
        <v>10</v>
      </c>
      <c r="L18" s="33">
        <v>6</v>
      </c>
      <c r="M18" s="32">
        <v>7</v>
      </c>
      <c r="N18" s="33">
        <v>10</v>
      </c>
      <c r="O18" s="32">
        <v>14</v>
      </c>
      <c r="P18" s="33">
        <v>7</v>
      </c>
      <c r="Q18" s="32">
        <v>15</v>
      </c>
      <c r="R18" s="33">
        <v>4</v>
      </c>
      <c r="S18" s="32">
        <v>9</v>
      </c>
      <c r="T18" s="33">
        <v>6</v>
      </c>
      <c r="U18" s="1282"/>
      <c r="W18" s="16">
        <f t="shared" si="0"/>
        <v>6.6</v>
      </c>
      <c r="X18" s="565">
        <f t="shared" si="2"/>
        <v>11</v>
      </c>
    </row>
    <row r="19" spans="1:24" ht="18" customHeight="1" thickTop="1" thickBot="1" x14ac:dyDescent="0.25">
      <c r="A19" s="72" t="s">
        <v>71</v>
      </c>
      <c r="B19" s="1375"/>
      <c r="C19" s="1376"/>
      <c r="D19" s="1375"/>
      <c r="E19" s="1376"/>
      <c r="F19" s="1375"/>
      <c r="G19" s="1376"/>
      <c r="H19" s="1375"/>
      <c r="I19" s="1376"/>
      <c r="J19" s="1375"/>
      <c r="K19" s="1376"/>
      <c r="L19" s="1375"/>
      <c r="M19" s="1376"/>
      <c r="N19" s="1375"/>
      <c r="O19" s="1376"/>
      <c r="P19" s="1375"/>
      <c r="Q19" s="1376"/>
      <c r="R19" s="1375"/>
      <c r="S19" s="1376"/>
      <c r="T19" s="1375"/>
      <c r="U19" s="1384"/>
      <c r="W19" s="1378"/>
      <c r="X19" s="1379"/>
    </row>
    <row r="20" spans="1:24" ht="15" customHeight="1" x14ac:dyDescent="0.2">
      <c r="A20" s="749" t="s">
        <v>266</v>
      </c>
      <c r="B20" s="103"/>
      <c r="C20" s="137"/>
      <c r="D20" s="468"/>
      <c r="E20" s="137"/>
      <c r="F20" s="468"/>
      <c r="G20" s="137"/>
      <c r="H20" s="468"/>
      <c r="I20" s="137"/>
      <c r="J20" s="468"/>
      <c r="K20" s="137"/>
      <c r="L20" s="468"/>
      <c r="M20" s="137"/>
      <c r="N20" s="468"/>
      <c r="O20" s="137"/>
      <c r="P20" s="468"/>
      <c r="Q20" s="137"/>
      <c r="R20" s="468"/>
      <c r="S20" s="137"/>
      <c r="T20" s="468"/>
      <c r="U20" s="138"/>
      <c r="V20" s="487"/>
      <c r="W20" s="526"/>
      <c r="X20" s="852" t="e">
        <f>AVERAGE(O20,M20,I20,K20,Q20)</f>
        <v>#DIV/0!</v>
      </c>
    </row>
    <row r="21" spans="1:24" ht="15" customHeight="1" x14ac:dyDescent="0.2">
      <c r="A21" s="744" t="s">
        <v>72</v>
      </c>
      <c r="B21" s="102"/>
      <c r="C21" s="135">
        <v>0</v>
      </c>
      <c r="D21" s="244"/>
      <c r="E21" s="135">
        <v>1</v>
      </c>
      <c r="F21" s="244"/>
      <c r="G21" s="135">
        <v>0</v>
      </c>
      <c r="H21" s="244"/>
      <c r="I21" s="135">
        <v>0.4</v>
      </c>
      <c r="J21" s="244"/>
      <c r="K21" s="135">
        <v>1</v>
      </c>
      <c r="L21" s="244"/>
      <c r="M21" s="135">
        <v>0.4</v>
      </c>
      <c r="N21" s="244"/>
      <c r="O21" s="135">
        <v>0.67</v>
      </c>
      <c r="P21" s="244"/>
      <c r="Q21" s="135">
        <v>0.33</v>
      </c>
      <c r="R21" s="244"/>
      <c r="S21" s="135"/>
      <c r="T21" s="244"/>
      <c r="U21" s="1271"/>
      <c r="V21" s="487"/>
      <c r="W21" s="842"/>
      <c r="X21" s="1255">
        <f t="shared" ref="X21:X22" si="3">AVERAGE(O21,M21,S21,K21,Q21)</f>
        <v>0.60000000000000009</v>
      </c>
    </row>
    <row r="22" spans="1:24" ht="15" customHeight="1" x14ac:dyDescent="0.2">
      <c r="A22" s="744" t="s">
        <v>73</v>
      </c>
      <c r="B22" s="75"/>
      <c r="C22" s="136">
        <v>0</v>
      </c>
      <c r="D22" s="245"/>
      <c r="E22" s="136">
        <v>0</v>
      </c>
      <c r="F22" s="245"/>
      <c r="G22" s="136">
        <v>0.5</v>
      </c>
      <c r="H22" s="245"/>
      <c r="I22" s="136">
        <v>0.6</v>
      </c>
      <c r="J22" s="245"/>
      <c r="K22" s="136">
        <v>0</v>
      </c>
      <c r="L22" s="245"/>
      <c r="M22" s="136">
        <v>0.6</v>
      </c>
      <c r="N22" s="245"/>
      <c r="O22" s="136">
        <v>0.33</v>
      </c>
      <c r="P22" s="245"/>
      <c r="Q22" s="136">
        <v>0.67</v>
      </c>
      <c r="R22" s="245"/>
      <c r="S22" s="136"/>
      <c r="T22" s="245"/>
      <c r="U22" s="1276"/>
      <c r="V22" s="487"/>
      <c r="W22" s="840"/>
      <c r="X22" s="1255">
        <f t="shared" si="3"/>
        <v>0.4</v>
      </c>
    </row>
    <row r="23" spans="1:24" ht="15" customHeight="1" thickBot="1" x14ac:dyDescent="0.25">
      <c r="A23" s="750" t="s">
        <v>75</v>
      </c>
      <c r="B23" s="76"/>
      <c r="C23" s="77"/>
      <c r="D23" s="76"/>
      <c r="E23" s="77"/>
      <c r="F23" s="76"/>
      <c r="G23" s="77"/>
      <c r="H23" s="76"/>
      <c r="I23" s="77"/>
      <c r="J23" s="76"/>
      <c r="K23" s="77"/>
      <c r="L23" s="76"/>
      <c r="M23" s="77"/>
      <c r="N23" s="76"/>
      <c r="O23" s="77"/>
      <c r="P23" s="76"/>
      <c r="Q23" s="77"/>
      <c r="R23" s="76"/>
      <c r="S23" s="77"/>
      <c r="T23" s="76"/>
      <c r="U23" s="78"/>
      <c r="W23" s="841"/>
      <c r="X23" s="543" t="e">
        <f>AVERAGE(O23,M23,S23,U23,Q23)</f>
        <v>#DIV/0!</v>
      </c>
    </row>
    <row r="24" spans="1:24" ht="18" customHeight="1" thickTop="1" thickBot="1" x14ac:dyDescent="0.25">
      <c r="A24" s="221" t="s">
        <v>78</v>
      </c>
      <c r="B24" s="1380"/>
      <c r="C24" s="1381"/>
      <c r="D24" s="1380"/>
      <c r="E24" s="1381"/>
      <c r="F24" s="1380"/>
      <c r="G24" s="1381"/>
      <c r="H24" s="1380"/>
      <c r="I24" s="1381"/>
      <c r="J24" s="1380"/>
      <c r="K24" s="1381"/>
      <c r="L24" s="1380"/>
      <c r="M24" s="1381"/>
      <c r="N24" s="1380"/>
      <c r="O24" s="1381"/>
      <c r="P24" s="1380"/>
      <c r="Q24" s="1381"/>
      <c r="R24" s="1380"/>
      <c r="S24" s="1381"/>
      <c r="T24" s="1380"/>
      <c r="U24" s="1383"/>
      <c r="V24" s="226"/>
      <c r="W24" s="1382"/>
      <c r="X24" s="1383"/>
    </row>
    <row r="25" spans="1:24" ht="15" customHeight="1" thickBot="1" x14ac:dyDescent="0.25">
      <c r="A25" s="847" t="s">
        <v>168</v>
      </c>
      <c r="B25" s="223"/>
      <c r="C25" s="224">
        <v>19</v>
      </c>
      <c r="D25" s="223"/>
      <c r="E25" s="224">
        <v>25.9</v>
      </c>
      <c r="F25" s="223"/>
      <c r="G25" s="224">
        <v>27.3</v>
      </c>
      <c r="H25" s="223"/>
      <c r="I25" s="224">
        <v>27.3</v>
      </c>
      <c r="J25" s="223"/>
      <c r="K25" s="224">
        <v>26.7</v>
      </c>
      <c r="L25" s="223"/>
      <c r="M25" s="224">
        <v>26.1</v>
      </c>
      <c r="N25" s="223"/>
      <c r="O25" s="224">
        <v>27.5</v>
      </c>
      <c r="P25" s="223"/>
      <c r="Q25" s="224">
        <v>26.6</v>
      </c>
      <c r="R25" s="223"/>
      <c r="S25" s="224">
        <v>26.5</v>
      </c>
      <c r="T25" s="223"/>
      <c r="U25" s="225"/>
      <c r="V25" s="226"/>
      <c r="W25" s="247"/>
      <c r="X25" s="757">
        <f>AVERAGE(O25,M25,S25,U25,Q25)</f>
        <v>26.674999999999997</v>
      </c>
    </row>
    <row r="26" spans="1:24" ht="18" customHeight="1" thickTop="1" thickBot="1" x14ac:dyDescent="0.25">
      <c r="A26" s="314" t="s">
        <v>22</v>
      </c>
      <c r="B26" s="1380"/>
      <c r="C26" s="1381"/>
      <c r="D26" s="1380"/>
      <c r="E26" s="1381"/>
      <c r="F26" s="1380"/>
      <c r="G26" s="1381"/>
      <c r="H26" s="1380"/>
      <c r="I26" s="1381"/>
      <c r="J26" s="1380"/>
      <c r="K26" s="1381"/>
      <c r="L26" s="1380"/>
      <c r="M26" s="1381"/>
      <c r="N26" s="1380"/>
      <c r="O26" s="1381"/>
      <c r="P26" s="1380"/>
      <c r="Q26" s="1381"/>
      <c r="R26" s="1380"/>
      <c r="S26" s="1381"/>
      <c r="T26" s="1380"/>
      <c r="U26" s="1383"/>
      <c r="V26" s="226"/>
      <c r="W26" s="1382"/>
      <c r="X26" s="1383"/>
    </row>
    <row r="27" spans="1:24" ht="15" customHeight="1" x14ac:dyDescent="0.2">
      <c r="A27" s="677" t="s">
        <v>24</v>
      </c>
      <c r="B27" s="315"/>
      <c r="C27" s="209">
        <v>330</v>
      </c>
      <c r="D27" s="316"/>
      <c r="E27" s="321">
        <v>453</v>
      </c>
      <c r="F27" s="315"/>
      <c r="G27" s="321">
        <v>561</v>
      </c>
      <c r="H27" s="315"/>
      <c r="I27" s="321">
        <v>573</v>
      </c>
      <c r="J27" s="315"/>
      <c r="K27" s="321">
        <v>588</v>
      </c>
      <c r="L27" s="315"/>
      <c r="M27" s="321">
        <v>588</v>
      </c>
      <c r="N27" s="315"/>
      <c r="O27" s="321">
        <v>567</v>
      </c>
      <c r="P27" s="315"/>
      <c r="Q27" s="321">
        <v>555</v>
      </c>
      <c r="R27" s="315"/>
      <c r="S27" s="321">
        <v>384</v>
      </c>
      <c r="T27" s="315"/>
      <c r="U27" s="1273"/>
      <c r="V27" s="226"/>
      <c r="W27" s="50"/>
      <c r="X27" s="51">
        <f>AVERAGE(O27,M27,S27,K27,Q27)</f>
        <v>536.4</v>
      </c>
    </row>
    <row r="28" spans="1:24" ht="15" customHeight="1" x14ac:dyDescent="0.2">
      <c r="A28" s="677" t="s">
        <v>25</v>
      </c>
      <c r="B28" s="315"/>
      <c r="C28" s="209">
        <v>10194</v>
      </c>
      <c r="D28" s="316"/>
      <c r="E28" s="321">
        <v>10271</v>
      </c>
      <c r="F28" s="315"/>
      <c r="G28" s="321">
        <v>10117</v>
      </c>
      <c r="H28" s="315"/>
      <c r="I28" s="321">
        <v>10426</v>
      </c>
      <c r="J28" s="315"/>
      <c r="K28" s="321">
        <v>10606</v>
      </c>
      <c r="L28" s="315"/>
      <c r="M28" s="321">
        <v>10492</v>
      </c>
      <c r="N28" s="315"/>
      <c r="O28" s="321">
        <v>10872</v>
      </c>
      <c r="P28" s="315"/>
      <c r="Q28" s="321">
        <v>10933</v>
      </c>
      <c r="R28" s="315"/>
      <c r="S28" s="321">
        <v>10940</v>
      </c>
      <c r="T28" s="315"/>
      <c r="U28" s="1273"/>
      <c r="V28" s="226"/>
      <c r="W28" s="52"/>
      <c r="X28" s="51">
        <f t="shared" ref="X28:X31" si="4">AVERAGE(O28,M28,S28,K28,Q28)</f>
        <v>10768.6</v>
      </c>
    </row>
    <row r="29" spans="1:24" ht="15" customHeight="1" x14ac:dyDescent="0.2">
      <c r="A29" s="677" t="s">
        <v>26</v>
      </c>
      <c r="B29" s="315"/>
      <c r="C29" s="209">
        <v>2623</v>
      </c>
      <c r="D29" s="316"/>
      <c r="E29" s="321">
        <v>2499</v>
      </c>
      <c r="F29" s="315"/>
      <c r="G29" s="321">
        <v>2845</v>
      </c>
      <c r="H29" s="315"/>
      <c r="I29" s="321">
        <v>2818</v>
      </c>
      <c r="J29" s="315"/>
      <c r="K29" s="321">
        <v>2817</v>
      </c>
      <c r="L29" s="315"/>
      <c r="M29" s="321">
        <v>2731</v>
      </c>
      <c r="N29" s="315"/>
      <c r="O29" s="321">
        <v>2754</v>
      </c>
      <c r="P29" s="315"/>
      <c r="Q29" s="321">
        <v>2694</v>
      </c>
      <c r="R29" s="315"/>
      <c r="S29" s="321">
        <v>2736</v>
      </c>
      <c r="T29" s="315"/>
      <c r="U29" s="1273"/>
      <c r="V29" s="226"/>
      <c r="W29" s="52"/>
      <c r="X29" s="51">
        <f t="shared" si="4"/>
        <v>2746.4</v>
      </c>
    </row>
    <row r="30" spans="1:24" ht="15" customHeight="1" thickBot="1" x14ac:dyDescent="0.25">
      <c r="A30" s="849" t="s">
        <v>27</v>
      </c>
      <c r="B30" s="83"/>
      <c r="C30" s="324">
        <v>286</v>
      </c>
      <c r="D30" s="316"/>
      <c r="E30" s="325">
        <v>201</v>
      </c>
      <c r="F30" s="315"/>
      <c r="G30" s="325">
        <v>204</v>
      </c>
      <c r="H30" s="315"/>
      <c r="I30" s="325">
        <v>276</v>
      </c>
      <c r="J30" s="315"/>
      <c r="K30" s="325">
        <v>261</v>
      </c>
      <c r="L30" s="315"/>
      <c r="M30" s="325">
        <v>224</v>
      </c>
      <c r="N30" s="315"/>
      <c r="O30" s="325">
        <v>191</v>
      </c>
      <c r="P30" s="315"/>
      <c r="Q30" s="325">
        <v>152</v>
      </c>
      <c r="R30" s="315"/>
      <c r="S30" s="325">
        <v>270</v>
      </c>
      <c r="T30" s="83"/>
      <c r="U30" s="1274"/>
      <c r="V30" s="226"/>
      <c r="W30" s="63"/>
      <c r="X30" s="484">
        <f t="shared" si="4"/>
        <v>219.6</v>
      </c>
    </row>
    <row r="31" spans="1:24" ht="15" customHeight="1" thickBot="1" x14ac:dyDescent="0.25">
      <c r="A31" s="850" t="s">
        <v>28</v>
      </c>
      <c r="B31" s="328"/>
      <c r="C31" s="329">
        <f>SUM(C27:C30)</f>
        <v>13433</v>
      </c>
      <c r="D31" s="330"/>
      <c r="E31" s="331">
        <f>SUM(E27:E30)</f>
        <v>13424</v>
      </c>
      <c r="F31" s="328"/>
      <c r="G31" s="331">
        <f>SUM(G27:G30)</f>
        <v>13727</v>
      </c>
      <c r="H31" s="328"/>
      <c r="I31" s="331">
        <f>SUM(I27:I30)</f>
        <v>14093</v>
      </c>
      <c r="J31" s="328"/>
      <c r="K31" s="331">
        <f>SUM(K27:K30)</f>
        <v>14272</v>
      </c>
      <c r="L31" s="328"/>
      <c r="M31" s="331">
        <f>SUM(M27:M30)</f>
        <v>14035</v>
      </c>
      <c r="N31" s="328"/>
      <c r="O31" s="331">
        <f>SUM(O27:O30)</f>
        <v>14384</v>
      </c>
      <c r="P31" s="328"/>
      <c r="Q31" s="331">
        <f>SUM(Q27:Q30)</f>
        <v>14334</v>
      </c>
      <c r="R31" s="328"/>
      <c r="S31" s="331">
        <f>SUM(S27:S30)</f>
        <v>14330</v>
      </c>
      <c r="T31" s="328"/>
      <c r="U31" s="1277">
        <f>SUM(U27:U30)</f>
        <v>0</v>
      </c>
      <c r="V31" s="226"/>
      <c r="W31" s="485"/>
      <c r="X31" s="486">
        <f t="shared" si="4"/>
        <v>14271</v>
      </c>
    </row>
    <row r="32" spans="1:24" ht="15" customHeight="1" thickTop="1" thickBot="1" x14ac:dyDescent="0.25">
      <c r="A32" s="280"/>
      <c r="B32" s="332"/>
      <c r="C32" s="333"/>
      <c r="D32" s="332"/>
      <c r="E32" s="333"/>
      <c r="F32" s="332"/>
      <c r="G32" s="333"/>
      <c r="H32" s="332"/>
      <c r="I32" s="333"/>
      <c r="J32" s="332"/>
      <c r="K32" s="333"/>
      <c r="L32" s="332"/>
      <c r="M32" s="333"/>
      <c r="N32" s="332"/>
      <c r="O32" s="333"/>
      <c r="P32" s="332"/>
      <c r="Q32" s="333"/>
      <c r="R32" s="332"/>
      <c r="S32" s="333"/>
      <c r="T32" s="332"/>
      <c r="U32" s="81"/>
      <c r="V32" s="334"/>
      <c r="W32" s="335"/>
      <c r="X32" s="333"/>
    </row>
    <row r="33" spans="1:27" ht="18" customHeight="1" thickTop="1" thickBot="1" x14ac:dyDescent="0.25">
      <c r="A33" s="175" t="s">
        <v>29</v>
      </c>
      <c r="B33" s="1385" t="s">
        <v>30</v>
      </c>
      <c r="C33" s="1395"/>
      <c r="D33" s="1385" t="s">
        <v>31</v>
      </c>
      <c r="E33" s="1396"/>
      <c r="F33" s="1385" t="s">
        <v>32</v>
      </c>
      <c r="G33" s="1396"/>
      <c r="H33" s="1385" t="s">
        <v>33</v>
      </c>
      <c r="I33" s="1396"/>
      <c r="J33" s="1385" t="s">
        <v>34</v>
      </c>
      <c r="K33" s="1396"/>
      <c r="L33" s="1385" t="s">
        <v>35</v>
      </c>
      <c r="M33" s="1396"/>
      <c r="N33" s="1385" t="s">
        <v>36</v>
      </c>
      <c r="O33" s="1396"/>
      <c r="P33" s="1385" t="s">
        <v>37</v>
      </c>
      <c r="Q33" s="1396"/>
      <c r="R33" s="1385" t="s">
        <v>38</v>
      </c>
      <c r="S33" s="1396"/>
      <c r="T33" s="1385" t="s">
        <v>302</v>
      </c>
      <c r="U33" s="1386"/>
      <c r="V33" s="176"/>
      <c r="W33" s="1382" t="s">
        <v>9</v>
      </c>
      <c r="X33" s="1383"/>
      <c r="Y33" s="56"/>
      <c r="Z33" s="56"/>
      <c r="AA33" s="57"/>
    </row>
    <row r="34" spans="1:27" ht="15" customHeight="1" x14ac:dyDescent="0.2">
      <c r="A34" s="873" t="s">
        <v>267</v>
      </c>
      <c r="B34" s="177"/>
      <c r="C34" s="178">
        <v>3.0000000000000001E-3</v>
      </c>
      <c r="D34" s="179"/>
      <c r="E34" s="180">
        <v>3.0000000000000001E-3</v>
      </c>
      <c r="F34" s="181"/>
      <c r="G34" s="180">
        <v>5.0000000000000001E-3</v>
      </c>
      <c r="H34" s="181"/>
      <c r="I34" s="180">
        <v>5.0000000000000001E-3</v>
      </c>
      <c r="J34" s="181"/>
      <c r="K34" s="180">
        <v>4.0000000000000001E-3</v>
      </c>
      <c r="L34" s="181"/>
      <c r="M34" s="180">
        <v>4.0000000000000001E-3</v>
      </c>
      <c r="N34" s="181"/>
      <c r="O34" s="180">
        <v>3.0000000000000001E-3</v>
      </c>
      <c r="P34" s="181"/>
      <c r="Q34" s="180">
        <v>8.0000000000000002E-3</v>
      </c>
      <c r="R34" s="181"/>
      <c r="S34" s="180">
        <v>7.0000000000000001E-3</v>
      </c>
      <c r="T34" s="181"/>
      <c r="U34" s="182">
        <v>1.4999999999999999E-2</v>
      </c>
      <c r="V34" s="183"/>
      <c r="W34" s="469"/>
      <c r="X34" s="594">
        <f>AVERAGE(Q34,O34,M34,U34,S34)</f>
        <v>7.3999999999999995E-3</v>
      </c>
      <c r="Y34" s="56"/>
      <c r="Z34" s="56"/>
      <c r="AA34" s="57"/>
    </row>
    <row r="35" spans="1:27" ht="15" customHeight="1" x14ac:dyDescent="0.2">
      <c r="A35" s="874" t="s">
        <v>268</v>
      </c>
      <c r="B35" s="184"/>
      <c r="C35" s="185">
        <v>3.2000000000000001E-2</v>
      </c>
      <c r="D35" s="184"/>
      <c r="E35" s="185">
        <v>5.5E-2</v>
      </c>
      <c r="F35" s="186"/>
      <c r="G35" s="185">
        <v>6.3E-2</v>
      </c>
      <c r="H35" s="186"/>
      <c r="I35" s="185">
        <v>6.3E-2</v>
      </c>
      <c r="J35" s="186"/>
      <c r="K35" s="185">
        <v>5.5E-2</v>
      </c>
      <c r="L35" s="186"/>
      <c r="M35" s="185">
        <v>5.8000000000000003E-2</v>
      </c>
      <c r="N35" s="186"/>
      <c r="O35" s="185">
        <v>5.1999999999999998E-2</v>
      </c>
      <c r="P35" s="186"/>
      <c r="Q35" s="185">
        <v>4.3999999999999997E-2</v>
      </c>
      <c r="R35" s="186"/>
      <c r="S35" s="185">
        <v>5.8999999999999997E-2</v>
      </c>
      <c r="T35" s="186"/>
      <c r="U35" s="187">
        <v>6.7000000000000004E-2</v>
      </c>
      <c r="V35" s="183"/>
      <c r="W35" s="469"/>
      <c r="X35" s="594">
        <f>AVERAGE(Q35,O35,M35,U35,S35)</f>
        <v>5.6000000000000008E-2</v>
      </c>
      <c r="Y35" s="56"/>
      <c r="Z35" s="56"/>
      <c r="AA35" s="57"/>
    </row>
    <row r="36" spans="1:27" ht="15" customHeight="1" thickBot="1" x14ac:dyDescent="0.25">
      <c r="A36" s="846" t="s">
        <v>271</v>
      </c>
      <c r="B36" s="1403">
        <f>1-C34-C35</f>
        <v>0.96499999999999997</v>
      </c>
      <c r="C36" s="1404"/>
      <c r="D36" s="1403">
        <f>1-E34-E35</f>
        <v>0.94199999999999995</v>
      </c>
      <c r="E36" s="1404"/>
      <c r="F36" s="1403">
        <f>1-G34-G35</f>
        <v>0.93199999999999994</v>
      </c>
      <c r="G36" s="1404"/>
      <c r="H36" s="1403">
        <f>1-I34-I35</f>
        <v>0.93199999999999994</v>
      </c>
      <c r="I36" s="1404"/>
      <c r="J36" s="1403">
        <f>1-K34-K35</f>
        <v>0.94099999999999995</v>
      </c>
      <c r="K36" s="1404"/>
      <c r="L36" s="1403">
        <f>1-M34-M35</f>
        <v>0.93799999999999994</v>
      </c>
      <c r="M36" s="1404"/>
      <c r="N36" s="1403">
        <f>1-O34-O35</f>
        <v>0.94499999999999995</v>
      </c>
      <c r="O36" s="1404"/>
      <c r="P36" s="1403">
        <f>1-Q34-Q35</f>
        <v>0.94799999999999995</v>
      </c>
      <c r="Q36" s="1404"/>
      <c r="R36" s="1403">
        <f>1-S34-S35</f>
        <v>0.93399999999999994</v>
      </c>
      <c r="S36" s="1404"/>
      <c r="T36" s="1403">
        <f>1-U34-U35</f>
        <v>0.91799999999999993</v>
      </c>
      <c r="U36" s="1406"/>
      <c r="V36" s="183"/>
      <c r="W36" s="1390">
        <f>1-X34-X35</f>
        <v>0.93659999999999999</v>
      </c>
      <c r="X36" s="1391"/>
      <c r="Y36" s="58"/>
      <c r="Z36" s="56"/>
      <c r="AA36" s="57"/>
    </row>
    <row r="37" spans="1:27" s="3" customFormat="1" ht="18" customHeight="1" thickTop="1" thickBot="1" x14ac:dyDescent="0.25">
      <c r="A37" s="194" t="s">
        <v>67</v>
      </c>
      <c r="B37" s="227" t="s">
        <v>39</v>
      </c>
      <c r="C37" s="788" t="s">
        <v>74</v>
      </c>
      <c r="D37" s="789" t="s">
        <v>39</v>
      </c>
      <c r="E37" s="228" t="s">
        <v>74</v>
      </c>
      <c r="F37" s="227" t="s">
        <v>39</v>
      </c>
      <c r="G37" s="788" t="s">
        <v>74</v>
      </c>
      <c r="H37" s="789" t="s">
        <v>39</v>
      </c>
      <c r="I37" s="228" t="s">
        <v>74</v>
      </c>
      <c r="J37" s="227" t="s">
        <v>39</v>
      </c>
      <c r="K37" s="788" t="s">
        <v>74</v>
      </c>
      <c r="L37" s="789" t="s">
        <v>39</v>
      </c>
      <c r="M37" s="228" t="s">
        <v>74</v>
      </c>
      <c r="N37" s="227" t="s">
        <v>39</v>
      </c>
      <c r="O37" s="788" t="s">
        <v>74</v>
      </c>
      <c r="P37" s="789" t="s">
        <v>39</v>
      </c>
      <c r="Q37" s="228" t="s">
        <v>74</v>
      </c>
      <c r="R37" s="227" t="s">
        <v>39</v>
      </c>
      <c r="S37" s="788" t="s">
        <v>74</v>
      </c>
      <c r="T37" s="227" t="s">
        <v>39</v>
      </c>
      <c r="U37" s="790" t="s">
        <v>74</v>
      </c>
      <c r="V37" s="230"/>
      <c r="W37" s="791" t="s">
        <v>39</v>
      </c>
      <c r="X37" s="790" t="s">
        <v>74</v>
      </c>
    </row>
    <row r="38" spans="1:27" ht="15" customHeight="1" x14ac:dyDescent="0.2">
      <c r="A38" s="899" t="s">
        <v>68</v>
      </c>
      <c r="B38" s="834"/>
      <c r="C38" s="835"/>
      <c r="D38" s="834"/>
      <c r="E38" s="835"/>
      <c r="F38" s="834"/>
      <c r="G38" s="835"/>
      <c r="H38" s="234">
        <v>19</v>
      </c>
      <c r="I38" s="235">
        <f>H38/H16</f>
        <v>0.65517241379310343</v>
      </c>
      <c r="J38" s="234">
        <v>17</v>
      </c>
      <c r="K38" s="235">
        <f>J38/J16</f>
        <v>0.5</v>
      </c>
      <c r="L38" s="234">
        <v>16</v>
      </c>
      <c r="M38" s="235">
        <f>L38/L16</f>
        <v>0.5161290322580645</v>
      </c>
      <c r="N38" s="234">
        <v>17</v>
      </c>
      <c r="O38" s="235">
        <f>N38/N16</f>
        <v>0.73913043478260865</v>
      </c>
      <c r="P38" s="234">
        <v>7</v>
      </c>
      <c r="Q38" s="235">
        <f>P38/P16</f>
        <v>0.63636363636363635</v>
      </c>
      <c r="R38" s="234">
        <v>8</v>
      </c>
      <c r="S38" s="235">
        <f>R38/R16</f>
        <v>0.5</v>
      </c>
      <c r="T38" s="234"/>
      <c r="U38" s="236">
        <f>T38/T16</f>
        <v>0</v>
      </c>
      <c r="V38" s="226"/>
      <c r="W38" s="237">
        <f>AVERAGE(N38,L38,R38,T38,P38)</f>
        <v>12</v>
      </c>
      <c r="X38" s="774">
        <f>AVERAGE(O38,M38,S38,K38,Q38)</f>
        <v>0.57832462068086188</v>
      </c>
    </row>
    <row r="39" spans="1:27" ht="15" customHeight="1" thickBot="1" x14ac:dyDescent="0.25">
      <c r="A39" s="751" t="s">
        <v>69</v>
      </c>
      <c r="B39" s="836"/>
      <c r="C39" s="837"/>
      <c r="D39" s="836"/>
      <c r="E39" s="837"/>
      <c r="F39" s="836"/>
      <c r="G39" s="837"/>
      <c r="H39" s="239">
        <v>22</v>
      </c>
      <c r="I39" s="240">
        <f>H39/H17</f>
        <v>0.7857142857142857</v>
      </c>
      <c r="J39" s="239">
        <v>21</v>
      </c>
      <c r="K39" s="240">
        <f>J39/J17</f>
        <v>0.875</v>
      </c>
      <c r="L39" s="239">
        <v>22</v>
      </c>
      <c r="M39" s="240">
        <f>L39/L17</f>
        <v>0.91666666666666663</v>
      </c>
      <c r="N39" s="239">
        <v>23</v>
      </c>
      <c r="O39" s="240">
        <f>N39/N17</f>
        <v>0.88461538461538458</v>
      </c>
      <c r="P39" s="239">
        <v>28</v>
      </c>
      <c r="Q39" s="240">
        <f>P39/P17</f>
        <v>0.84848484848484851</v>
      </c>
      <c r="R39" s="239">
        <v>30</v>
      </c>
      <c r="S39" s="240">
        <f>R39/R17</f>
        <v>0.81081081081081086</v>
      </c>
      <c r="T39" s="239"/>
      <c r="U39" s="241">
        <f>T39/T17</f>
        <v>0</v>
      </c>
      <c r="V39" s="226"/>
      <c r="W39" s="242">
        <f>AVERAGE(R39,P39,N39,L39,T39,)</f>
        <v>20.6</v>
      </c>
      <c r="X39" s="775">
        <f>AVERAGE(S39,Q39,O39,M39,K39,)</f>
        <v>0.72259628509628515</v>
      </c>
    </row>
    <row r="40" spans="1:27" ht="15" customHeight="1" thickTop="1" x14ac:dyDescent="0.2">
      <c r="A40" s="37" t="s">
        <v>272</v>
      </c>
      <c r="B40" s="38"/>
      <c r="C40" s="39"/>
      <c r="D40" s="38"/>
      <c r="E40" s="39"/>
      <c r="F40" s="38"/>
      <c r="G40" s="39"/>
      <c r="H40" s="38"/>
      <c r="I40" s="39"/>
      <c r="J40" s="38"/>
      <c r="K40" s="39"/>
      <c r="L40" s="38"/>
      <c r="M40" s="39"/>
      <c r="N40" s="38"/>
      <c r="O40" s="39"/>
      <c r="P40" s="38"/>
      <c r="Q40" s="39"/>
      <c r="R40" s="38"/>
      <c r="S40" s="39"/>
      <c r="T40" s="38"/>
      <c r="U40" s="39"/>
      <c r="W40" s="40"/>
      <c r="X40" s="41"/>
    </row>
    <row r="41" spans="1:27" ht="15" customHeight="1" x14ac:dyDescent="0.2">
      <c r="A41" s="37"/>
      <c r="B41" s="38"/>
      <c r="C41" s="39"/>
      <c r="D41" s="38"/>
      <c r="E41" s="39"/>
      <c r="F41" s="38"/>
      <c r="G41" s="39"/>
      <c r="H41" s="38"/>
      <c r="I41" s="39"/>
      <c r="J41" s="38"/>
      <c r="K41" s="39"/>
      <c r="L41" s="38"/>
      <c r="M41" s="39"/>
      <c r="N41" s="38"/>
      <c r="O41" s="39"/>
      <c r="P41" s="38"/>
      <c r="Q41" s="39"/>
      <c r="R41" s="38"/>
      <c r="S41" s="39"/>
      <c r="T41" s="38"/>
      <c r="U41" s="39"/>
      <c r="W41" s="40"/>
      <c r="X41" s="41"/>
    </row>
    <row r="42" spans="1:27" s="85" customFormat="1" ht="15" customHeight="1" thickBot="1" x14ac:dyDescent="0.25">
      <c r="A42" s="649"/>
      <c r="B42" s="650"/>
      <c r="C42" s="650"/>
      <c r="D42" s="650"/>
      <c r="E42" s="650"/>
      <c r="F42" s="650"/>
      <c r="G42" s="650"/>
      <c r="H42" s="650"/>
      <c r="I42" s="650"/>
      <c r="J42" s="650"/>
      <c r="K42" s="650"/>
      <c r="L42" s="650"/>
      <c r="M42" s="650"/>
      <c r="N42" s="650"/>
      <c r="O42" s="650"/>
      <c r="P42" s="650"/>
      <c r="Q42" s="650"/>
      <c r="R42" s="650"/>
      <c r="S42" s="650"/>
      <c r="T42" s="650"/>
      <c r="U42" s="650"/>
      <c r="V42" s="651"/>
      <c r="W42" s="650"/>
      <c r="X42" s="650"/>
      <c r="Y42" s="56"/>
      <c r="Z42" s="56"/>
      <c r="AA42" s="57"/>
    </row>
    <row r="43" spans="1:27" s="1" customFormat="1" ht="18.75" customHeight="1" thickTop="1" thickBot="1" x14ac:dyDescent="0.25">
      <c r="A43" s="175" t="s">
        <v>247</v>
      </c>
      <c r="B43" s="1385" t="s">
        <v>30</v>
      </c>
      <c r="C43" s="1395"/>
      <c r="D43" s="1385" t="s">
        <v>31</v>
      </c>
      <c r="E43" s="1396"/>
      <c r="F43" s="1385" t="s">
        <v>32</v>
      </c>
      <c r="G43" s="1396"/>
      <c r="H43" s="1385" t="s">
        <v>33</v>
      </c>
      <c r="I43" s="1396"/>
      <c r="J43" s="1385" t="s">
        <v>34</v>
      </c>
      <c r="K43" s="1396"/>
      <c r="L43" s="1385" t="s">
        <v>35</v>
      </c>
      <c r="M43" s="1396"/>
      <c r="N43" s="1385" t="s">
        <v>36</v>
      </c>
      <c r="O43" s="1396"/>
      <c r="P43" s="1385" t="s">
        <v>37</v>
      </c>
      <c r="Q43" s="1396"/>
      <c r="R43" s="1385" t="s">
        <v>38</v>
      </c>
      <c r="S43" s="1396"/>
      <c r="T43" s="1385" t="s">
        <v>302</v>
      </c>
      <c r="U43" s="1386"/>
      <c r="V43" s="195"/>
      <c r="W43" s="1382" t="s">
        <v>9</v>
      </c>
      <c r="X43" s="1383"/>
    </row>
    <row r="44" spans="1:27" s="1" customFormat="1" ht="25.5" customHeight="1" x14ac:dyDescent="0.2">
      <c r="A44" s="715" t="s">
        <v>254</v>
      </c>
      <c r="B44" s="711"/>
      <c r="C44" s="529"/>
      <c r="D44" s="711"/>
      <c r="E44" s="712"/>
      <c r="F44" s="711"/>
      <c r="G44" s="712"/>
      <c r="H44" s="711"/>
      <c r="I44" s="712"/>
      <c r="J44" s="711"/>
      <c r="K44" s="712"/>
      <c r="L44" s="711"/>
      <c r="M44" s="712"/>
      <c r="N44" s="711"/>
      <c r="O44" s="712"/>
      <c r="P44" s="711"/>
      <c r="Q44" s="712"/>
      <c r="R44" s="711"/>
      <c r="S44" s="712"/>
      <c r="T44" s="713"/>
      <c r="U44" s="714"/>
      <c r="V44" s="195"/>
      <c r="W44" s="272"/>
      <c r="X44" s="271"/>
    </row>
    <row r="45" spans="1:27" s="1" customFormat="1" ht="25.5" customHeight="1" x14ac:dyDescent="0.2">
      <c r="A45" s="721" t="s">
        <v>237</v>
      </c>
      <c r="B45" s="186"/>
      <c r="C45" s="653">
        <v>9</v>
      </c>
      <c r="D45" s="186"/>
      <c r="E45" s="653">
        <v>9</v>
      </c>
      <c r="F45" s="186"/>
      <c r="G45" s="653">
        <v>9</v>
      </c>
      <c r="H45" s="186"/>
      <c r="I45" s="653">
        <v>9</v>
      </c>
      <c r="J45" s="186"/>
      <c r="K45" s="653">
        <v>9</v>
      </c>
      <c r="L45" s="186"/>
      <c r="M45" s="653">
        <v>9</v>
      </c>
      <c r="N45" s="186"/>
      <c r="O45" s="653">
        <v>11</v>
      </c>
      <c r="P45" s="186"/>
      <c r="Q45" s="653">
        <v>8</v>
      </c>
      <c r="R45" s="186"/>
      <c r="S45" s="653">
        <v>11</v>
      </c>
      <c r="T45" s="654"/>
      <c r="U45" s="659"/>
      <c r="V45" s="195"/>
      <c r="W45" s="347"/>
      <c r="X45" s="659">
        <f>AVERAGE(O45,M45,S45,U45,Q45)</f>
        <v>9.75</v>
      </c>
    </row>
    <row r="46" spans="1:27" s="1" customFormat="1" ht="25.5" customHeight="1" x14ac:dyDescent="0.2">
      <c r="A46" s="721" t="s">
        <v>252</v>
      </c>
      <c r="B46" s="654"/>
      <c r="C46" s="716">
        <v>9</v>
      </c>
      <c r="D46" s="654"/>
      <c r="E46" s="716">
        <v>9</v>
      </c>
      <c r="F46" s="654"/>
      <c r="G46" s="716">
        <v>9</v>
      </c>
      <c r="H46" s="654"/>
      <c r="I46" s="716">
        <v>9</v>
      </c>
      <c r="J46" s="654"/>
      <c r="K46" s="716">
        <v>9</v>
      </c>
      <c r="L46" s="654"/>
      <c r="M46" s="716">
        <v>9</v>
      </c>
      <c r="N46" s="654"/>
      <c r="O46" s="716">
        <v>11</v>
      </c>
      <c r="P46" s="654"/>
      <c r="Q46" s="716">
        <v>8</v>
      </c>
      <c r="R46" s="654"/>
      <c r="S46" s="716">
        <v>11</v>
      </c>
      <c r="T46" s="654"/>
      <c r="U46" s="659"/>
      <c r="V46" s="195"/>
      <c r="W46" s="1252"/>
      <c r="X46" s="394">
        <f t="shared" ref="X46:X47" si="5">AVERAGE(O46,M46,S46,U46,Q46)</f>
        <v>9.75</v>
      </c>
    </row>
    <row r="47" spans="1:27" s="1" customFormat="1" ht="15" customHeight="1" thickBot="1" x14ac:dyDescent="0.25">
      <c r="A47" s="831" t="s">
        <v>238</v>
      </c>
      <c r="B47" s="717"/>
      <c r="C47" s="718">
        <v>8.3000000000000007</v>
      </c>
      <c r="D47" s="717"/>
      <c r="E47" s="718">
        <f>8.2+0.8</f>
        <v>9</v>
      </c>
      <c r="F47" s="717"/>
      <c r="G47" s="718">
        <v>8.9</v>
      </c>
      <c r="H47" s="717"/>
      <c r="I47" s="718">
        <v>8.9</v>
      </c>
      <c r="J47" s="717"/>
      <c r="K47" s="718">
        <f>8.9+0.35</f>
        <v>9.25</v>
      </c>
      <c r="L47" s="717"/>
      <c r="M47" s="718">
        <v>10.15</v>
      </c>
      <c r="N47" s="717"/>
      <c r="O47" s="718">
        <v>10.67</v>
      </c>
      <c r="P47" s="717"/>
      <c r="Q47" s="718">
        <v>9.1</v>
      </c>
      <c r="R47" s="717"/>
      <c r="S47" s="718">
        <f>10.61+0.89</f>
        <v>11.5</v>
      </c>
      <c r="T47" s="719"/>
      <c r="U47" s="655"/>
      <c r="V47" s="195"/>
      <c r="W47" s="950"/>
      <c r="X47" s="1253">
        <f t="shared" si="5"/>
        <v>10.355</v>
      </c>
    </row>
    <row r="48" spans="1:27" s="1" customFormat="1" ht="18.75" customHeight="1" thickBot="1" x14ac:dyDescent="0.25">
      <c r="A48" s="795" t="s">
        <v>264</v>
      </c>
      <c r="B48" s="797" t="s">
        <v>40</v>
      </c>
      <c r="C48" s="798" t="s">
        <v>41</v>
      </c>
      <c r="D48" s="799" t="s">
        <v>40</v>
      </c>
      <c r="E48" s="800" t="s">
        <v>41</v>
      </c>
      <c r="F48" s="797" t="s">
        <v>40</v>
      </c>
      <c r="G48" s="798" t="s">
        <v>41</v>
      </c>
      <c r="H48" s="799" t="s">
        <v>40</v>
      </c>
      <c r="I48" s="800" t="s">
        <v>41</v>
      </c>
      <c r="J48" s="797" t="s">
        <v>40</v>
      </c>
      <c r="K48" s="798" t="s">
        <v>41</v>
      </c>
      <c r="L48" s="799" t="s">
        <v>40</v>
      </c>
      <c r="M48" s="800" t="s">
        <v>41</v>
      </c>
      <c r="N48" s="797" t="s">
        <v>40</v>
      </c>
      <c r="O48" s="798" t="s">
        <v>41</v>
      </c>
      <c r="P48" s="799" t="s">
        <v>40</v>
      </c>
      <c r="Q48" s="800" t="s">
        <v>41</v>
      </c>
      <c r="R48" s="797" t="s">
        <v>40</v>
      </c>
      <c r="S48" s="798" t="s">
        <v>41</v>
      </c>
      <c r="T48" s="801" t="s">
        <v>40</v>
      </c>
      <c r="U48" s="802" t="s">
        <v>41</v>
      </c>
      <c r="V48" s="204"/>
      <c r="W48" s="1254" t="s">
        <v>40</v>
      </c>
      <c r="X48" s="804" t="s">
        <v>41</v>
      </c>
    </row>
    <row r="49" spans="1:24" s="1" customFormat="1" ht="15" customHeight="1" x14ac:dyDescent="0.2">
      <c r="A49" s="680" t="s">
        <v>42</v>
      </c>
      <c r="B49" s="681"/>
      <c r="C49" s="805"/>
      <c r="D49" s="806"/>
      <c r="E49" s="682"/>
      <c r="F49" s="681"/>
      <c r="G49" s="807"/>
      <c r="H49" s="808"/>
      <c r="I49" s="682"/>
      <c r="J49" s="681"/>
      <c r="K49" s="807"/>
      <c r="L49" s="808"/>
      <c r="M49" s="682"/>
      <c r="N49" s="681"/>
      <c r="O49" s="807"/>
      <c r="P49" s="808"/>
      <c r="Q49" s="682"/>
      <c r="R49" s="681"/>
      <c r="S49" s="807"/>
      <c r="T49" s="806"/>
      <c r="U49" s="683"/>
      <c r="V49" s="204"/>
      <c r="W49" s="1029"/>
      <c r="X49" s="1030"/>
    </row>
    <row r="50" spans="1:24" s="1" customFormat="1" ht="15" customHeight="1" x14ac:dyDescent="0.2">
      <c r="A50" s="678" t="s">
        <v>43</v>
      </c>
      <c r="B50" s="809"/>
      <c r="C50" s="810">
        <v>10</v>
      </c>
      <c r="D50" s="809"/>
      <c r="E50" s="321">
        <v>10</v>
      </c>
      <c r="F50" s="809"/>
      <c r="G50" s="811">
        <v>9</v>
      </c>
      <c r="H50" s="809"/>
      <c r="I50" s="321">
        <v>9</v>
      </c>
      <c r="J50" s="812">
        <v>9</v>
      </c>
      <c r="K50" s="811">
        <v>9</v>
      </c>
      <c r="L50" s="813">
        <v>9</v>
      </c>
      <c r="M50" s="321">
        <v>9</v>
      </c>
      <c r="N50" s="812">
        <v>11</v>
      </c>
      <c r="O50" s="811">
        <v>11</v>
      </c>
      <c r="P50" s="813">
        <v>11</v>
      </c>
      <c r="Q50" s="321">
        <v>11</v>
      </c>
      <c r="R50" s="812">
        <v>14</v>
      </c>
      <c r="S50" s="811">
        <v>14</v>
      </c>
      <c r="T50" s="814"/>
      <c r="U50" s="322"/>
      <c r="V50" s="204"/>
      <c r="W50" s="936">
        <f>AVERAGE(T50,L50,N50,P50,R50)</f>
        <v>11.25</v>
      </c>
      <c r="X50" s="1031">
        <f t="shared" ref="X50:X55" si="6">AVERAGE(O50,M50,S50,U50,Q50)</f>
        <v>11.25</v>
      </c>
    </row>
    <row r="51" spans="1:24" s="1" customFormat="1" ht="15" customHeight="1" x14ac:dyDescent="0.2">
      <c r="A51" s="678" t="s">
        <v>44</v>
      </c>
      <c r="B51" s="809"/>
      <c r="C51" s="810">
        <v>1</v>
      </c>
      <c r="D51" s="809"/>
      <c r="E51" s="321">
        <v>2</v>
      </c>
      <c r="F51" s="809"/>
      <c r="G51" s="811">
        <v>0</v>
      </c>
      <c r="H51" s="809"/>
      <c r="I51" s="321">
        <v>1</v>
      </c>
      <c r="J51" s="812">
        <v>1.1000000000000001</v>
      </c>
      <c r="K51" s="811">
        <v>2</v>
      </c>
      <c r="L51" s="813">
        <v>2.2000000000000002</v>
      </c>
      <c r="M51" s="321">
        <v>4</v>
      </c>
      <c r="N51" s="812">
        <v>1.8</v>
      </c>
      <c r="O51" s="811">
        <v>3</v>
      </c>
      <c r="P51" s="813">
        <v>0.7</v>
      </c>
      <c r="Q51" s="321">
        <v>1</v>
      </c>
      <c r="R51" s="812">
        <v>0.9</v>
      </c>
      <c r="S51" s="811">
        <v>1</v>
      </c>
      <c r="T51" s="814"/>
      <c r="U51" s="322"/>
      <c r="V51" s="204"/>
      <c r="W51" s="936">
        <f t="shared" ref="W51:W55" si="7">AVERAGE(T51,L51,N51,P51,R51)</f>
        <v>1.4000000000000001</v>
      </c>
      <c r="X51" s="1031">
        <f t="shared" si="6"/>
        <v>2.25</v>
      </c>
    </row>
    <row r="52" spans="1:24" s="1" customFormat="1" ht="15" customHeight="1" x14ac:dyDescent="0.2">
      <c r="A52" s="676" t="s">
        <v>45</v>
      </c>
      <c r="B52" s="663"/>
      <c r="C52" s="815"/>
      <c r="D52" s="663"/>
      <c r="E52" s="325"/>
      <c r="F52" s="663"/>
      <c r="G52" s="816"/>
      <c r="H52" s="663"/>
      <c r="I52" s="325"/>
      <c r="J52" s="812"/>
      <c r="K52" s="816"/>
      <c r="L52" s="813"/>
      <c r="M52" s="325"/>
      <c r="N52" s="812"/>
      <c r="O52" s="816"/>
      <c r="P52" s="813"/>
      <c r="Q52" s="325"/>
      <c r="R52" s="812"/>
      <c r="S52" s="816"/>
      <c r="T52" s="814"/>
      <c r="U52" s="340"/>
      <c r="V52" s="204"/>
      <c r="W52" s="936"/>
      <c r="X52" s="1031"/>
    </row>
    <row r="53" spans="1:24" s="1" customFormat="1" ht="15" customHeight="1" x14ac:dyDescent="0.2">
      <c r="A53" s="678" t="s">
        <v>43</v>
      </c>
      <c r="B53" s="809"/>
      <c r="C53" s="815">
        <v>1</v>
      </c>
      <c r="D53" s="809"/>
      <c r="E53" s="325">
        <v>1</v>
      </c>
      <c r="F53" s="809"/>
      <c r="G53" s="816">
        <v>3</v>
      </c>
      <c r="H53" s="809"/>
      <c r="I53" s="325">
        <v>2</v>
      </c>
      <c r="J53" s="812">
        <v>2</v>
      </c>
      <c r="K53" s="816">
        <v>2</v>
      </c>
      <c r="L53" s="813">
        <v>4</v>
      </c>
      <c r="M53" s="325">
        <v>4</v>
      </c>
      <c r="N53" s="812">
        <v>3</v>
      </c>
      <c r="O53" s="816">
        <v>3</v>
      </c>
      <c r="P53" s="813">
        <v>3</v>
      </c>
      <c r="Q53" s="325">
        <v>3</v>
      </c>
      <c r="R53" s="812">
        <v>2</v>
      </c>
      <c r="S53" s="816">
        <v>2</v>
      </c>
      <c r="T53" s="814"/>
      <c r="U53" s="340"/>
      <c r="V53" s="204"/>
      <c r="W53" s="936">
        <f t="shared" si="7"/>
        <v>3</v>
      </c>
      <c r="X53" s="1031">
        <f t="shared" si="6"/>
        <v>3</v>
      </c>
    </row>
    <row r="54" spans="1:24" s="1" customFormat="1" ht="15" customHeight="1" thickBot="1" x14ac:dyDescent="0.25">
      <c r="A54" s="679" t="s">
        <v>44</v>
      </c>
      <c r="B54" s="817"/>
      <c r="C54" s="818">
        <v>0</v>
      </c>
      <c r="D54" s="817"/>
      <c r="E54" s="476">
        <v>1</v>
      </c>
      <c r="F54" s="817"/>
      <c r="G54" s="819">
        <v>1</v>
      </c>
      <c r="H54" s="817"/>
      <c r="I54" s="476">
        <v>2</v>
      </c>
      <c r="J54" s="820">
        <v>1.35</v>
      </c>
      <c r="K54" s="819">
        <v>2</v>
      </c>
      <c r="L54" s="821">
        <v>0.8</v>
      </c>
      <c r="M54" s="476">
        <v>2</v>
      </c>
      <c r="N54" s="820">
        <v>0</v>
      </c>
      <c r="O54" s="819">
        <v>0</v>
      </c>
      <c r="P54" s="821">
        <v>0</v>
      </c>
      <c r="Q54" s="476">
        <v>0</v>
      </c>
      <c r="R54" s="820">
        <v>0</v>
      </c>
      <c r="S54" s="819">
        <v>0</v>
      </c>
      <c r="T54" s="822"/>
      <c r="U54" s="326"/>
      <c r="V54" s="204"/>
      <c r="W54" s="1020">
        <f t="shared" si="7"/>
        <v>0.2</v>
      </c>
      <c r="X54" s="1032">
        <f t="shared" si="6"/>
        <v>0.5</v>
      </c>
    </row>
    <row r="55" spans="1:24" s="1" customFormat="1" ht="15" customHeight="1" thickBot="1" x14ac:dyDescent="0.25">
      <c r="A55" s="796" t="s">
        <v>28</v>
      </c>
      <c r="B55" s="823"/>
      <c r="C55" s="824">
        <f>SUM(C50:C54)</f>
        <v>12</v>
      </c>
      <c r="D55" s="823"/>
      <c r="E55" s="825">
        <f>SUM(E50:E54)</f>
        <v>14</v>
      </c>
      <c r="F55" s="823"/>
      <c r="G55" s="826">
        <f>SUM(G50:G54)</f>
        <v>13</v>
      </c>
      <c r="H55" s="823"/>
      <c r="I55" s="825">
        <f t="shared" ref="I55:S55" si="8">SUM(I50:I54)</f>
        <v>14</v>
      </c>
      <c r="J55" s="827">
        <f t="shared" si="8"/>
        <v>13.45</v>
      </c>
      <c r="K55" s="826">
        <f t="shared" si="8"/>
        <v>15</v>
      </c>
      <c r="L55" s="827">
        <f t="shared" si="8"/>
        <v>16</v>
      </c>
      <c r="M55" s="825">
        <f t="shared" si="8"/>
        <v>19</v>
      </c>
      <c r="N55" s="827">
        <f t="shared" si="8"/>
        <v>15.8</v>
      </c>
      <c r="O55" s="826">
        <f t="shared" si="8"/>
        <v>17</v>
      </c>
      <c r="P55" s="827">
        <f t="shared" si="8"/>
        <v>14.7</v>
      </c>
      <c r="Q55" s="825">
        <f t="shared" si="8"/>
        <v>15</v>
      </c>
      <c r="R55" s="827">
        <f t="shared" si="8"/>
        <v>16.899999999999999</v>
      </c>
      <c r="S55" s="826">
        <f t="shared" si="8"/>
        <v>17</v>
      </c>
      <c r="T55" s="827">
        <f t="shared" ref="T55:U55" si="9">SUM(T50:T54)</f>
        <v>0</v>
      </c>
      <c r="U55" s="828">
        <f t="shared" si="9"/>
        <v>0</v>
      </c>
      <c r="V55" s="204"/>
      <c r="W55" s="1028">
        <f t="shared" si="7"/>
        <v>12.68</v>
      </c>
      <c r="X55" s="1033">
        <f t="shared" si="6"/>
        <v>13.6</v>
      </c>
    </row>
    <row r="56" spans="1:24" s="1" customFormat="1" ht="18.75" customHeight="1" thickBot="1" x14ac:dyDescent="0.25">
      <c r="A56" s="795" t="s">
        <v>253</v>
      </c>
      <c r="B56" s="344" t="s">
        <v>39</v>
      </c>
      <c r="C56" s="707" t="s">
        <v>46</v>
      </c>
      <c r="D56" s="344" t="s">
        <v>39</v>
      </c>
      <c r="E56" s="708" t="s">
        <v>46</v>
      </c>
      <c r="F56" s="829" t="s">
        <v>39</v>
      </c>
      <c r="G56" s="708" t="s">
        <v>46</v>
      </c>
      <c r="H56" s="709" t="s">
        <v>39</v>
      </c>
      <c r="I56" s="830" t="s">
        <v>46</v>
      </c>
      <c r="J56" s="829" t="s">
        <v>39</v>
      </c>
      <c r="K56" s="708" t="s">
        <v>46</v>
      </c>
      <c r="L56" s="709" t="s">
        <v>39</v>
      </c>
      <c r="M56" s="830" t="s">
        <v>46</v>
      </c>
      <c r="N56" s="829" t="s">
        <v>39</v>
      </c>
      <c r="O56" s="708" t="s">
        <v>46</v>
      </c>
      <c r="P56" s="709" t="s">
        <v>39</v>
      </c>
      <c r="Q56" s="830" t="s">
        <v>46</v>
      </c>
      <c r="R56" s="829" t="s">
        <v>39</v>
      </c>
      <c r="S56" s="708" t="s">
        <v>46</v>
      </c>
      <c r="T56" s="709" t="s">
        <v>39</v>
      </c>
      <c r="U56" s="710" t="s">
        <v>46</v>
      </c>
      <c r="V56" s="195"/>
      <c r="W56" s="832" t="s">
        <v>39</v>
      </c>
      <c r="X56" s="804" t="s">
        <v>46</v>
      </c>
    </row>
    <row r="57" spans="1:24" s="1" customFormat="1" ht="18" customHeight="1" x14ac:dyDescent="0.2">
      <c r="A57" s="848" t="s">
        <v>265</v>
      </c>
      <c r="B57" s="459"/>
      <c r="C57" s="792"/>
      <c r="D57" s="459"/>
      <c r="E57" s="793"/>
      <c r="F57" s="280"/>
      <c r="G57" s="793"/>
      <c r="H57" s="280"/>
      <c r="I57" s="793"/>
      <c r="J57" s="280"/>
      <c r="K57" s="793"/>
      <c r="L57" s="280"/>
      <c r="M57" s="793"/>
      <c r="N57" s="280"/>
      <c r="O57" s="793"/>
      <c r="P57" s="280"/>
      <c r="Q57" s="793"/>
      <c r="R57" s="280"/>
      <c r="S57" s="793"/>
      <c r="T57" s="280"/>
      <c r="U57" s="794"/>
      <c r="V57" s="195"/>
      <c r="W57" s="1026"/>
      <c r="X57" s="199"/>
    </row>
    <row r="58" spans="1:24" s="1" customFormat="1" ht="15" customHeight="1" x14ac:dyDescent="0.2">
      <c r="A58" s="706" t="s">
        <v>47</v>
      </c>
      <c r="B58" s="201">
        <f>6+1+2</f>
        <v>9</v>
      </c>
      <c r="C58" s="191">
        <f t="shared" ref="C58:C63" si="10">B58/C$55</f>
        <v>0.75</v>
      </c>
      <c r="D58" s="201">
        <f>7+3</f>
        <v>10</v>
      </c>
      <c r="E58" s="192">
        <f t="shared" ref="E58:E63" si="11">D58/E$55</f>
        <v>0.7142857142857143</v>
      </c>
      <c r="F58" s="202">
        <v>8</v>
      </c>
      <c r="G58" s="192">
        <f t="shared" ref="G58:G63" si="12">F58/G$55</f>
        <v>0.61538461538461542</v>
      </c>
      <c r="H58" s="202">
        <v>9</v>
      </c>
      <c r="I58" s="192">
        <f t="shared" ref="I58:I65" si="13">H58/I$55</f>
        <v>0.6428571428571429</v>
      </c>
      <c r="J58" s="202">
        <f>5+4</f>
        <v>9</v>
      </c>
      <c r="K58" s="192">
        <f t="shared" ref="K58:K65" si="14">J58/K$55</f>
        <v>0.6</v>
      </c>
      <c r="L58" s="202">
        <v>12</v>
      </c>
      <c r="M58" s="192">
        <f t="shared" ref="M58:M63" si="15">L58/M$55</f>
        <v>0.63157894736842102</v>
      </c>
      <c r="N58" s="202">
        <f>1+9</f>
        <v>10</v>
      </c>
      <c r="O58" s="192">
        <f t="shared" ref="O58:Q63" si="16">N58/O$55</f>
        <v>0.58823529411764708</v>
      </c>
      <c r="P58" s="202">
        <v>8</v>
      </c>
      <c r="Q58" s="192">
        <f t="shared" si="16"/>
        <v>0.53333333333333333</v>
      </c>
      <c r="R58" s="202">
        <v>8</v>
      </c>
      <c r="S58" s="192">
        <f t="shared" ref="S58:S63" si="17">R58/S$55</f>
        <v>0.47058823529411764</v>
      </c>
      <c r="T58" s="202"/>
      <c r="U58" s="203" t="e">
        <f t="shared" ref="U58:U63" si="18">T58/U$55</f>
        <v>#DIV/0!</v>
      </c>
      <c r="V58" s="204"/>
      <c r="W58" s="205">
        <f>AVERAGE(N58,L58,R58,T58,P58)</f>
        <v>9.5</v>
      </c>
      <c r="X58" s="206" t="e">
        <f>AVERAGE(O58,M58,S58,U58,Q58)</f>
        <v>#DIV/0!</v>
      </c>
    </row>
    <row r="59" spans="1:24" s="1" customFormat="1" ht="15" customHeight="1" x14ac:dyDescent="0.2">
      <c r="A59" s="207" t="s">
        <v>48</v>
      </c>
      <c r="B59" s="201">
        <v>0</v>
      </c>
      <c r="C59" s="191">
        <f t="shared" si="10"/>
        <v>0</v>
      </c>
      <c r="D59" s="201">
        <v>0</v>
      </c>
      <c r="E59" s="192">
        <f t="shared" si="11"/>
        <v>0</v>
      </c>
      <c r="F59" s="202">
        <v>0</v>
      </c>
      <c r="G59" s="192">
        <f t="shared" si="12"/>
        <v>0</v>
      </c>
      <c r="H59" s="202">
        <v>0</v>
      </c>
      <c r="I59" s="192">
        <f t="shared" si="13"/>
        <v>0</v>
      </c>
      <c r="J59" s="202">
        <f>0</f>
        <v>0</v>
      </c>
      <c r="K59" s="192">
        <f t="shared" si="14"/>
        <v>0</v>
      </c>
      <c r="L59" s="202">
        <v>0</v>
      </c>
      <c r="M59" s="192">
        <f t="shared" si="15"/>
        <v>0</v>
      </c>
      <c r="N59" s="202">
        <v>0</v>
      </c>
      <c r="O59" s="192">
        <f t="shared" si="16"/>
        <v>0</v>
      </c>
      <c r="P59" s="202">
        <v>0</v>
      </c>
      <c r="Q59" s="192">
        <f t="shared" si="16"/>
        <v>0</v>
      </c>
      <c r="R59" s="202">
        <v>0</v>
      </c>
      <c r="S59" s="192">
        <f t="shared" si="17"/>
        <v>0</v>
      </c>
      <c r="T59" s="202"/>
      <c r="U59" s="203" t="e">
        <f t="shared" si="18"/>
        <v>#DIV/0!</v>
      </c>
      <c r="V59" s="204"/>
      <c r="W59" s="205">
        <f t="shared" ref="W59:X77" si="19">AVERAGE(N59,L59,R59,T59,P59)</f>
        <v>0</v>
      </c>
      <c r="X59" s="206" t="e">
        <f t="shared" si="19"/>
        <v>#DIV/0!</v>
      </c>
    </row>
    <row r="60" spans="1:24" s="1" customFormat="1" ht="15" customHeight="1" x14ac:dyDescent="0.2">
      <c r="A60" s="207" t="s">
        <v>49</v>
      </c>
      <c r="B60" s="201">
        <v>0</v>
      </c>
      <c r="C60" s="191">
        <f t="shared" si="10"/>
        <v>0</v>
      </c>
      <c r="D60" s="201">
        <v>0</v>
      </c>
      <c r="E60" s="192">
        <f t="shared" si="11"/>
        <v>0</v>
      </c>
      <c r="F60" s="202">
        <v>0</v>
      </c>
      <c r="G60" s="192">
        <f t="shared" si="12"/>
        <v>0</v>
      </c>
      <c r="H60" s="202">
        <v>0</v>
      </c>
      <c r="I60" s="192">
        <f t="shared" si="13"/>
        <v>0</v>
      </c>
      <c r="J60" s="202">
        <f>0</f>
        <v>0</v>
      </c>
      <c r="K60" s="192">
        <f t="shared" si="14"/>
        <v>0</v>
      </c>
      <c r="L60" s="202">
        <v>1</v>
      </c>
      <c r="M60" s="192">
        <f t="shared" si="15"/>
        <v>5.2631578947368418E-2</v>
      </c>
      <c r="N60" s="202">
        <v>1</v>
      </c>
      <c r="O60" s="192">
        <f t="shared" si="16"/>
        <v>5.8823529411764705E-2</v>
      </c>
      <c r="P60" s="202">
        <v>1</v>
      </c>
      <c r="Q60" s="192">
        <f t="shared" si="16"/>
        <v>6.6666666666666666E-2</v>
      </c>
      <c r="R60" s="202">
        <v>2</v>
      </c>
      <c r="S60" s="192">
        <f t="shared" si="17"/>
        <v>0.11764705882352941</v>
      </c>
      <c r="T60" s="202"/>
      <c r="U60" s="203" t="e">
        <f t="shared" si="18"/>
        <v>#DIV/0!</v>
      </c>
      <c r="V60" s="204"/>
      <c r="W60" s="205">
        <f t="shared" si="19"/>
        <v>1.25</v>
      </c>
      <c r="X60" s="206" t="e">
        <f t="shared" si="19"/>
        <v>#DIV/0!</v>
      </c>
    </row>
    <row r="61" spans="1:24" s="1" customFormat="1" ht="15" customHeight="1" x14ac:dyDescent="0.2">
      <c r="A61" s="207" t="s">
        <v>50</v>
      </c>
      <c r="B61" s="201">
        <v>0</v>
      </c>
      <c r="C61" s="191">
        <f t="shared" si="10"/>
        <v>0</v>
      </c>
      <c r="D61" s="201">
        <v>0</v>
      </c>
      <c r="E61" s="192">
        <f t="shared" si="11"/>
        <v>0</v>
      </c>
      <c r="F61" s="202">
        <v>0</v>
      </c>
      <c r="G61" s="192">
        <f t="shared" si="12"/>
        <v>0</v>
      </c>
      <c r="H61" s="202">
        <v>0</v>
      </c>
      <c r="I61" s="192">
        <f t="shared" si="13"/>
        <v>0</v>
      </c>
      <c r="J61" s="202">
        <f>0</f>
        <v>0</v>
      </c>
      <c r="K61" s="192">
        <f t="shared" si="14"/>
        <v>0</v>
      </c>
      <c r="L61" s="202">
        <v>0</v>
      </c>
      <c r="M61" s="192">
        <f t="shared" si="15"/>
        <v>0</v>
      </c>
      <c r="N61" s="202">
        <v>0</v>
      </c>
      <c r="O61" s="192">
        <f t="shared" si="16"/>
        <v>0</v>
      </c>
      <c r="P61" s="202">
        <v>0</v>
      </c>
      <c r="Q61" s="192">
        <f t="shared" si="16"/>
        <v>0</v>
      </c>
      <c r="R61" s="202">
        <v>0</v>
      </c>
      <c r="S61" s="192">
        <f t="shared" si="17"/>
        <v>0</v>
      </c>
      <c r="T61" s="202"/>
      <c r="U61" s="203" t="e">
        <f t="shared" si="18"/>
        <v>#DIV/0!</v>
      </c>
      <c r="V61" s="204"/>
      <c r="W61" s="205">
        <f t="shared" si="19"/>
        <v>0</v>
      </c>
      <c r="X61" s="206" t="e">
        <f t="shared" si="19"/>
        <v>#DIV/0!</v>
      </c>
    </row>
    <row r="62" spans="1:24" s="1" customFormat="1" ht="15" customHeight="1" x14ac:dyDescent="0.2">
      <c r="A62" s="207" t="s">
        <v>51</v>
      </c>
      <c r="B62" s="201">
        <v>1</v>
      </c>
      <c r="C62" s="191">
        <f t="shared" si="10"/>
        <v>8.3333333333333329E-2</v>
      </c>
      <c r="D62" s="201">
        <v>2</v>
      </c>
      <c r="E62" s="192">
        <f t="shared" si="11"/>
        <v>0.14285714285714285</v>
      </c>
      <c r="F62" s="202">
        <v>2</v>
      </c>
      <c r="G62" s="192">
        <f t="shared" si="12"/>
        <v>0.15384615384615385</v>
      </c>
      <c r="H62" s="202">
        <v>1</v>
      </c>
      <c r="I62" s="192">
        <f t="shared" si="13"/>
        <v>7.1428571428571425E-2</v>
      </c>
      <c r="J62" s="202">
        <f>0</f>
        <v>0</v>
      </c>
      <c r="K62" s="192">
        <f t="shared" si="14"/>
        <v>0</v>
      </c>
      <c r="L62" s="202">
        <v>2</v>
      </c>
      <c r="M62" s="192">
        <f t="shared" si="15"/>
        <v>0.10526315789473684</v>
      </c>
      <c r="N62" s="202">
        <v>2</v>
      </c>
      <c r="O62" s="192">
        <f t="shared" si="16"/>
        <v>0.11764705882352941</v>
      </c>
      <c r="P62" s="202">
        <v>2</v>
      </c>
      <c r="Q62" s="192">
        <f t="shared" si="16"/>
        <v>0.13333333333333333</v>
      </c>
      <c r="R62" s="202">
        <v>3</v>
      </c>
      <c r="S62" s="192">
        <f t="shared" si="17"/>
        <v>0.17647058823529413</v>
      </c>
      <c r="T62" s="202"/>
      <c r="U62" s="203" t="e">
        <f t="shared" si="18"/>
        <v>#DIV/0!</v>
      </c>
      <c r="V62" s="204"/>
      <c r="W62" s="205">
        <f t="shared" si="19"/>
        <v>2.25</v>
      </c>
      <c r="X62" s="206" t="e">
        <f t="shared" si="19"/>
        <v>#DIV/0!</v>
      </c>
    </row>
    <row r="63" spans="1:24" s="1" customFormat="1" ht="15" customHeight="1" x14ac:dyDescent="0.2">
      <c r="A63" s="207" t="s">
        <v>52</v>
      </c>
      <c r="B63" s="201">
        <v>3</v>
      </c>
      <c r="C63" s="191">
        <f t="shared" si="10"/>
        <v>0.25</v>
      </c>
      <c r="D63" s="201">
        <v>2</v>
      </c>
      <c r="E63" s="192">
        <f t="shared" si="11"/>
        <v>0.14285714285714285</v>
      </c>
      <c r="F63" s="202">
        <v>3</v>
      </c>
      <c r="G63" s="192">
        <f t="shared" si="12"/>
        <v>0.23076923076923078</v>
      </c>
      <c r="H63" s="202">
        <v>4</v>
      </c>
      <c r="I63" s="192">
        <f t="shared" si="13"/>
        <v>0.2857142857142857</v>
      </c>
      <c r="J63" s="202">
        <f>6</f>
        <v>6</v>
      </c>
      <c r="K63" s="192">
        <f t="shared" si="14"/>
        <v>0.4</v>
      </c>
      <c r="L63" s="202">
        <v>4</v>
      </c>
      <c r="M63" s="192">
        <f t="shared" si="15"/>
        <v>0.21052631578947367</v>
      </c>
      <c r="N63" s="202">
        <v>4</v>
      </c>
      <c r="O63" s="192">
        <f t="shared" si="16"/>
        <v>0.23529411764705882</v>
      </c>
      <c r="P63" s="202">
        <v>4</v>
      </c>
      <c r="Q63" s="192">
        <f t="shared" si="16"/>
        <v>0.26666666666666666</v>
      </c>
      <c r="R63" s="202">
        <v>4</v>
      </c>
      <c r="S63" s="192">
        <f t="shared" si="17"/>
        <v>0.23529411764705882</v>
      </c>
      <c r="T63" s="202"/>
      <c r="U63" s="203" t="e">
        <f t="shared" si="18"/>
        <v>#DIV/0!</v>
      </c>
      <c r="V63" s="204"/>
      <c r="W63" s="205">
        <f t="shared" si="19"/>
        <v>4</v>
      </c>
      <c r="X63" s="206" t="e">
        <f t="shared" si="19"/>
        <v>#DIV/0!</v>
      </c>
    </row>
    <row r="64" spans="1:24" s="1" customFormat="1" ht="15" customHeight="1" x14ac:dyDescent="0.2">
      <c r="A64" s="207" t="s">
        <v>53</v>
      </c>
      <c r="B64" s="164"/>
      <c r="C64" s="165"/>
      <c r="D64" s="164"/>
      <c r="E64" s="166"/>
      <c r="F64" s="167"/>
      <c r="G64" s="166"/>
      <c r="H64" s="193">
        <v>0</v>
      </c>
      <c r="I64" s="192">
        <f t="shared" si="13"/>
        <v>0</v>
      </c>
      <c r="J64" s="193">
        <f>0</f>
        <v>0</v>
      </c>
      <c r="K64" s="192">
        <f t="shared" si="14"/>
        <v>0</v>
      </c>
      <c r="L64" s="193">
        <v>0</v>
      </c>
      <c r="M64" s="192">
        <f>L64/M$55</f>
        <v>0</v>
      </c>
      <c r="N64" s="193">
        <v>0</v>
      </c>
      <c r="O64" s="192">
        <f>N64/O$55</f>
        <v>0</v>
      </c>
      <c r="P64" s="193">
        <v>0</v>
      </c>
      <c r="Q64" s="192">
        <f>P64/Q$55</f>
        <v>0</v>
      </c>
      <c r="R64" s="193">
        <v>0</v>
      </c>
      <c r="S64" s="192">
        <f>R64/S$55</f>
        <v>0</v>
      </c>
      <c r="T64" s="202"/>
      <c r="U64" s="203" t="e">
        <f>T64/U$55</f>
        <v>#DIV/0!</v>
      </c>
      <c r="V64" s="204"/>
      <c r="W64" s="205">
        <f t="shared" si="19"/>
        <v>0</v>
      </c>
      <c r="X64" s="206" t="e">
        <f t="shared" si="19"/>
        <v>#DIV/0!</v>
      </c>
    </row>
    <row r="65" spans="1:24" s="1" customFormat="1" ht="15" customHeight="1" thickBot="1" x14ac:dyDescent="0.25">
      <c r="A65" s="696" t="s">
        <v>54</v>
      </c>
      <c r="B65" s="747">
        <v>0</v>
      </c>
      <c r="C65" s="698">
        <f>B65/C$55</f>
        <v>0</v>
      </c>
      <c r="D65" s="747">
        <v>0</v>
      </c>
      <c r="E65" s="700">
        <f>D65/E$55</f>
        <v>0</v>
      </c>
      <c r="F65" s="701">
        <v>0</v>
      </c>
      <c r="G65" s="700">
        <f>F65/G$55</f>
        <v>0</v>
      </c>
      <c r="H65" s="701">
        <v>0</v>
      </c>
      <c r="I65" s="700">
        <f t="shared" si="13"/>
        <v>0</v>
      </c>
      <c r="J65" s="701">
        <f>0</f>
        <v>0</v>
      </c>
      <c r="K65" s="700">
        <f t="shared" si="14"/>
        <v>0</v>
      </c>
      <c r="L65" s="701">
        <v>0</v>
      </c>
      <c r="M65" s="700">
        <f>L65/M$55</f>
        <v>0</v>
      </c>
      <c r="N65" s="701">
        <v>0</v>
      </c>
      <c r="O65" s="700">
        <f>N65/O$55</f>
        <v>0</v>
      </c>
      <c r="P65" s="701">
        <v>0</v>
      </c>
      <c r="Q65" s="700">
        <f>P65/Q$55</f>
        <v>0</v>
      </c>
      <c r="R65" s="701">
        <v>0</v>
      </c>
      <c r="S65" s="700">
        <f>R65/S$55</f>
        <v>0</v>
      </c>
      <c r="T65" s="701"/>
      <c r="U65" s="702" t="e">
        <f>T65/U$55</f>
        <v>#DIV/0!</v>
      </c>
      <c r="V65" s="204"/>
      <c r="W65" s="727">
        <f t="shared" si="19"/>
        <v>0</v>
      </c>
      <c r="X65" s="728" t="e">
        <f t="shared" si="19"/>
        <v>#DIV/0!</v>
      </c>
    </row>
    <row r="66" spans="1:24" s="1" customFormat="1" ht="18" customHeight="1" x14ac:dyDescent="0.2">
      <c r="A66" s="680" t="s">
        <v>55</v>
      </c>
      <c r="B66" s="745"/>
      <c r="C66" s="685"/>
      <c r="D66" s="745"/>
      <c r="E66" s="687"/>
      <c r="F66" s="688"/>
      <c r="G66" s="687"/>
      <c r="H66" s="688"/>
      <c r="I66" s="687"/>
      <c r="J66" s="688"/>
      <c r="K66" s="687"/>
      <c r="L66" s="688"/>
      <c r="M66" s="687"/>
      <c r="N66" s="688"/>
      <c r="O66" s="687"/>
      <c r="P66" s="688"/>
      <c r="Q66" s="687"/>
      <c r="R66" s="688"/>
      <c r="S66" s="687"/>
      <c r="T66" s="688"/>
      <c r="U66" s="689"/>
      <c r="V66" s="204"/>
      <c r="W66" s="736"/>
      <c r="X66" s="737"/>
    </row>
    <row r="67" spans="1:24" s="1" customFormat="1" ht="15" customHeight="1" x14ac:dyDescent="0.2">
      <c r="A67" s="200" t="s">
        <v>56</v>
      </c>
      <c r="B67" s="208">
        <v>8</v>
      </c>
      <c r="C67" s="191">
        <f>B67/C$55</f>
        <v>0.66666666666666663</v>
      </c>
      <c r="D67" s="208">
        <f>7+3</f>
        <v>10</v>
      </c>
      <c r="E67" s="192">
        <f>D67/E$55</f>
        <v>0.7142857142857143</v>
      </c>
      <c r="F67" s="209">
        <v>8</v>
      </c>
      <c r="G67" s="192">
        <f>F67/G$55</f>
        <v>0.61538461538461542</v>
      </c>
      <c r="H67" s="209">
        <v>8</v>
      </c>
      <c r="I67" s="192">
        <f>H67/I$55</f>
        <v>0.5714285714285714</v>
      </c>
      <c r="J67" s="209">
        <f>5+4</f>
        <v>9</v>
      </c>
      <c r="K67" s="192">
        <f>J67/K$55</f>
        <v>0.6</v>
      </c>
      <c r="L67" s="209">
        <v>12</v>
      </c>
      <c r="M67" s="192">
        <f>L67/M$55</f>
        <v>0.63157894736842102</v>
      </c>
      <c r="N67" s="209">
        <f>1+8</f>
        <v>9</v>
      </c>
      <c r="O67" s="192">
        <f>N67/O$55</f>
        <v>0.52941176470588236</v>
      </c>
      <c r="P67" s="209">
        <v>6</v>
      </c>
      <c r="Q67" s="192">
        <f>P67/Q$55</f>
        <v>0.4</v>
      </c>
      <c r="R67" s="209">
        <v>9</v>
      </c>
      <c r="S67" s="192">
        <f>R67/S$55</f>
        <v>0.52941176470588236</v>
      </c>
      <c r="T67" s="209"/>
      <c r="U67" s="203" t="e">
        <f>T67/U$55</f>
        <v>#DIV/0!</v>
      </c>
      <c r="V67" s="204"/>
      <c r="W67" s="205">
        <f t="shared" si="19"/>
        <v>9</v>
      </c>
      <c r="X67" s="206" t="e">
        <f t="shared" si="19"/>
        <v>#DIV/0!</v>
      </c>
    </row>
    <row r="68" spans="1:24" s="1" customFormat="1" ht="15" customHeight="1" thickBot="1" x14ac:dyDescent="0.25">
      <c r="A68" s="696" t="s">
        <v>57</v>
      </c>
      <c r="B68" s="748">
        <v>4</v>
      </c>
      <c r="C68" s="698">
        <f>B68/C$55</f>
        <v>0.33333333333333331</v>
      </c>
      <c r="D68" s="748">
        <v>4</v>
      </c>
      <c r="E68" s="700">
        <f>D68/E$55</f>
        <v>0.2857142857142857</v>
      </c>
      <c r="F68" s="705">
        <v>5</v>
      </c>
      <c r="G68" s="700">
        <f>F68/G$55</f>
        <v>0.38461538461538464</v>
      </c>
      <c r="H68" s="705">
        <v>6</v>
      </c>
      <c r="I68" s="700">
        <f>H68/I$55</f>
        <v>0.42857142857142855</v>
      </c>
      <c r="J68" s="705">
        <f>6</f>
        <v>6</v>
      </c>
      <c r="K68" s="700">
        <f>J68/K$55</f>
        <v>0.4</v>
      </c>
      <c r="L68" s="705">
        <v>7</v>
      </c>
      <c r="M68" s="700">
        <f>L68/M$55</f>
        <v>0.36842105263157893</v>
      </c>
      <c r="N68" s="705">
        <v>8</v>
      </c>
      <c r="O68" s="700">
        <f>N68/O$55</f>
        <v>0.47058823529411764</v>
      </c>
      <c r="P68" s="705">
        <v>9</v>
      </c>
      <c r="Q68" s="700">
        <f>P68/Q$55</f>
        <v>0.6</v>
      </c>
      <c r="R68" s="705">
        <v>8</v>
      </c>
      <c r="S68" s="700">
        <f>R68/S$55</f>
        <v>0.47058823529411764</v>
      </c>
      <c r="T68" s="705"/>
      <c r="U68" s="702" t="e">
        <f>T68/U$55</f>
        <v>#DIV/0!</v>
      </c>
      <c r="V68" s="204"/>
      <c r="W68" s="727">
        <f t="shared" si="19"/>
        <v>8</v>
      </c>
      <c r="X68" s="728" t="e">
        <f t="shared" si="19"/>
        <v>#DIV/0!</v>
      </c>
    </row>
    <row r="69" spans="1:24" s="1" customFormat="1" ht="18" customHeight="1" x14ac:dyDescent="0.2">
      <c r="A69" s="680" t="s">
        <v>58</v>
      </c>
      <c r="B69" s="746"/>
      <c r="C69" s="691"/>
      <c r="D69" s="746"/>
      <c r="E69" s="693"/>
      <c r="F69" s="694"/>
      <c r="G69" s="693"/>
      <c r="H69" s="694"/>
      <c r="I69" s="693"/>
      <c r="J69" s="694"/>
      <c r="K69" s="693"/>
      <c r="L69" s="694"/>
      <c r="M69" s="693"/>
      <c r="N69" s="694"/>
      <c r="O69" s="693"/>
      <c r="P69" s="694"/>
      <c r="Q69" s="693"/>
      <c r="R69" s="694"/>
      <c r="S69" s="693"/>
      <c r="T69" s="694"/>
      <c r="U69" s="695"/>
      <c r="V69" s="204"/>
      <c r="W69" s="736"/>
      <c r="X69" s="737"/>
    </row>
    <row r="70" spans="1:24" s="1" customFormat="1" ht="15" customHeight="1" x14ac:dyDescent="0.2">
      <c r="A70" s="200" t="s">
        <v>59</v>
      </c>
      <c r="B70" s="210">
        <v>7</v>
      </c>
      <c r="C70" s="191">
        <f>B70/C$55</f>
        <v>0.58333333333333337</v>
      </c>
      <c r="D70" s="210">
        <f>7+2</f>
        <v>9</v>
      </c>
      <c r="E70" s="192">
        <f>D70/E$55</f>
        <v>0.6428571428571429</v>
      </c>
      <c r="F70" s="211">
        <v>8</v>
      </c>
      <c r="G70" s="192">
        <f>F70/G$55</f>
        <v>0.61538461538461542</v>
      </c>
      <c r="H70" s="211">
        <v>8</v>
      </c>
      <c r="I70" s="192">
        <f>H70/I$55</f>
        <v>0.5714285714285714</v>
      </c>
      <c r="J70" s="211">
        <f>5+3</f>
        <v>8</v>
      </c>
      <c r="K70" s="192">
        <f>J70/K$55</f>
        <v>0.53333333333333333</v>
      </c>
      <c r="L70" s="211">
        <v>9</v>
      </c>
      <c r="M70" s="192">
        <f>L70/M$55</f>
        <v>0.47368421052631576</v>
      </c>
      <c r="N70" s="211">
        <f>1+9</f>
        <v>10</v>
      </c>
      <c r="O70" s="192">
        <f>N70/O$55</f>
        <v>0.58823529411764708</v>
      </c>
      <c r="P70" s="211">
        <v>7</v>
      </c>
      <c r="Q70" s="192">
        <f>P70/Q$55</f>
        <v>0.46666666666666667</v>
      </c>
      <c r="R70" s="211">
        <v>8</v>
      </c>
      <c r="S70" s="192">
        <f>R70/S$55</f>
        <v>0.47058823529411764</v>
      </c>
      <c r="T70" s="211"/>
      <c r="U70" s="203" t="e">
        <f>T70/U$55</f>
        <v>#DIV/0!</v>
      </c>
      <c r="V70" s="204"/>
      <c r="W70" s="205">
        <f t="shared" si="19"/>
        <v>8.5</v>
      </c>
      <c r="X70" s="206" t="e">
        <f t="shared" si="19"/>
        <v>#DIV/0!</v>
      </c>
    </row>
    <row r="71" spans="1:24" s="1" customFormat="1" ht="15" customHeight="1" x14ac:dyDescent="0.2">
      <c r="A71" s="200" t="s">
        <v>60</v>
      </c>
      <c r="B71" s="210">
        <v>4</v>
      </c>
      <c r="C71" s="191">
        <f>B71/C$55</f>
        <v>0.33333333333333331</v>
      </c>
      <c r="D71" s="210">
        <v>3</v>
      </c>
      <c r="E71" s="192">
        <f>D71/E$55</f>
        <v>0.21428571428571427</v>
      </c>
      <c r="F71" s="211">
        <v>4</v>
      </c>
      <c r="G71" s="192">
        <f>F71/G$55</f>
        <v>0.30769230769230771</v>
      </c>
      <c r="H71" s="211">
        <v>4</v>
      </c>
      <c r="I71" s="192">
        <f>H71/I$55</f>
        <v>0.2857142857142857</v>
      </c>
      <c r="J71" s="211">
        <f>5</f>
        <v>5</v>
      </c>
      <c r="K71" s="192">
        <f>J71/K$55</f>
        <v>0.33333333333333331</v>
      </c>
      <c r="L71" s="211">
        <v>6</v>
      </c>
      <c r="M71" s="192">
        <f>L71/M$55</f>
        <v>0.31578947368421051</v>
      </c>
      <c r="N71" s="211">
        <v>5</v>
      </c>
      <c r="O71" s="192">
        <f>N71/O$55</f>
        <v>0.29411764705882354</v>
      </c>
      <c r="P71" s="211">
        <v>5</v>
      </c>
      <c r="Q71" s="192">
        <f>P71/Q$55</f>
        <v>0.33333333333333331</v>
      </c>
      <c r="R71" s="211">
        <v>6</v>
      </c>
      <c r="S71" s="192">
        <f>R71/S$55</f>
        <v>0.35294117647058826</v>
      </c>
      <c r="T71" s="211"/>
      <c r="U71" s="203" t="e">
        <f>T71/U$55</f>
        <v>#DIV/0!</v>
      </c>
      <c r="V71" s="204"/>
      <c r="W71" s="205">
        <f t="shared" si="19"/>
        <v>5.5</v>
      </c>
      <c r="X71" s="206" t="e">
        <f t="shared" si="19"/>
        <v>#DIV/0!</v>
      </c>
    </row>
    <row r="72" spans="1:24" s="1" customFormat="1" ht="15" customHeight="1" thickBot="1" x14ac:dyDescent="0.25">
      <c r="A72" s="696" t="s">
        <v>61</v>
      </c>
      <c r="B72" s="748">
        <v>1</v>
      </c>
      <c r="C72" s="698">
        <f>B72/C$55</f>
        <v>8.3333333333333329E-2</v>
      </c>
      <c r="D72" s="748">
        <f>1+1</f>
        <v>2</v>
      </c>
      <c r="E72" s="700">
        <f>D72/E$55</f>
        <v>0.14285714285714285</v>
      </c>
      <c r="F72" s="705">
        <v>1</v>
      </c>
      <c r="G72" s="700">
        <f>F72/G$55</f>
        <v>7.6923076923076927E-2</v>
      </c>
      <c r="H72" s="705">
        <v>2</v>
      </c>
      <c r="I72" s="700">
        <f>H72/I$55</f>
        <v>0.14285714285714285</v>
      </c>
      <c r="J72" s="705">
        <f>1+1</f>
        <v>2</v>
      </c>
      <c r="K72" s="700">
        <f>J72/K$55</f>
        <v>0.13333333333333333</v>
      </c>
      <c r="L72" s="705">
        <v>4</v>
      </c>
      <c r="M72" s="700">
        <f>L72/M$55</f>
        <v>0.21052631578947367</v>
      </c>
      <c r="N72" s="705">
        <v>2</v>
      </c>
      <c r="O72" s="700">
        <f>N72/O$55</f>
        <v>0.11764705882352941</v>
      </c>
      <c r="P72" s="705">
        <v>3</v>
      </c>
      <c r="Q72" s="700">
        <f>P72/Q$55</f>
        <v>0.2</v>
      </c>
      <c r="R72" s="705">
        <v>3</v>
      </c>
      <c r="S72" s="700">
        <f>R72/S$55</f>
        <v>0.17647058823529413</v>
      </c>
      <c r="T72" s="705"/>
      <c r="U72" s="702" t="e">
        <f>T72/U$55</f>
        <v>#DIV/0!</v>
      </c>
      <c r="V72" s="204"/>
      <c r="W72" s="727">
        <f t="shared" si="19"/>
        <v>3</v>
      </c>
      <c r="X72" s="728" t="e">
        <f t="shared" si="19"/>
        <v>#DIV/0!</v>
      </c>
    </row>
    <row r="73" spans="1:24" s="1" customFormat="1" ht="18" customHeight="1" x14ac:dyDescent="0.2">
      <c r="A73" s="680" t="s">
        <v>62</v>
      </c>
      <c r="B73" s="746"/>
      <c r="C73" s="691"/>
      <c r="D73" s="746"/>
      <c r="E73" s="693"/>
      <c r="F73" s="694"/>
      <c r="G73" s="693"/>
      <c r="H73" s="694"/>
      <c r="I73" s="693"/>
      <c r="J73" s="694"/>
      <c r="K73" s="693"/>
      <c r="L73" s="694"/>
      <c r="M73" s="693"/>
      <c r="N73" s="694"/>
      <c r="O73" s="693"/>
      <c r="P73" s="694"/>
      <c r="Q73" s="693"/>
      <c r="R73" s="694"/>
      <c r="S73" s="693"/>
      <c r="T73" s="694"/>
      <c r="U73" s="695"/>
      <c r="V73" s="204"/>
      <c r="W73" s="736"/>
      <c r="X73" s="737"/>
    </row>
    <row r="74" spans="1:24" s="1" customFormat="1" ht="15" customHeight="1" x14ac:dyDescent="0.2">
      <c r="A74" s="200" t="s">
        <v>63</v>
      </c>
      <c r="B74" s="210">
        <v>12</v>
      </c>
      <c r="C74" s="191">
        <f>B74/C$55</f>
        <v>1</v>
      </c>
      <c r="D74" s="210">
        <f>11+2</f>
        <v>13</v>
      </c>
      <c r="E74" s="192">
        <f>D74/E$55</f>
        <v>0.9285714285714286</v>
      </c>
      <c r="F74" s="211">
        <v>13</v>
      </c>
      <c r="G74" s="192">
        <f>F74/G$55</f>
        <v>1</v>
      </c>
      <c r="H74" s="211">
        <v>14</v>
      </c>
      <c r="I74" s="192">
        <f>H74/I$55</f>
        <v>1</v>
      </c>
      <c r="J74" s="211">
        <f>11+4</f>
        <v>15</v>
      </c>
      <c r="K74" s="192">
        <f>J74/K$55</f>
        <v>1</v>
      </c>
      <c r="L74" s="211">
        <v>19</v>
      </c>
      <c r="M74" s="192">
        <f>L74/M$55</f>
        <v>1</v>
      </c>
      <c r="N74" s="211">
        <f>1+16</f>
        <v>17</v>
      </c>
      <c r="O74" s="192">
        <f>N74/O$55</f>
        <v>1</v>
      </c>
      <c r="P74" s="211">
        <v>15</v>
      </c>
      <c r="Q74" s="192">
        <f>P74/Q$55</f>
        <v>1</v>
      </c>
      <c r="R74" s="211">
        <v>17</v>
      </c>
      <c r="S74" s="192">
        <f>R74/S$55</f>
        <v>1</v>
      </c>
      <c r="T74" s="211"/>
      <c r="U74" s="203" t="e">
        <f>T74/U$55</f>
        <v>#DIV/0!</v>
      </c>
      <c r="V74" s="204"/>
      <c r="W74" s="205">
        <f t="shared" si="19"/>
        <v>17</v>
      </c>
      <c r="X74" s="206" t="e">
        <f t="shared" si="19"/>
        <v>#DIV/0!</v>
      </c>
    </row>
    <row r="75" spans="1:24" s="1" customFormat="1" ht="15" customHeight="1" x14ac:dyDescent="0.2">
      <c r="A75" s="200" t="s">
        <v>64</v>
      </c>
      <c r="B75" s="210">
        <v>0</v>
      </c>
      <c r="C75" s="191">
        <f>B75/C$55</f>
        <v>0</v>
      </c>
      <c r="D75" s="210">
        <v>1</v>
      </c>
      <c r="E75" s="192">
        <f>D75/E$55</f>
        <v>7.1428571428571425E-2</v>
      </c>
      <c r="F75" s="211">
        <v>0</v>
      </c>
      <c r="G75" s="192">
        <f>F75/G$55</f>
        <v>0</v>
      </c>
      <c r="H75" s="211">
        <v>0</v>
      </c>
      <c r="I75" s="192">
        <f>H75/I$55</f>
        <v>0</v>
      </c>
      <c r="J75" s="211">
        <f>0</f>
        <v>0</v>
      </c>
      <c r="K75" s="192">
        <f>J75/K$55</f>
        <v>0</v>
      </c>
      <c r="L75" s="211">
        <v>0</v>
      </c>
      <c r="M75" s="192">
        <f>L75/M$55</f>
        <v>0</v>
      </c>
      <c r="N75" s="211">
        <v>0</v>
      </c>
      <c r="O75" s="192">
        <f>N75/O$55</f>
        <v>0</v>
      </c>
      <c r="P75" s="211">
        <v>0</v>
      </c>
      <c r="Q75" s="192">
        <f>P75/Q$55</f>
        <v>0</v>
      </c>
      <c r="R75" s="211">
        <v>0</v>
      </c>
      <c r="S75" s="192">
        <f>R75/S$55</f>
        <v>0</v>
      </c>
      <c r="T75" s="211"/>
      <c r="U75" s="203" t="e">
        <f>T75/U$55</f>
        <v>#DIV/0!</v>
      </c>
      <c r="V75" s="204"/>
      <c r="W75" s="205">
        <f t="shared" si="19"/>
        <v>0</v>
      </c>
      <c r="X75" s="206" t="e">
        <f t="shared" si="19"/>
        <v>#DIV/0!</v>
      </c>
    </row>
    <row r="76" spans="1:24" s="1" customFormat="1" ht="15" customHeight="1" x14ac:dyDescent="0.2">
      <c r="A76" s="200" t="s">
        <v>65</v>
      </c>
      <c r="B76" s="210">
        <v>0</v>
      </c>
      <c r="C76" s="191">
        <f>B76/C$55</f>
        <v>0</v>
      </c>
      <c r="D76" s="210">
        <v>0</v>
      </c>
      <c r="E76" s="192">
        <f>D76/E$55</f>
        <v>0</v>
      </c>
      <c r="F76" s="211">
        <v>0</v>
      </c>
      <c r="G76" s="192">
        <f>F76/G$55</f>
        <v>0</v>
      </c>
      <c r="H76" s="211">
        <v>0</v>
      </c>
      <c r="I76" s="192">
        <f>H76/I$55</f>
        <v>0</v>
      </c>
      <c r="J76" s="211">
        <f>0</f>
        <v>0</v>
      </c>
      <c r="K76" s="192">
        <f>J76/K$55</f>
        <v>0</v>
      </c>
      <c r="L76" s="211">
        <v>0</v>
      </c>
      <c r="M76" s="192">
        <f>L76/M$55</f>
        <v>0</v>
      </c>
      <c r="N76" s="211">
        <v>0</v>
      </c>
      <c r="O76" s="192">
        <f>N76/O$55</f>
        <v>0</v>
      </c>
      <c r="P76" s="211">
        <v>0</v>
      </c>
      <c r="Q76" s="192">
        <f>P76/Q$55</f>
        <v>0</v>
      </c>
      <c r="R76" s="211">
        <v>0</v>
      </c>
      <c r="S76" s="192">
        <f>R76/S$55</f>
        <v>0</v>
      </c>
      <c r="T76" s="211"/>
      <c r="U76" s="203" t="e">
        <f>T76/U$55</f>
        <v>#DIV/0!</v>
      </c>
      <c r="V76" s="195"/>
      <c r="W76" s="205">
        <f t="shared" si="19"/>
        <v>0</v>
      </c>
      <c r="X76" s="206" t="e">
        <f t="shared" si="19"/>
        <v>#DIV/0!</v>
      </c>
    </row>
    <row r="77" spans="1:24" s="1" customFormat="1" ht="15" customHeight="1" thickBot="1" x14ac:dyDescent="0.25">
      <c r="A77" s="212" t="s">
        <v>66</v>
      </c>
      <c r="B77" s="246">
        <v>0</v>
      </c>
      <c r="C77" s="214">
        <f>B77/C$55</f>
        <v>0</v>
      </c>
      <c r="D77" s="246">
        <v>0</v>
      </c>
      <c r="E77" s="215">
        <f>D77/E$55</f>
        <v>0</v>
      </c>
      <c r="F77" s="217">
        <v>0</v>
      </c>
      <c r="G77" s="215">
        <f>F77/G$55</f>
        <v>0</v>
      </c>
      <c r="H77" s="217">
        <v>0</v>
      </c>
      <c r="I77" s="215">
        <f>H77/I$55</f>
        <v>0</v>
      </c>
      <c r="J77" s="217">
        <f>0</f>
        <v>0</v>
      </c>
      <c r="K77" s="215">
        <f>J77/K$55</f>
        <v>0</v>
      </c>
      <c r="L77" s="217">
        <v>0</v>
      </c>
      <c r="M77" s="215">
        <f>L77/M$55</f>
        <v>0</v>
      </c>
      <c r="N77" s="217">
        <v>0</v>
      </c>
      <c r="O77" s="215">
        <f>N77/O$55</f>
        <v>0</v>
      </c>
      <c r="P77" s="217">
        <v>0</v>
      </c>
      <c r="Q77" s="215">
        <f>P77/Q$55</f>
        <v>0</v>
      </c>
      <c r="R77" s="217">
        <v>0</v>
      </c>
      <c r="S77" s="215">
        <f>R77/S$55</f>
        <v>0</v>
      </c>
      <c r="T77" s="217"/>
      <c r="U77" s="218" t="e">
        <f>T77/U$55</f>
        <v>#DIV/0!</v>
      </c>
      <c r="V77" s="195"/>
      <c r="W77" s="219">
        <f t="shared" si="19"/>
        <v>0</v>
      </c>
      <c r="X77" s="220" t="e">
        <f t="shared" si="19"/>
        <v>#DIV/0!</v>
      </c>
    </row>
    <row r="78" spans="1:24" ht="13.5" thickTop="1" x14ac:dyDescent="0.2">
      <c r="A78" s="743" t="s">
        <v>248</v>
      </c>
    </row>
    <row r="79" spans="1:24" x14ac:dyDescent="0.2">
      <c r="A79" s="1"/>
      <c r="H79" s="65" t="s">
        <v>19</v>
      </c>
      <c r="J79" s="65" t="s">
        <v>19</v>
      </c>
      <c r="L79" s="65" t="s">
        <v>19</v>
      </c>
      <c r="N79" s="65" t="s">
        <v>19</v>
      </c>
      <c r="P79" s="65" t="s">
        <v>19</v>
      </c>
      <c r="R79" s="65" t="s">
        <v>19</v>
      </c>
      <c r="T79" s="65"/>
    </row>
    <row r="80" spans="1:24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x14ac:dyDescent="0.2">
      <c r="A84" s="1"/>
    </row>
    <row r="85" spans="1:1" x14ac:dyDescent="0.2">
      <c r="A85" s="1"/>
    </row>
    <row r="86" spans="1:1" x14ac:dyDescent="0.2">
      <c r="A86" s="1"/>
    </row>
    <row r="87" spans="1:1" x14ac:dyDescent="0.2">
      <c r="A87" s="1"/>
    </row>
    <row r="88" spans="1:1" x14ac:dyDescent="0.2">
      <c r="A88" s="1"/>
    </row>
    <row r="89" spans="1:1" x14ac:dyDescent="0.2">
      <c r="A89" s="1"/>
    </row>
    <row r="90" spans="1:1" x14ac:dyDescent="0.2">
      <c r="A90" s="1"/>
    </row>
    <row r="91" spans="1:1" x14ac:dyDescent="0.2">
      <c r="A91" s="1"/>
    </row>
    <row r="92" spans="1:1" x14ac:dyDescent="0.2">
      <c r="A92" s="1"/>
    </row>
    <row r="93" spans="1:1" x14ac:dyDescent="0.2">
      <c r="A93" s="1"/>
    </row>
    <row r="94" spans="1:1" x14ac:dyDescent="0.2">
      <c r="A94" s="1"/>
    </row>
    <row r="95" spans="1:1" x14ac:dyDescent="0.2">
      <c r="A95" s="1"/>
    </row>
    <row r="96" spans="1:1" x14ac:dyDescent="0.2">
      <c r="A96" s="1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x14ac:dyDescent="0.2">
      <c r="A100" s="1"/>
    </row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x14ac:dyDescent="0.2">
      <c r="A107" s="1"/>
    </row>
    <row r="108" spans="1:1" x14ac:dyDescent="0.2">
      <c r="A108" s="1"/>
    </row>
    <row r="109" spans="1:1" x14ac:dyDescent="0.2">
      <c r="A109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x14ac:dyDescent="0.2">
      <c r="A120" s="1"/>
    </row>
    <row r="121" spans="1:1" x14ac:dyDescent="0.2">
      <c r="A121" s="1"/>
    </row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x14ac:dyDescent="0.2">
      <c r="A128" s="1"/>
    </row>
    <row r="129" spans="1:1" x14ac:dyDescent="0.2">
      <c r="A129" s="1"/>
    </row>
    <row r="130" spans="1:1" x14ac:dyDescent="0.2">
      <c r="A130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x14ac:dyDescent="0.2">
      <c r="A152" s="1"/>
    </row>
    <row r="153" spans="1:1" x14ac:dyDescent="0.2">
      <c r="A153" s="1"/>
    </row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  <row r="177" spans="1:1" x14ac:dyDescent="0.2">
      <c r="A177" s="1"/>
    </row>
    <row r="178" spans="1:1" x14ac:dyDescent="0.2">
      <c r="A178" s="1"/>
    </row>
    <row r="179" spans="1:1" x14ac:dyDescent="0.2">
      <c r="A179" s="1"/>
    </row>
    <row r="180" spans="1:1" x14ac:dyDescent="0.2">
      <c r="A180" s="1"/>
    </row>
    <row r="181" spans="1:1" x14ac:dyDescent="0.2">
      <c r="A181" s="1"/>
    </row>
    <row r="182" spans="1:1" x14ac:dyDescent="0.2">
      <c r="A182" s="1"/>
    </row>
    <row r="183" spans="1:1" x14ac:dyDescent="0.2">
      <c r="A183" s="1"/>
    </row>
    <row r="184" spans="1:1" x14ac:dyDescent="0.2">
      <c r="A184" s="1"/>
    </row>
    <row r="185" spans="1:1" x14ac:dyDescent="0.2">
      <c r="A185" s="1"/>
    </row>
    <row r="186" spans="1:1" x14ac:dyDescent="0.2">
      <c r="A186" s="1"/>
    </row>
    <row r="187" spans="1:1" x14ac:dyDescent="0.2">
      <c r="A187" s="1"/>
    </row>
    <row r="188" spans="1:1" x14ac:dyDescent="0.2">
      <c r="A188" s="1"/>
    </row>
    <row r="189" spans="1:1" x14ac:dyDescent="0.2">
      <c r="A189" s="1"/>
    </row>
    <row r="190" spans="1:1" x14ac:dyDescent="0.2">
      <c r="A190" s="1"/>
    </row>
    <row r="191" spans="1:1" x14ac:dyDescent="0.2">
      <c r="A191" s="1"/>
    </row>
    <row r="192" spans="1:1" x14ac:dyDescent="0.2">
      <c r="A192" s="1"/>
    </row>
    <row r="193" spans="1:1" x14ac:dyDescent="0.2">
      <c r="A193" s="1"/>
    </row>
    <row r="194" spans="1:1" x14ac:dyDescent="0.2">
      <c r="A194" s="1"/>
    </row>
    <row r="195" spans="1:1" x14ac:dyDescent="0.2">
      <c r="A195" s="1"/>
    </row>
    <row r="196" spans="1:1" x14ac:dyDescent="0.2">
      <c r="A196" s="1"/>
    </row>
    <row r="197" spans="1:1" x14ac:dyDescent="0.2">
      <c r="A197" s="1"/>
    </row>
    <row r="198" spans="1:1" x14ac:dyDescent="0.2">
      <c r="A198" s="1"/>
    </row>
    <row r="199" spans="1:1" x14ac:dyDescent="0.2">
      <c r="A199" s="1"/>
    </row>
    <row r="200" spans="1:1" x14ac:dyDescent="0.2">
      <c r="A200" s="1"/>
    </row>
    <row r="201" spans="1:1" x14ac:dyDescent="0.2">
      <c r="A201" s="1"/>
    </row>
    <row r="202" spans="1:1" x14ac:dyDescent="0.2">
      <c r="A202" s="1"/>
    </row>
    <row r="203" spans="1:1" x14ac:dyDescent="0.2">
      <c r="A203" s="1"/>
    </row>
    <row r="204" spans="1:1" x14ac:dyDescent="0.2">
      <c r="A204" s="1"/>
    </row>
    <row r="205" spans="1:1" x14ac:dyDescent="0.2">
      <c r="A205" s="1"/>
    </row>
    <row r="206" spans="1:1" x14ac:dyDescent="0.2">
      <c r="A206" s="1"/>
    </row>
    <row r="207" spans="1:1" x14ac:dyDescent="0.2">
      <c r="A207" s="1"/>
    </row>
    <row r="208" spans="1:1" x14ac:dyDescent="0.2">
      <c r="A208" s="1"/>
    </row>
    <row r="209" spans="1:1" x14ac:dyDescent="0.2">
      <c r="A209" s="1"/>
    </row>
    <row r="210" spans="1:1" x14ac:dyDescent="0.2">
      <c r="A210" s="1"/>
    </row>
    <row r="211" spans="1:1" x14ac:dyDescent="0.2">
      <c r="A211" s="1"/>
    </row>
    <row r="212" spans="1:1" x14ac:dyDescent="0.2">
      <c r="A212" s="1"/>
    </row>
    <row r="213" spans="1:1" x14ac:dyDescent="0.2">
      <c r="A213" s="1"/>
    </row>
    <row r="214" spans="1:1" x14ac:dyDescent="0.2">
      <c r="A214" s="1"/>
    </row>
    <row r="215" spans="1:1" x14ac:dyDescent="0.2">
      <c r="A215" s="1"/>
    </row>
    <row r="216" spans="1:1" x14ac:dyDescent="0.2">
      <c r="A216" s="1"/>
    </row>
    <row r="217" spans="1:1" x14ac:dyDescent="0.2">
      <c r="A217" s="1"/>
    </row>
    <row r="218" spans="1:1" x14ac:dyDescent="0.2">
      <c r="A218" s="1"/>
    </row>
    <row r="219" spans="1:1" x14ac:dyDescent="0.2">
      <c r="A219" s="1"/>
    </row>
    <row r="220" spans="1:1" x14ac:dyDescent="0.2">
      <c r="A220" s="1"/>
    </row>
    <row r="221" spans="1:1" x14ac:dyDescent="0.2">
      <c r="A221" s="1"/>
    </row>
    <row r="222" spans="1:1" x14ac:dyDescent="0.2">
      <c r="A222" s="1"/>
    </row>
    <row r="223" spans="1:1" x14ac:dyDescent="0.2">
      <c r="A223" s="1"/>
    </row>
    <row r="224" spans="1:1" x14ac:dyDescent="0.2">
      <c r="A224" s="1"/>
    </row>
    <row r="225" spans="1:1" x14ac:dyDescent="0.2">
      <c r="A225" s="1"/>
    </row>
    <row r="226" spans="1:1" x14ac:dyDescent="0.2">
      <c r="A226" s="1"/>
    </row>
    <row r="227" spans="1:1" x14ac:dyDescent="0.2">
      <c r="A227" s="1"/>
    </row>
    <row r="228" spans="1:1" x14ac:dyDescent="0.2">
      <c r="A228" s="1"/>
    </row>
    <row r="229" spans="1:1" x14ac:dyDescent="0.2">
      <c r="A229" s="1"/>
    </row>
    <row r="230" spans="1:1" x14ac:dyDescent="0.2">
      <c r="A230" s="1"/>
    </row>
    <row r="231" spans="1:1" x14ac:dyDescent="0.2">
      <c r="A231" s="1"/>
    </row>
    <row r="232" spans="1:1" x14ac:dyDescent="0.2">
      <c r="A232" s="1"/>
    </row>
    <row r="233" spans="1:1" x14ac:dyDescent="0.2">
      <c r="A233" s="1"/>
    </row>
    <row r="234" spans="1:1" x14ac:dyDescent="0.2">
      <c r="A234" s="1"/>
    </row>
    <row r="235" spans="1:1" x14ac:dyDescent="0.2">
      <c r="A235" s="1"/>
    </row>
    <row r="236" spans="1:1" x14ac:dyDescent="0.2">
      <c r="A236" s="1"/>
    </row>
    <row r="237" spans="1:1" x14ac:dyDescent="0.2">
      <c r="A237" s="1"/>
    </row>
    <row r="238" spans="1:1" x14ac:dyDescent="0.2">
      <c r="A238" s="1"/>
    </row>
    <row r="239" spans="1:1" x14ac:dyDescent="0.2">
      <c r="A239" s="1"/>
    </row>
    <row r="240" spans="1:1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6" spans="1:1" x14ac:dyDescent="0.2">
      <c r="A296" s="1"/>
    </row>
    <row r="297" spans="1:1" x14ac:dyDescent="0.2">
      <c r="A297" s="1"/>
    </row>
    <row r="298" spans="1:1" x14ac:dyDescent="0.2">
      <c r="A298" s="1"/>
    </row>
    <row r="299" spans="1:1" x14ac:dyDescent="0.2">
      <c r="A299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  <row r="303" spans="1:1" x14ac:dyDescent="0.2">
      <c r="A303" s="1"/>
    </row>
    <row r="304" spans="1:1" x14ac:dyDescent="0.2">
      <c r="A304" s="1"/>
    </row>
    <row r="305" spans="1:1" x14ac:dyDescent="0.2">
      <c r="A305" s="1"/>
    </row>
    <row r="306" spans="1:1" x14ac:dyDescent="0.2">
      <c r="A306" s="1"/>
    </row>
    <row r="307" spans="1:1" x14ac:dyDescent="0.2">
      <c r="A307" s="1"/>
    </row>
    <row r="308" spans="1:1" x14ac:dyDescent="0.2">
      <c r="A308" s="1"/>
    </row>
    <row r="309" spans="1:1" x14ac:dyDescent="0.2">
      <c r="A309" s="1"/>
    </row>
    <row r="310" spans="1:1" x14ac:dyDescent="0.2">
      <c r="A310" s="1"/>
    </row>
    <row r="311" spans="1:1" x14ac:dyDescent="0.2">
      <c r="A311" s="1"/>
    </row>
    <row r="312" spans="1:1" x14ac:dyDescent="0.2">
      <c r="A312" s="1"/>
    </row>
    <row r="313" spans="1:1" x14ac:dyDescent="0.2">
      <c r="A313" s="1"/>
    </row>
    <row r="314" spans="1:1" x14ac:dyDescent="0.2">
      <c r="A314" s="1"/>
    </row>
    <row r="315" spans="1:1" x14ac:dyDescent="0.2">
      <c r="A315" s="1"/>
    </row>
    <row r="316" spans="1:1" x14ac:dyDescent="0.2">
      <c r="A316" s="1"/>
    </row>
    <row r="317" spans="1:1" x14ac:dyDescent="0.2">
      <c r="A317" s="1"/>
    </row>
    <row r="318" spans="1:1" x14ac:dyDescent="0.2">
      <c r="A318" s="1"/>
    </row>
    <row r="319" spans="1:1" x14ac:dyDescent="0.2">
      <c r="A319" s="1"/>
    </row>
    <row r="320" spans="1:1" x14ac:dyDescent="0.2">
      <c r="A320" s="1"/>
    </row>
    <row r="321" spans="1:1" x14ac:dyDescent="0.2">
      <c r="A321" s="1"/>
    </row>
    <row r="322" spans="1:1" x14ac:dyDescent="0.2">
      <c r="A322" s="1"/>
    </row>
    <row r="323" spans="1:1" x14ac:dyDescent="0.2">
      <c r="A323" s="1"/>
    </row>
    <row r="324" spans="1:1" x14ac:dyDescent="0.2">
      <c r="A324" s="1"/>
    </row>
    <row r="325" spans="1:1" x14ac:dyDescent="0.2">
      <c r="A325" s="1"/>
    </row>
    <row r="326" spans="1:1" x14ac:dyDescent="0.2">
      <c r="A326" s="1"/>
    </row>
    <row r="327" spans="1:1" x14ac:dyDescent="0.2">
      <c r="A327" s="1"/>
    </row>
    <row r="328" spans="1:1" x14ac:dyDescent="0.2">
      <c r="A328" s="1"/>
    </row>
    <row r="329" spans="1:1" x14ac:dyDescent="0.2">
      <c r="A329" s="1"/>
    </row>
    <row r="330" spans="1:1" x14ac:dyDescent="0.2">
      <c r="A330" s="1"/>
    </row>
    <row r="331" spans="1:1" x14ac:dyDescent="0.2">
      <c r="A331" s="1"/>
    </row>
    <row r="332" spans="1:1" x14ac:dyDescent="0.2">
      <c r="A332" s="1"/>
    </row>
    <row r="333" spans="1:1" x14ac:dyDescent="0.2">
      <c r="A333" s="1"/>
    </row>
    <row r="334" spans="1:1" x14ac:dyDescent="0.2">
      <c r="A334" s="1"/>
    </row>
    <row r="335" spans="1:1" x14ac:dyDescent="0.2">
      <c r="A335" s="1"/>
    </row>
    <row r="336" spans="1:1" x14ac:dyDescent="0.2">
      <c r="A336" s="1"/>
    </row>
    <row r="337" spans="1:1" x14ac:dyDescent="0.2">
      <c r="A337" s="1"/>
    </row>
    <row r="338" spans="1:1" x14ac:dyDescent="0.2">
      <c r="A338" s="1"/>
    </row>
    <row r="339" spans="1:1" x14ac:dyDescent="0.2">
      <c r="A339" s="1"/>
    </row>
    <row r="340" spans="1:1" x14ac:dyDescent="0.2">
      <c r="A340" s="1"/>
    </row>
    <row r="341" spans="1:1" x14ac:dyDescent="0.2">
      <c r="A341" s="1"/>
    </row>
    <row r="342" spans="1:1" x14ac:dyDescent="0.2">
      <c r="A342" s="1"/>
    </row>
    <row r="343" spans="1:1" x14ac:dyDescent="0.2">
      <c r="A343" s="1"/>
    </row>
    <row r="344" spans="1:1" x14ac:dyDescent="0.2">
      <c r="A344" s="1"/>
    </row>
    <row r="345" spans="1:1" x14ac:dyDescent="0.2">
      <c r="A345" s="1"/>
    </row>
    <row r="346" spans="1:1" x14ac:dyDescent="0.2">
      <c r="A346" s="1"/>
    </row>
    <row r="347" spans="1:1" x14ac:dyDescent="0.2">
      <c r="A347" s="1"/>
    </row>
    <row r="348" spans="1:1" x14ac:dyDescent="0.2">
      <c r="A348" s="1"/>
    </row>
    <row r="349" spans="1:1" x14ac:dyDescent="0.2">
      <c r="A349" s="1"/>
    </row>
    <row r="350" spans="1:1" x14ac:dyDescent="0.2">
      <c r="A350" s="1"/>
    </row>
    <row r="351" spans="1:1" x14ac:dyDescent="0.2">
      <c r="A351" s="1"/>
    </row>
    <row r="352" spans="1:1" x14ac:dyDescent="0.2">
      <c r="A352" s="1"/>
    </row>
    <row r="353" spans="1:1" x14ac:dyDescent="0.2">
      <c r="A353" s="1"/>
    </row>
    <row r="354" spans="1:1" x14ac:dyDescent="0.2">
      <c r="A354" s="1"/>
    </row>
    <row r="355" spans="1:1" x14ac:dyDescent="0.2">
      <c r="A355" s="1"/>
    </row>
    <row r="356" spans="1:1" x14ac:dyDescent="0.2">
      <c r="A356" s="1"/>
    </row>
    <row r="357" spans="1:1" x14ac:dyDescent="0.2">
      <c r="A357" s="1"/>
    </row>
    <row r="358" spans="1:1" x14ac:dyDescent="0.2">
      <c r="A358" s="1"/>
    </row>
    <row r="359" spans="1:1" x14ac:dyDescent="0.2">
      <c r="A359" s="1"/>
    </row>
    <row r="360" spans="1:1" x14ac:dyDescent="0.2">
      <c r="A360" s="1"/>
    </row>
    <row r="361" spans="1:1" x14ac:dyDescent="0.2">
      <c r="A361" s="1"/>
    </row>
    <row r="362" spans="1:1" x14ac:dyDescent="0.2">
      <c r="A362" s="1"/>
    </row>
    <row r="363" spans="1:1" x14ac:dyDescent="0.2">
      <c r="A363" s="1"/>
    </row>
    <row r="364" spans="1:1" x14ac:dyDescent="0.2">
      <c r="A364" s="1"/>
    </row>
    <row r="365" spans="1:1" x14ac:dyDescent="0.2">
      <c r="A365" s="1"/>
    </row>
    <row r="366" spans="1:1" x14ac:dyDescent="0.2">
      <c r="A366" s="1"/>
    </row>
    <row r="367" spans="1:1" x14ac:dyDescent="0.2">
      <c r="A367" s="1"/>
    </row>
    <row r="368" spans="1:1" x14ac:dyDescent="0.2">
      <c r="A368" s="1"/>
    </row>
    <row r="369" spans="1:1" x14ac:dyDescent="0.2">
      <c r="A369" s="1"/>
    </row>
    <row r="370" spans="1:1" x14ac:dyDescent="0.2">
      <c r="A370" s="1"/>
    </row>
    <row r="371" spans="1:1" x14ac:dyDescent="0.2">
      <c r="A371" s="1"/>
    </row>
    <row r="372" spans="1:1" x14ac:dyDescent="0.2">
      <c r="A372" s="1"/>
    </row>
    <row r="373" spans="1:1" x14ac:dyDescent="0.2">
      <c r="A373" s="1"/>
    </row>
    <row r="374" spans="1:1" x14ac:dyDescent="0.2">
      <c r="A374" s="1"/>
    </row>
    <row r="375" spans="1:1" x14ac:dyDescent="0.2">
      <c r="A375" s="1"/>
    </row>
    <row r="376" spans="1:1" x14ac:dyDescent="0.2">
      <c r="A376" s="1"/>
    </row>
    <row r="377" spans="1:1" x14ac:dyDescent="0.2">
      <c r="A377" s="1"/>
    </row>
    <row r="378" spans="1:1" x14ac:dyDescent="0.2">
      <c r="A378" s="1"/>
    </row>
    <row r="379" spans="1:1" x14ac:dyDescent="0.2">
      <c r="A379" s="1"/>
    </row>
    <row r="380" spans="1:1" x14ac:dyDescent="0.2">
      <c r="A380" s="1"/>
    </row>
    <row r="381" spans="1:1" x14ac:dyDescent="0.2">
      <c r="A381" s="1"/>
    </row>
    <row r="382" spans="1:1" x14ac:dyDescent="0.2">
      <c r="A382" s="1"/>
    </row>
    <row r="383" spans="1:1" x14ac:dyDescent="0.2">
      <c r="A383" s="1"/>
    </row>
    <row r="384" spans="1:1" x14ac:dyDescent="0.2">
      <c r="A384" s="1"/>
    </row>
    <row r="385" spans="1:1" x14ac:dyDescent="0.2">
      <c r="A385" s="1"/>
    </row>
    <row r="386" spans="1:1" x14ac:dyDescent="0.2">
      <c r="A386" s="1"/>
    </row>
    <row r="387" spans="1:1" x14ac:dyDescent="0.2">
      <c r="A387" s="1"/>
    </row>
    <row r="388" spans="1:1" x14ac:dyDescent="0.2">
      <c r="A388" s="1"/>
    </row>
    <row r="389" spans="1:1" x14ac:dyDescent="0.2">
      <c r="A389" s="1"/>
    </row>
    <row r="390" spans="1:1" x14ac:dyDescent="0.2">
      <c r="A390" s="1"/>
    </row>
    <row r="391" spans="1:1" x14ac:dyDescent="0.2">
      <c r="A391" s="1"/>
    </row>
    <row r="392" spans="1:1" x14ac:dyDescent="0.2">
      <c r="A392" s="1"/>
    </row>
    <row r="393" spans="1:1" x14ac:dyDescent="0.2">
      <c r="A393" s="1"/>
    </row>
    <row r="394" spans="1:1" x14ac:dyDescent="0.2">
      <c r="A394" s="1"/>
    </row>
    <row r="395" spans="1:1" x14ac:dyDescent="0.2">
      <c r="A395" s="1"/>
    </row>
    <row r="396" spans="1:1" x14ac:dyDescent="0.2">
      <c r="A396" s="1"/>
    </row>
    <row r="397" spans="1:1" x14ac:dyDescent="0.2">
      <c r="A397" s="1"/>
    </row>
    <row r="398" spans="1:1" x14ac:dyDescent="0.2">
      <c r="A398" s="1"/>
    </row>
    <row r="399" spans="1:1" x14ac:dyDescent="0.2">
      <c r="A399" s="1"/>
    </row>
    <row r="400" spans="1:1" x14ac:dyDescent="0.2">
      <c r="A400" s="1"/>
    </row>
    <row r="401" spans="1:1" x14ac:dyDescent="0.2">
      <c r="A401" s="1"/>
    </row>
    <row r="402" spans="1:1" x14ac:dyDescent="0.2">
      <c r="A402" s="1"/>
    </row>
    <row r="403" spans="1:1" x14ac:dyDescent="0.2">
      <c r="A403" s="1"/>
    </row>
    <row r="404" spans="1:1" x14ac:dyDescent="0.2">
      <c r="A404" s="1"/>
    </row>
    <row r="405" spans="1:1" x14ac:dyDescent="0.2">
      <c r="A405" s="1"/>
    </row>
    <row r="406" spans="1:1" x14ac:dyDescent="0.2">
      <c r="A406" s="1"/>
    </row>
    <row r="407" spans="1:1" x14ac:dyDescent="0.2">
      <c r="A407" s="1"/>
    </row>
    <row r="408" spans="1:1" x14ac:dyDescent="0.2">
      <c r="A408" s="1"/>
    </row>
    <row r="409" spans="1:1" x14ac:dyDescent="0.2">
      <c r="A409" s="1"/>
    </row>
    <row r="410" spans="1:1" x14ac:dyDescent="0.2">
      <c r="A410" s="1"/>
    </row>
    <row r="411" spans="1:1" x14ac:dyDescent="0.2">
      <c r="A411" s="1"/>
    </row>
    <row r="412" spans="1:1" x14ac:dyDescent="0.2">
      <c r="A412" s="1"/>
    </row>
    <row r="413" spans="1:1" x14ac:dyDescent="0.2">
      <c r="A413" s="1"/>
    </row>
    <row r="414" spans="1:1" x14ac:dyDescent="0.2">
      <c r="A414" s="1"/>
    </row>
    <row r="415" spans="1:1" x14ac:dyDescent="0.2">
      <c r="A415" s="1"/>
    </row>
    <row r="416" spans="1:1" x14ac:dyDescent="0.2">
      <c r="A416" s="1"/>
    </row>
    <row r="417" spans="1:1" x14ac:dyDescent="0.2">
      <c r="A417" s="1"/>
    </row>
    <row r="418" spans="1:1" x14ac:dyDescent="0.2">
      <c r="A418" s="1"/>
    </row>
    <row r="419" spans="1:1" x14ac:dyDescent="0.2">
      <c r="A419" s="1"/>
    </row>
    <row r="420" spans="1:1" x14ac:dyDescent="0.2">
      <c r="A420" s="1"/>
    </row>
    <row r="421" spans="1:1" x14ac:dyDescent="0.2">
      <c r="A421" s="1"/>
    </row>
    <row r="422" spans="1:1" x14ac:dyDescent="0.2">
      <c r="A422" s="1"/>
    </row>
    <row r="423" spans="1:1" x14ac:dyDescent="0.2">
      <c r="A423" s="1"/>
    </row>
    <row r="424" spans="1:1" x14ac:dyDescent="0.2">
      <c r="A424" s="1"/>
    </row>
  </sheetData>
  <mergeCells count="77">
    <mergeCell ref="L19:M19"/>
    <mergeCell ref="B19:C19"/>
    <mergeCell ref="D19:E19"/>
    <mergeCell ref="F19:G19"/>
    <mergeCell ref="H19:I19"/>
    <mergeCell ref="J19:K19"/>
    <mergeCell ref="N19:O19"/>
    <mergeCell ref="P24:Q24"/>
    <mergeCell ref="R24:S24"/>
    <mergeCell ref="W24:X24"/>
    <mergeCell ref="R19:S19"/>
    <mergeCell ref="W19:X19"/>
    <mergeCell ref="P19:Q19"/>
    <mergeCell ref="T19:U19"/>
    <mergeCell ref="T24:U24"/>
    <mergeCell ref="B26:C26"/>
    <mergeCell ref="D26:E26"/>
    <mergeCell ref="J24:K24"/>
    <mergeCell ref="L24:M24"/>
    <mergeCell ref="N24:O24"/>
    <mergeCell ref="B24:C24"/>
    <mergeCell ref="D24:E24"/>
    <mergeCell ref="F24:G24"/>
    <mergeCell ref="H24:I24"/>
    <mergeCell ref="F26:G26"/>
    <mergeCell ref="H26:I26"/>
    <mergeCell ref="J26:K26"/>
    <mergeCell ref="L26:M26"/>
    <mergeCell ref="N26:O26"/>
    <mergeCell ref="P33:Q33"/>
    <mergeCell ref="R33:S33"/>
    <mergeCell ref="W33:X33"/>
    <mergeCell ref="R26:S26"/>
    <mergeCell ref="W26:X26"/>
    <mergeCell ref="P26:Q26"/>
    <mergeCell ref="T26:U26"/>
    <mergeCell ref="T33:U33"/>
    <mergeCell ref="J33:K33"/>
    <mergeCell ref="L33:M33"/>
    <mergeCell ref="N33:O33"/>
    <mergeCell ref="B33:C33"/>
    <mergeCell ref="D33:E33"/>
    <mergeCell ref="F33:G33"/>
    <mergeCell ref="H33:I33"/>
    <mergeCell ref="R36:S36"/>
    <mergeCell ref="W36:X36"/>
    <mergeCell ref="P36:Q36"/>
    <mergeCell ref="B36:C36"/>
    <mergeCell ref="D36:E36"/>
    <mergeCell ref="F36:G36"/>
    <mergeCell ref="H36:I36"/>
    <mergeCell ref="J36:K36"/>
    <mergeCell ref="L36:M36"/>
    <mergeCell ref="N36:O36"/>
    <mergeCell ref="T36:U36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W43:X43"/>
    <mergeCell ref="T43:U43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W9:X9"/>
    <mergeCell ref="T9:U9"/>
  </mergeCells>
  <pageMargins left="0.5" right="0.5" top="0.5" bottom="0.5" header="0.25" footer="0.25"/>
  <pageSetup scale="70" orientation="landscape" r:id="rId1"/>
  <headerFooter alignWithMargins="0">
    <oddFooter>&amp;L&amp;9Prepared by Planning and Analysis&amp;C&amp;9&amp;P of &amp;N&amp;R&amp;9Updated &amp;D</oddFooter>
  </headerFooter>
  <rowBreaks count="1" manualBreakCount="1">
    <brk id="41" max="16383" man="1"/>
  </rowBreaks>
  <colBreaks count="1" manualBreakCount="1">
    <brk id="21" max="1048575" man="1"/>
  </colBreaks>
  <ignoredErrors>
    <ignoredError sqref="A58:N91" 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2"/>
  <sheetViews>
    <sheetView tabSelected="1" zoomScaleNormal="100" workbookViewId="0"/>
  </sheetViews>
  <sheetFormatPr defaultRowHeight="12.75" x14ac:dyDescent="0.2"/>
  <cols>
    <col min="1" max="1" width="34.140625" customWidth="1"/>
    <col min="2" max="2" width="6.7109375" hidden="1" customWidth="1"/>
    <col min="3" max="3" width="10.7109375" hidden="1" customWidth="1"/>
    <col min="4" max="4" width="6.7109375" hidden="1" customWidth="1"/>
    <col min="5" max="5" width="10.7109375" hidden="1" customWidth="1"/>
    <col min="6" max="6" width="6.7109375" hidden="1" customWidth="1"/>
    <col min="7" max="7" width="10.7109375" hidden="1" customWidth="1"/>
    <col min="8" max="8" width="6.7109375" hidden="1" customWidth="1"/>
    <col min="9" max="9" width="10.7109375" hidden="1" customWidth="1"/>
    <col min="10" max="10" width="8.5703125" bestFit="1" customWidth="1"/>
    <col min="11" max="11" width="10.7109375" customWidth="1"/>
    <col min="12" max="12" width="6.7109375" customWidth="1"/>
    <col min="13" max="13" width="10.7109375" customWidth="1"/>
    <col min="14" max="14" width="6.7109375" customWidth="1"/>
    <col min="15" max="15" width="10.7109375" customWidth="1"/>
    <col min="16" max="16" width="6.7109375" customWidth="1"/>
    <col min="17" max="17" width="10.7109375" customWidth="1"/>
    <col min="18" max="18" width="6.7109375" customWidth="1"/>
    <col min="19" max="19" width="10.7109375" customWidth="1"/>
    <col min="20" max="20" width="6.7109375" customWidth="1"/>
    <col min="21" max="21" width="10.7109375" customWidth="1"/>
    <col min="22" max="22" width="5.42578125" customWidth="1"/>
    <col min="23" max="23" width="6.7109375" customWidth="1"/>
    <col min="24" max="24" width="10.7109375" customWidth="1"/>
  </cols>
  <sheetData>
    <row r="1" spans="1:25" ht="15.75" x14ac:dyDescent="0.25">
      <c r="A1" s="667" t="s">
        <v>240</v>
      </c>
    </row>
    <row r="2" spans="1:25" ht="15.75" x14ac:dyDescent="0.25">
      <c r="A2" s="667" t="s">
        <v>241</v>
      </c>
    </row>
    <row r="3" spans="1:25" ht="15.75" x14ac:dyDescent="0.25">
      <c r="A3" s="667"/>
    </row>
    <row r="4" spans="1:25" ht="15.75" x14ac:dyDescent="0.25">
      <c r="A4" s="668" t="s">
        <v>291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</row>
    <row r="5" spans="1:25" ht="15.75" x14ac:dyDescent="0.25">
      <c r="A5" s="668"/>
      <c r="L5" s="65" t="s">
        <v>19</v>
      </c>
      <c r="R5" s="65"/>
    </row>
    <row r="6" spans="1:25" x14ac:dyDescent="0.2">
      <c r="A6" s="3" t="s">
        <v>297</v>
      </c>
    </row>
    <row r="7" spans="1:25" x14ac:dyDescent="0.2">
      <c r="A7" s="1074"/>
    </row>
    <row r="8" spans="1:25" ht="13.5" thickBot="1" x14ac:dyDescent="0.25"/>
    <row r="9" spans="1:25" ht="13.5" thickTop="1" x14ac:dyDescent="0.2">
      <c r="A9" s="4"/>
      <c r="B9" s="1401" t="s">
        <v>0</v>
      </c>
      <c r="C9" s="1398"/>
      <c r="D9" s="1401" t="s">
        <v>1</v>
      </c>
      <c r="E9" s="1398"/>
      <c r="F9" s="1401" t="s">
        <v>2</v>
      </c>
      <c r="G9" s="1398"/>
      <c r="H9" s="1401" t="s">
        <v>3</v>
      </c>
      <c r="I9" s="1398"/>
      <c r="J9" s="1401" t="s">
        <v>4</v>
      </c>
      <c r="K9" s="1398"/>
      <c r="L9" s="1401" t="s">
        <v>5</v>
      </c>
      <c r="M9" s="1398"/>
      <c r="N9" s="1401" t="s">
        <v>6</v>
      </c>
      <c r="O9" s="1398"/>
      <c r="P9" s="1401" t="s">
        <v>7</v>
      </c>
      <c r="Q9" s="1398"/>
      <c r="R9" s="1401" t="s">
        <v>8</v>
      </c>
      <c r="S9" s="1398"/>
      <c r="T9" s="1401" t="s">
        <v>301</v>
      </c>
      <c r="U9" s="1402"/>
      <c r="V9" s="85"/>
      <c r="W9" s="1419"/>
      <c r="X9" s="1419"/>
      <c r="Y9" s="85"/>
    </row>
    <row r="10" spans="1:25" ht="24.75" thickBot="1" x14ac:dyDescent="0.25">
      <c r="A10" s="70" t="s">
        <v>292</v>
      </c>
      <c r="B10" s="784" t="s">
        <v>262</v>
      </c>
      <c r="C10" s="783" t="s">
        <v>263</v>
      </c>
      <c r="D10" s="784" t="s">
        <v>262</v>
      </c>
      <c r="E10" s="783" t="s">
        <v>263</v>
      </c>
      <c r="F10" s="782" t="s">
        <v>262</v>
      </c>
      <c r="G10" s="783" t="s">
        <v>263</v>
      </c>
      <c r="H10" s="782" t="s">
        <v>262</v>
      </c>
      <c r="I10" s="783" t="s">
        <v>263</v>
      </c>
      <c r="J10" s="782" t="s">
        <v>262</v>
      </c>
      <c r="K10" s="783" t="s">
        <v>263</v>
      </c>
      <c r="L10" s="782" t="s">
        <v>262</v>
      </c>
      <c r="M10" s="783" t="s">
        <v>263</v>
      </c>
      <c r="N10" s="782" t="s">
        <v>262</v>
      </c>
      <c r="O10" s="783" t="s">
        <v>263</v>
      </c>
      <c r="P10" s="782" t="s">
        <v>262</v>
      </c>
      <c r="Q10" s="1075" t="s">
        <v>263</v>
      </c>
      <c r="R10" s="782" t="s">
        <v>262</v>
      </c>
      <c r="S10" s="1330" t="s">
        <v>263</v>
      </c>
      <c r="T10" s="884" t="s">
        <v>262</v>
      </c>
      <c r="U10" s="785" t="s">
        <v>263</v>
      </c>
      <c r="V10" s="85"/>
      <c r="W10" s="1076"/>
      <c r="X10" s="1076"/>
      <c r="Y10" s="85"/>
    </row>
    <row r="11" spans="1:25" x14ac:dyDescent="0.2">
      <c r="A11" s="1077" t="s">
        <v>172</v>
      </c>
      <c r="B11" s="1188">
        <f>'Dean''s Office'!B19+'Dean''s Office'!B23+'Dean''s Office'!B27+'Dean''s Office'!B41+'Dean''s Office'!B45+'Amer Ethnic Studies'!B15+Art!B15+Biochemistry!B15+Biology!B14+Biology!B21+Biology!B25+Chemistry!B14+'Comm Studies'!B15+Economics!B15+English!B15+Geography!B14+Geology!B14+Hist!B15+JMC!B15+Math!B14+'Modern Language'!B15+'Music Theatre Dance'!B15+'Music Theatre Dance'!B22+'Music Theatre Dance'!B26+Philosophy!B15+Physics!B14+'Political Science'!B15+Psych!B15+SASW!B15+SASW!B21+SASW!B25+Stats!B14+'Gender,Women &amp;Sexuality Studies'!B15</f>
        <v>5028</v>
      </c>
      <c r="C11" s="1186">
        <f>'Dean''s Office'!C19+'Dean''s Office'!C23+'Dean''s Office'!C27+'Dean''s Office'!C41+'Dean''s Office'!C45+'Amer Ethnic Studies'!C15+Art!C15+Biochemistry!C15+Biology!C14+Biology!C21+Biology!C25+Chemistry!C14+'Comm Studies'!C15+Economics!C15+English!C15+Geography!C14+Geology!C14+Hist!C15+JMC!C15+Math!C14+'Modern Language'!C15+'Music Theatre Dance'!C15+'Music Theatre Dance'!C22+'Music Theatre Dance'!C26+Philosophy!C15+Physics!C14+'Political Science'!C15+Psych!C15+SASW!C15+SASW!C21+SASW!C25+Stats!C14+'Gender,Women &amp;Sexuality Studies'!C15</f>
        <v>1120</v>
      </c>
      <c r="D11" s="1188">
        <f>'Dean''s Office'!D19+'Dean''s Office'!D23+'Dean''s Office'!D27+'Dean''s Office'!D41+'Dean''s Office'!D45+'Amer Ethnic Studies'!D15+Art!D15+Biochemistry!D15+Biology!D14+Biology!D21+Biology!D25+Chemistry!D14+'Comm Studies'!D15+Economics!D15+English!D15+Geography!D14+Geology!D14+Hist!D15+JMC!D15+Math!D14+'Modern Language'!D15+'Music Theatre Dance'!D15+'Music Theatre Dance'!D22+'Music Theatre Dance'!D26+Philosophy!D15+Physics!D14+'Political Science'!D15+Psych!D15+SASW!D15+SASW!D21+SASW!D25+Stats!D14+'Gender,Women &amp;Sexuality Studies'!D15</f>
        <v>5249</v>
      </c>
      <c r="E11" s="1186">
        <f>'Dean''s Office'!E19+'Dean''s Office'!E23+'Dean''s Office'!E27+'Dean''s Office'!E41+'Dean''s Office'!E45+'Amer Ethnic Studies'!E15+Art!E15+Biochemistry!E15+Biology!E14+Biology!E21+Biology!E25+Chemistry!E14+'Comm Studies'!E15+Economics!E15+English!E15+Geography!E14+Geology!E14+Hist!E15+JMC!E15+Math!E14+'Modern Language'!E15+'Music Theatre Dance'!E15+'Music Theatre Dance'!E22+'Music Theatre Dance'!E26+Philosophy!E15+Physics!E14+'Political Science'!E15+Psych!E15+SASW!E15+SASW!E21+SASW!E25+Stats!E14+'Gender,Women &amp;Sexuality Studies'!E15</f>
        <v>1126</v>
      </c>
      <c r="F11" s="1188">
        <f>'Dean''s Office'!F19+'Dean''s Office'!F23+'Dean''s Office'!F27+'Dean''s Office'!F41+'Dean''s Office'!F45+'Amer Ethnic Studies'!F15+Art!F15+Biochemistry!F15+Biology!F14+Biology!F21+Biology!F25+Chemistry!F14+'Comm Studies'!F15+Economics!F15+English!F15+Geography!F14+Geology!F14+Hist!F15+JMC!F15+Math!F14+'Modern Language'!F15+'Music Theatre Dance'!F15+'Music Theatre Dance'!F22+'Music Theatre Dance'!F26+Philosophy!F15+Physics!F14+'Political Science'!F15+Psych!F15+SASW!F15+SASW!F21+SASW!F25+Stats!F14+'Gender,Women &amp;Sexuality Studies'!F15</f>
        <v>5262</v>
      </c>
      <c r="G11" s="1186">
        <f>'Dean''s Office'!G19+'Dean''s Office'!G23+'Dean''s Office'!G27+'Dean''s Office'!G41+'Dean''s Office'!G45+'Amer Ethnic Studies'!G15+Art!G15+Biochemistry!G15+Biology!G14+Biology!G21+Biology!G25+Chemistry!G14+'Comm Studies'!G15+Economics!G15+English!G15+Geography!G14+Geology!G14+Hist!G15+JMC!G15+Math!G14+'Modern Language'!G15+'Music Theatre Dance'!G15+'Music Theatre Dance'!G22+'Music Theatre Dance'!G26+Philosophy!G15+Physics!G14+'Political Science'!G15+Psych!G15+SASW!G15+SASW!G21+SASW!G25+Stats!G14+'Gender,Women &amp;Sexuality Studies'!G15</f>
        <v>1011</v>
      </c>
      <c r="H11" s="1188">
        <f>'Dean''s Office'!H19+'Dean''s Office'!H23+'Dean''s Office'!H27+'Dean''s Office'!H41+'Dean''s Office'!H45+'Amer Ethnic Studies'!H15+Art!H15+Biochemistry!H15+Biology!H14+Biology!H21+Biology!H25+Chemistry!H14+'Comm Studies'!H15+Economics!H15+English!H15+Geography!H14+Geology!H14+Hist!H15+JMC!H15+Math!H14+'Modern Language'!H15+'Music Theatre Dance'!H15+'Music Theatre Dance'!H22+'Music Theatre Dance'!H26+Philosophy!H15+Physics!H14+'Political Science'!H15+Psych!H15+SASW!H15+SASW!H21+SASW!H25+Stats!H14+'Gender,Women &amp;Sexuality Studies'!H15</f>
        <v>5521</v>
      </c>
      <c r="I11" s="1186">
        <f>'Dean''s Office'!I19+'Dean''s Office'!I23+'Dean''s Office'!I27+'Dean''s Office'!I41+'Dean''s Office'!I45+'Amer Ethnic Studies'!I15+Art!I15+Biochemistry!I15+Biology!I14+Biology!I21+Biology!I25+Chemistry!I14+'Comm Studies'!I15+Economics!I15+English!I15+Geography!I14+Geology!I14+Hist!I15+JMC!I15+Math!I14+'Modern Language'!I15+'Music Theatre Dance'!I15+'Music Theatre Dance'!I22+'Music Theatre Dance'!I26+Philosophy!I15+Physics!I14+'Political Science'!I15+Psych!I15+SASW!I15+SASW!I21+SASW!I25+Stats!I14+'Gender,Women &amp;Sexuality Studies'!I15</f>
        <v>1053</v>
      </c>
      <c r="J11" s="1188">
        <f>'Dean''s Office'!J19+'Dean''s Office'!J23+'Dean''s Office'!J27+'Dean''s Office'!J41+'Dean''s Office'!J45+'Amer Ethnic Studies'!J15+Art!J15+Biochemistry!J15+Biology!J14+Biology!J21+Biology!J25+Chemistry!J14+'Comm Studies'!J15+Economics!J15+English!J15+Geography!J14+Geology!J14+Hist!J15+JMC!J15+Math!J14+'Modern Language'!J15+'Music Theatre Dance'!J15+'Music Theatre Dance'!J22+'Music Theatre Dance'!J26+Philosophy!J15+Physics!J14+'Political Science'!J15+Psych!J15+SASW!J15+SASW!J21+SASW!J25+Stats!J14+'Gender,Women &amp;Sexuality Studies'!J15</f>
        <v>5634</v>
      </c>
      <c r="K11" s="1186">
        <f>'Dean''s Office'!K19+'Dean''s Office'!K23+'Dean''s Office'!K27+'Dean''s Office'!K41+'Dean''s Office'!K45+'Amer Ethnic Studies'!K15+Art!K15+Biochemistry!K15+Biology!K14+Biology!K21+Biology!K25+Chemistry!K14+'Comm Studies'!K15+Economics!K15+English!K15+Geography!K14+Geology!K14+Hist!K15+JMC!K15+Math!K14+'Modern Language'!K15+'Music Theatre Dance'!K15+'Music Theatre Dance'!K22+'Music Theatre Dance'!K26+Philosophy!K15+Physics!K14+'Political Science'!K15+Psych!K15+SASW!K15+SASW!K21+SASW!K25+Stats!K14+'Gender,Women &amp;Sexuality Studies'!K15</f>
        <v>1161</v>
      </c>
      <c r="L11" s="1188">
        <f>'Dean''s Office'!L19+'Dean''s Office'!L23+'Dean''s Office'!L27+'Dean''s Office'!L41+'Dean''s Office'!L45+'Amer Ethnic Studies'!L15+Art!L15+Biochemistry!L15+Biology!L14+Biology!L21+Biology!L25+Chemistry!L14+'Comm Studies'!L15+Economics!L15+English!L15+Geography!L14+Geology!L14+Hist!L15+JMC!L15+Math!L14+'Modern Language'!L15+'Music Theatre Dance'!L15+'Music Theatre Dance'!L22+'Music Theatre Dance'!L26+Philosophy!L15+Physics!L14+'Political Science'!L15+Psych!L15+SASW!L15+SASW!L21+SASW!L25+Stats!L14+'Gender,Women &amp;Sexuality Studies'!L15</f>
        <v>5656</v>
      </c>
      <c r="M11" s="1186">
        <f>'Dean''s Office'!M19+'Dean''s Office'!M23+'Dean''s Office'!M27+'Dean''s Office'!M41+'Dean''s Office'!M45+'Amer Ethnic Studies'!M15+Art!M15+Biochemistry!M15+Biology!M14+Biology!M21+Biology!M25+Chemistry!M14+'Comm Studies'!M15+Economics!M15+English!M15+Geography!M14+Geology!M14+Hist!M15+JMC!M15+Math!M14+'Modern Language'!M15+'Music Theatre Dance'!M15+'Music Theatre Dance'!M22+'Music Theatre Dance'!M26+Philosophy!M15+Physics!M14+'Political Science'!M15+Psych!M15+SASW!M15+SASW!M21+SASW!M25+Stats!M14+'Gender,Women &amp;Sexuality Studies'!M15</f>
        <v>1162</v>
      </c>
      <c r="N11" s="1188">
        <f>'Dean''s Office'!N19+'Dean''s Office'!N23+'Dean''s Office'!N27+'Dean''s Office'!N41+'Dean''s Office'!N45+'Amer Ethnic Studies'!N15+Art!N15+Biochemistry!N15+Biology!N14+Biology!N21+Biology!N25+Chemistry!N14+'Comm Studies'!N15+Economics!N15+English!N15+Geography!N14+Geology!N14+Hist!N15+JMC!N15+Math!N14+'Modern Language'!N15+'Music Theatre Dance'!N15+'Music Theatre Dance'!N22+'Music Theatre Dance'!N26+Philosophy!N15+Physics!N14+'Political Science'!N15+Psych!N15+SASW!N15+SASW!N21+SASW!N25+Stats!N14+'Gender,Women &amp;Sexuality Studies'!N15</f>
        <v>5591</v>
      </c>
      <c r="O11" s="1186">
        <f>'Dean''s Office'!O19+'Dean''s Office'!O23+'Dean''s Office'!O27+'Dean''s Office'!O41+'Dean''s Office'!O45+'Amer Ethnic Studies'!O15+Art!O15+Biochemistry!O15+Biology!O14+Biology!O21+Biology!O25+Chemistry!O14+'Comm Studies'!O15+Economics!O15+English!O15+Geography!O14+Geology!O14+Hist!O15+JMC!O15+Math!O14+'Modern Language'!O15+'Music Theatre Dance'!O15+'Music Theatre Dance'!O22+'Music Theatre Dance'!O26+Philosophy!O15+Physics!O14+'Political Science'!O15+Psych!O15+SASW!O15+SASW!O21+SASW!O25+Stats!O14+'Gender,Women &amp;Sexuality Studies'!O15</f>
        <v>1197</v>
      </c>
      <c r="P11" s="1188">
        <f>'Dean''s Office'!P19+'Dean''s Office'!P23+'Dean''s Office'!P27+'Dean''s Office'!P41+'Dean''s Office'!P45+'Amer Ethnic Studies'!P15+Art!P15+Biochemistry!P15+Biology!P14+Biology!P21+Biology!P25+Chemistry!P14+'Comm Studies'!P15+Economics!P15+English!P15+Geography!P14+Geology!P14+Hist!P15+JMC!P15+Math!P14+'Modern Language'!P15+'Music Theatre Dance'!P15+'Music Theatre Dance'!P22+'Music Theatre Dance'!P26+Philosophy!P15+Physics!P14+'Political Science'!P15+Psych!P15+SASW!P15+SASW!P21+SASW!P25+Stats!P14+'Gender,Women &amp;Sexuality Studies'!P15</f>
        <v>5434</v>
      </c>
      <c r="Q11" s="1186">
        <f>'Dean''s Office'!Q19+'Dean''s Office'!Q23+'Dean''s Office'!Q27+'Dean''s Office'!Q41+'Dean''s Office'!Q45+'Amer Ethnic Studies'!Q15+Art!Q15+Biochemistry!Q15+Biology!Q14+Biology!Q21+Biology!Q25+Chemistry!Q14+'Comm Studies'!Q15+Economics!Q15+English!Q15+Geography!Q14+Geology!Q14+Hist!Q15+JMC!Q15+Math!Q14+'Modern Language'!Q15+'Music Theatre Dance'!Q15+'Music Theatre Dance'!Q22+'Music Theatre Dance'!Q26+Philosophy!Q15+Physics!Q14+'Political Science'!Q15+Psych!Q15+SASW!Q15+SASW!Q21+SASW!Q25+Stats!Q14+'Gender,Women &amp;Sexuality Studies'!Q15</f>
        <v>1170</v>
      </c>
      <c r="R11" s="1188">
        <f>'Dean''s Office'!R19+'Dean''s Office'!R23+'Dean''s Office'!R27+'Dean''s Office'!R41+'Dean''s Office'!R45+'Amer Ethnic Studies'!R15+Art!R15+Biochemistry!R15+Biology!R14+Biology!R21+Biology!R25+Chemistry!R14+'Comm Studies'!R15+Economics!R15+English!R15+Geography!R14+Geology!R14+Hist!R15+JMC!R15+Math!R14+'Modern Language'!R15+'Music Theatre Dance'!R15+'Music Theatre Dance'!R22+'Music Theatre Dance'!R26+Philosophy!R15+Physics!R14+'Political Science'!R15+Psych!R15+SASW!R15+SASW!R21+SASW!R25+Stats!R14+'Gender,Women &amp;Sexuality Studies'!R15</f>
        <v>5229</v>
      </c>
      <c r="S11" s="1186">
        <f>'Dean''s Office'!S19+'Dean''s Office'!S23+'Dean''s Office'!S27+'Dean''s Office'!S41+'Dean''s Office'!S45+'Amer Ethnic Studies'!S15+Art!S15+Biochemistry!S15+Biology!S14+Biology!S21+Biology!S25+Chemistry!S14+'Comm Studies'!S15+Economics!S15+English!S15+Geography!S14+Geology!S14+Hist!S15+JMC!S15+Math!S14+'Modern Language'!S15+'Music Theatre Dance'!S15+'Music Theatre Dance'!S22+'Music Theatre Dance'!S26+Philosophy!S15+Physics!S14+'Political Science'!S15+Psych!S15+SASW!S15+SASW!S21+SASW!S25+Stats!S14+'Gender,Women &amp;Sexuality Studies'!S15</f>
        <v>1182</v>
      </c>
      <c r="T11" s="1355">
        <f>'Dean''s Office'!T19+'Dean''s Office'!T23+'Dean''s Office'!T27+'Dean''s Office'!T41+'Dean''s Office'!T45+'Amer Ethnic Studies'!T15+Art!T15+Biochemistry!T15+Biology!T14+Biology!T21+Biology!T25+Chemistry!T14+'Comm Studies'!T15+Economics!T15+English!T15+Geography!T14+Geology!T14+Hist!T15+JMC!T15+Math!T14+'Modern Language'!T15+'Music Theatre Dance'!T15+'Music Theatre Dance'!T22+'Music Theatre Dance'!T26+Philosophy!T15+Physics!T14+'Political Science'!T15+Psych!T15+SASW!T15+SASW!T21+SASW!T25+Stats!T14+'Gender,Women &amp;Sexuality Studies'!T15</f>
        <v>4973</v>
      </c>
      <c r="U11" s="1331"/>
      <c r="V11" s="85"/>
      <c r="W11" s="85"/>
      <c r="X11" s="473"/>
      <c r="Y11" s="85"/>
    </row>
    <row r="12" spans="1:25" x14ac:dyDescent="0.2">
      <c r="A12" s="1201" t="s">
        <v>177</v>
      </c>
      <c r="B12" s="1189">
        <f>'Dean''s Office'!B31+'Dean''s Office'!B47+'Dean''s Office'!B49+'Dean''s Office'!B51+'Dean''s Office'!B53+'Dean''s Office'!B55+'Dean''s Office'!B57+'Dean''s Office'!B59+'Dean''s Office'!B61+'Dean''s Office'!B63+'Dean''s Office'!B65+'Dean''s Office'!B67+'Dean''s Office'!B69+'Dean''s Office'!B71+'Dean''s Office'!B77+'Dean''s Office'!B78</f>
        <v>2713</v>
      </c>
      <c r="C12" s="1212" t="s">
        <v>300</v>
      </c>
      <c r="D12" s="1189">
        <f>'Dean''s Office'!D31+'Dean''s Office'!D47+'Dean''s Office'!D49+'Dean''s Office'!D51+'Dean''s Office'!D53+'Dean''s Office'!D55+'Dean''s Office'!D57+'Dean''s Office'!D59+'Dean''s Office'!D61+'Dean''s Office'!D63+'Dean''s Office'!D65+'Dean''s Office'!D67+'Dean''s Office'!D69+'Dean''s Office'!D71+'Dean''s Office'!D77+'Dean''s Office'!D78</f>
        <v>2942</v>
      </c>
      <c r="E12" s="1212" t="s">
        <v>300</v>
      </c>
      <c r="F12" s="1189">
        <f>'Dean''s Office'!F31+'Dean''s Office'!F47+'Dean''s Office'!F49+'Dean''s Office'!F51+'Dean''s Office'!F53+'Dean''s Office'!F55+'Dean''s Office'!F57+'Dean''s Office'!F59+'Dean''s Office'!F61+'Dean''s Office'!F63+'Dean''s Office'!F65+'Dean''s Office'!F67+'Dean''s Office'!F69+'Dean''s Office'!F71+'Dean''s Office'!F77+'Dean''s Office'!F78</f>
        <v>2739</v>
      </c>
      <c r="G12" s="1212" t="s">
        <v>300</v>
      </c>
      <c r="H12" s="1189">
        <f>'Dean''s Office'!H31+'Dean''s Office'!H47+'Dean''s Office'!H49+'Dean''s Office'!H51+'Dean''s Office'!H53+'Dean''s Office'!H55+'Dean''s Office'!H57+'Dean''s Office'!H59+'Dean''s Office'!H61+'Dean''s Office'!H63+'Dean''s Office'!H65+'Dean''s Office'!H67+'Dean''s Office'!H69+'Dean''s Office'!H71+'Dean''s Office'!H77+'Dean''s Office'!H78</f>
        <v>2495</v>
      </c>
      <c r="I12" s="1212" t="s">
        <v>300</v>
      </c>
      <c r="J12" s="1189">
        <f>'Dean''s Office'!J31+'Dean''s Office'!J47+'Dean''s Office'!J49+'Dean''s Office'!J51+'Dean''s Office'!J53+'Dean''s Office'!J55+'Dean''s Office'!J57+'Dean''s Office'!J59+'Dean''s Office'!J61+'Dean''s Office'!J63+'Dean''s Office'!J65+'Dean''s Office'!J67+'Dean''s Office'!J69+'Dean''s Office'!J71+'Dean''s Office'!J77+'Dean''s Office'!J78</f>
        <v>2317</v>
      </c>
      <c r="K12" s="1212" t="s">
        <v>300</v>
      </c>
      <c r="L12" s="1189">
        <f>'Dean''s Office'!L31+'Dean''s Office'!L47+'Dean''s Office'!L49+'Dean''s Office'!L51+'Dean''s Office'!L53+'Dean''s Office'!L55+'Dean''s Office'!L57+'Dean''s Office'!L59+'Dean''s Office'!L61+'Dean''s Office'!L63+'Dean''s Office'!L65+'Dean''s Office'!L67+'Dean''s Office'!L69+'Dean''s Office'!L71+'Dean''s Office'!L77+'Dean''s Office'!L78</f>
        <v>3032</v>
      </c>
      <c r="M12" s="1212" t="s">
        <v>300</v>
      </c>
      <c r="N12" s="1189">
        <f>'Dean''s Office'!N31+'Dean''s Office'!N47+'Dean''s Office'!N49+'Dean''s Office'!N51+'Dean''s Office'!N53+'Dean''s Office'!N55+'Dean''s Office'!N57+'Dean''s Office'!N59+'Dean''s Office'!N61+'Dean''s Office'!N63+'Dean''s Office'!N65+'Dean''s Office'!N67+'Dean''s Office'!N69+'Dean''s Office'!N71+'Dean''s Office'!N77+'Dean''s Office'!N78</f>
        <v>3443</v>
      </c>
      <c r="O12" s="1212" t="s">
        <v>300</v>
      </c>
      <c r="P12" s="1189">
        <f>'Dean''s Office'!P31+'Dean''s Office'!P47+'Dean''s Office'!P49+'Dean''s Office'!P51+'Dean''s Office'!P53+'Dean''s Office'!P55+'Dean''s Office'!P57+'Dean''s Office'!P59+'Dean''s Office'!P61+'Dean''s Office'!P63+'Dean''s Office'!P65+'Dean''s Office'!P67+'Dean''s Office'!P69+'Dean''s Office'!P71+'Dean''s Office'!P77+'Dean''s Office'!P78</f>
        <v>2838</v>
      </c>
      <c r="Q12" s="1212" t="s">
        <v>300</v>
      </c>
      <c r="R12" s="1189">
        <f>'Dean''s Office'!R31+'Dean''s Office'!R47+'Dean''s Office'!R49+'Dean''s Office'!R51+'Dean''s Office'!R53+'Dean''s Office'!R55+'Dean''s Office'!R57+'Dean''s Office'!R59+'Dean''s Office'!R61+'Dean''s Office'!R63+'Dean''s Office'!R65+'Dean''s Office'!R67+'Dean''s Office'!R69+'Dean''s Office'!R71+'Dean''s Office'!R77+'Dean''s Office'!R78</f>
        <v>2684</v>
      </c>
      <c r="S12" s="1212" t="s">
        <v>300</v>
      </c>
      <c r="T12" s="1217">
        <f>'Dean''s Office'!T31+'Dean''s Office'!T47+'Dean''s Office'!T49+'Dean''s Office'!T51+'Dean''s Office'!T53+'Dean''s Office'!T55+'Dean''s Office'!T57+'Dean''s Office'!T59+'Dean''s Office'!T61+'Dean''s Office'!T63+'Dean''s Office'!T65+'Dean''s Office'!T67+'Dean''s Office'!T69+'Dean''s Office'!T71+'Dean''s Office'!T77+'Dean''s Office'!T78</f>
        <v>2690</v>
      </c>
      <c r="U12" s="1332"/>
      <c r="V12" s="85"/>
      <c r="W12" s="85"/>
      <c r="X12" s="85"/>
      <c r="Y12" s="85"/>
    </row>
    <row r="13" spans="1:25" x14ac:dyDescent="0.2">
      <c r="A13" s="1201" t="s">
        <v>299</v>
      </c>
      <c r="B13" s="1189">
        <f>'Dean''s Office'!B35+'Dean''s Office'!B37+'Amer Ethnic Studies'!B17</f>
        <v>105</v>
      </c>
      <c r="C13" s="1187"/>
      <c r="D13" s="1189">
        <f>'Dean''s Office'!D35+'Dean''s Office'!D37+'Amer Ethnic Studies'!D17</f>
        <v>85</v>
      </c>
      <c r="E13" s="1187"/>
      <c r="F13" s="1189">
        <f>'Dean''s Office'!F35+'Dean''s Office'!F37+'Amer Ethnic Studies'!F17</f>
        <v>97</v>
      </c>
      <c r="G13" s="1187">
        <f>'Dean''s Office'!G35+'Dean''s Office'!G37+'Amer Ethnic Studies'!G17</f>
        <v>35</v>
      </c>
      <c r="H13" s="1189">
        <f>'Dean''s Office'!H35+'Dean''s Office'!H37+'Amer Ethnic Studies'!H17</f>
        <v>73</v>
      </c>
      <c r="I13" s="1187">
        <f>'Dean''s Office'!I35+'Dean''s Office'!I37+'Amer Ethnic Studies'!I17</f>
        <v>25</v>
      </c>
      <c r="J13" s="1189">
        <f>'Dean''s Office'!J35+'Dean''s Office'!J37+'Amer Ethnic Studies'!J17</f>
        <v>68</v>
      </c>
      <c r="K13" s="1187">
        <f>'Dean''s Office'!K35+'Dean''s Office'!K37+'Amer Ethnic Studies'!K17</f>
        <v>25</v>
      </c>
      <c r="L13" s="1189">
        <f>'Dean''s Office'!L35+'Dean''s Office'!L37+'Amer Ethnic Studies'!L17</f>
        <v>49</v>
      </c>
      <c r="M13" s="1187">
        <f>'Dean''s Office'!M35+'Dean''s Office'!M37+'Amer Ethnic Studies'!M17</f>
        <v>18</v>
      </c>
      <c r="N13" s="1189">
        <f>'Dean''s Office'!N35+'Dean''s Office'!N37+'Amer Ethnic Studies'!N17</f>
        <v>45</v>
      </c>
      <c r="O13" s="1187">
        <f>'Dean''s Office'!O35+'Dean''s Office'!O37+'Amer Ethnic Studies'!O17</f>
        <v>13</v>
      </c>
      <c r="P13" s="1189">
        <f>'Dean''s Office'!P35+'Dean''s Office'!P37+'Amer Ethnic Studies'!P17</f>
        <v>51</v>
      </c>
      <c r="Q13" s="1187">
        <f>'Dean''s Office'!Q35+'Dean''s Office'!Q37+'Amer Ethnic Studies'!Q17</f>
        <v>15</v>
      </c>
      <c r="R13" s="1189">
        <f>'Dean''s Office'!R35+'Dean''s Office'!R37+'Amer Ethnic Studies'!R17</f>
        <v>42</v>
      </c>
      <c r="S13" s="1187">
        <f>'Dean''s Office'!S35+'Dean''s Office'!S37+'Amer Ethnic Studies'!S17</f>
        <v>17</v>
      </c>
      <c r="T13" s="1217">
        <f>'Dean''s Office'!T35+'Dean''s Office'!T37+'Amer Ethnic Studies'!T17</f>
        <v>47</v>
      </c>
      <c r="U13" s="1333"/>
      <c r="V13" s="85"/>
      <c r="W13" s="85" t="s">
        <v>19</v>
      </c>
      <c r="X13" s="85"/>
      <c r="Y13" s="85"/>
    </row>
    <row r="14" spans="1:25" x14ac:dyDescent="0.2">
      <c r="A14" s="1078" t="s">
        <v>18</v>
      </c>
      <c r="B14" s="1189">
        <f>'Dean''s Office'!B73+'Amer Ethnic Studies'!B16+Art!B16+Biology!B15+Chemistry!B15+'Comm Studies'!B17+Economics!B16+English!B16+Geography!B15+Geology!B15+Hist!B16+JMC!B16+Math!B15+'Modern Language'!B16+'Modern Language'!B18+'Modern Language'!B19+'Modern Language'!B20+'Modern Language'!B21+'Modern Language'!B22+'Modern Language'!B23+'Modern Language'!B24+'Music Theatre Dance'!B16+'Music Theatre Dance'!B17+Philosophy!B16+Physics!B15+'Political Science'!B16+SASW!B26+Stats!B15+'Gender,Women &amp;Sexuality Studies'!B16+'Music Theatre Dance'!B27+'Music Theatre Dance'!B28+'Gender,Women &amp;Sexuality Studies'!B19</f>
        <v>705</v>
      </c>
      <c r="C14" s="1187">
        <f>'Dean''s Office'!C73+'Amer Ethnic Studies'!C16+Art!C16+Biology!C15+Chemistry!C15+'Comm Studies'!C17+Economics!C16+English!C16+Geography!C15+Geology!C15+Hist!C16+JMC!C16+Math!C15+'Modern Language'!C16+'Modern Language'!C18+'Modern Language'!C19+'Modern Language'!C20+'Modern Language'!C21+'Modern Language'!C22+'Modern Language'!C23+'Modern Language'!C24+'Music Theatre Dance'!C16+'Music Theatre Dance'!C17+Philosophy!C16+Physics!C15+'Political Science'!C16+SASW!C26+Stats!C15+'Gender,Women &amp;Sexuality Studies'!C16+'Music Theatre Dance'!C27+'Music Theatre Dance'!C28+'Gender,Women &amp;Sexuality Studies'!C19</f>
        <v>277</v>
      </c>
      <c r="D14" s="1189">
        <f>'Dean''s Office'!D73+'Amer Ethnic Studies'!D16+Art!D16+Biology!D15+Chemistry!D15+'Comm Studies'!D17+Economics!D16+English!D16+Geography!D15+Geology!D15+Hist!D16+JMC!D16+Math!D15+'Modern Language'!D16+'Modern Language'!D18+'Modern Language'!D19+'Modern Language'!D20+'Modern Language'!D21+'Modern Language'!D22+'Modern Language'!D23+'Modern Language'!D24+'Music Theatre Dance'!D16+'Music Theatre Dance'!D17+Philosophy!D16+Physics!D15+'Political Science'!D16+SASW!D26+Stats!D15+'Gender,Women &amp;Sexuality Studies'!D16+'Music Theatre Dance'!D27+'Music Theatre Dance'!D28+'Gender,Women &amp;Sexuality Studies'!D19</f>
        <v>615</v>
      </c>
      <c r="E14" s="1187">
        <f>'Dean''s Office'!E73+'Amer Ethnic Studies'!E16+Art!E16+Biology!E15+Chemistry!E15+'Comm Studies'!E17+Economics!E16+English!E16+Geography!E15+Geology!E15+Hist!E16+JMC!E16+Math!E15+'Modern Language'!E16+'Modern Language'!E18+'Modern Language'!E19+'Modern Language'!E20+'Modern Language'!E21+'Modern Language'!E22+'Modern Language'!E23+'Modern Language'!E24+'Music Theatre Dance'!E16+'Music Theatre Dance'!E17+Philosophy!E16+Physics!E15+'Political Science'!E16+SASW!E26+Stats!E15+'Gender,Women &amp;Sexuality Studies'!E16+'Music Theatre Dance'!E27+'Music Theatre Dance'!E28+'Gender,Women &amp;Sexuality Studies'!E19</f>
        <v>312</v>
      </c>
      <c r="F14" s="1189">
        <f>'Dean''s Office'!F73+'Amer Ethnic Studies'!F16+Art!F16+Biology!F15+Chemistry!F15+'Comm Studies'!F17+Economics!F16+English!F16+Geography!F15+Geology!F15+Hist!F16+JMC!F16+Math!F15+'Modern Language'!F16+'Modern Language'!F18+'Modern Language'!F19+'Modern Language'!F20+'Modern Language'!F21+'Modern Language'!F22+'Modern Language'!F23+'Modern Language'!F24+'Music Theatre Dance'!F16+'Music Theatre Dance'!F17+Philosophy!F16+Physics!F15+'Political Science'!F16+SASW!F26+Stats!F15+'Gender,Women &amp;Sexuality Studies'!F16+'Music Theatre Dance'!F27+'Music Theatre Dance'!F28+'Gender,Women &amp;Sexuality Studies'!F19</f>
        <v>620</v>
      </c>
      <c r="G14" s="1187">
        <f>'Dean''s Office'!G73+'Amer Ethnic Studies'!G16+Art!G16+Biology!G15+Chemistry!G15+'Comm Studies'!G17+Economics!G16+English!G16+Geography!G15+Geology!G15+Hist!G16+JMC!G16+Math!G15+'Modern Language'!G16+'Modern Language'!G18+'Modern Language'!G19+'Modern Language'!G20+'Modern Language'!G21+'Modern Language'!G22+'Modern Language'!G23+'Modern Language'!G24+'Music Theatre Dance'!G16+'Music Theatre Dance'!G17+Philosophy!G16+Physics!G15+'Political Science'!G16+SASW!G26+Stats!G15+'Gender,Women &amp;Sexuality Studies'!G16+'Music Theatre Dance'!G27+'Music Theatre Dance'!G28+'Gender,Women &amp;Sexuality Studies'!G19</f>
        <v>257</v>
      </c>
      <c r="H14" s="1189">
        <f>'Dean''s Office'!H73+'Amer Ethnic Studies'!H16+Art!H16+Biology!H15+Chemistry!H15+'Comm Studies'!H17+Economics!H16+English!H16+Geography!H15+Geology!H15+Hist!H16+JMC!H16+Math!H15+'Modern Language'!H16+'Modern Language'!H18+'Modern Language'!H19+'Modern Language'!H20+'Modern Language'!H21+'Modern Language'!H22+'Modern Language'!H23+'Modern Language'!H24+'Music Theatre Dance'!H16+'Music Theatre Dance'!H17+Philosophy!H16+Physics!H15+'Political Science'!H16+SASW!H26+Stats!H15+'Gender,Women &amp;Sexuality Studies'!H16+'Music Theatre Dance'!H27+'Music Theatre Dance'!H28+'Gender,Women &amp;Sexuality Studies'!H19</f>
        <v>722</v>
      </c>
      <c r="I14" s="1187">
        <f>'Dean''s Office'!I73+'Amer Ethnic Studies'!I16+Art!I16+Biology!I15+Chemistry!I15+'Comm Studies'!I17+Economics!I16+English!I16+Geography!I15+Geology!I15+Hist!I16+JMC!I16+Math!I15+'Modern Language'!I16+'Modern Language'!I18+'Modern Language'!I19+'Modern Language'!I20+'Modern Language'!I21+'Modern Language'!I22+'Modern Language'!I23+'Modern Language'!I24+'Music Theatre Dance'!I16+'Music Theatre Dance'!I17+Philosophy!I16+Physics!I15+'Political Science'!I16+SASW!I26+Stats!I15+'Gender,Women &amp;Sexuality Studies'!I16+'Music Theatre Dance'!I27+'Music Theatre Dance'!I28+'Gender,Women &amp;Sexuality Studies'!I19</f>
        <v>219</v>
      </c>
      <c r="J14" s="1189">
        <f>'Dean''s Office'!J73+'Amer Ethnic Studies'!J16+Art!J16+Biology!J15+Chemistry!J15+'Comm Studies'!J17+Economics!J16+English!J16+Geography!J15+Geology!J15+Hist!J16+JMC!J16+Math!J15+'Modern Language'!J16+'Modern Language'!J18+'Modern Language'!J19+'Modern Language'!J20+'Modern Language'!J21+'Modern Language'!J22+'Modern Language'!J23+'Modern Language'!J24+'Music Theatre Dance'!J16+'Music Theatre Dance'!J17+Philosophy!J16+Physics!J15+'Political Science'!J16+SASW!J26+Stats!J15+'Gender,Women &amp;Sexuality Studies'!J16+'Music Theatre Dance'!J27+'Music Theatre Dance'!J28+'Gender,Women &amp;Sexuality Studies'!J19</f>
        <v>818</v>
      </c>
      <c r="K14" s="1187">
        <f>'Dean''s Office'!K73+'Amer Ethnic Studies'!K16+Art!K16+Biology!K15+Chemistry!K15+'Comm Studies'!K17+Economics!K16+English!K16+Geography!K15+Geology!K15+Hist!K16+JMC!K16+Math!K15+'Modern Language'!K16+'Modern Language'!K18+'Modern Language'!K19+'Modern Language'!K20+'Modern Language'!K21+'Modern Language'!K22+'Modern Language'!K23+'Modern Language'!K24+'Music Theatre Dance'!K16+'Music Theatre Dance'!K17+Philosophy!K16+Physics!K15+'Political Science'!K16+SASW!K26+Stats!K15+'Gender,Women &amp;Sexuality Studies'!K16+'Music Theatre Dance'!K27+'Music Theatre Dance'!K28+'Gender,Women &amp;Sexuality Studies'!K19</f>
        <v>370</v>
      </c>
      <c r="L14" s="1189">
        <f>'Dean''s Office'!L73+'Amer Ethnic Studies'!L16+Art!L16+Biology!L15+Chemistry!L15+'Comm Studies'!L17+Economics!L16+English!L16+Geography!L15+Geology!L15+Hist!L16+JMC!L16+Math!L15+'Modern Language'!L16+'Modern Language'!L18+'Modern Language'!L19+'Modern Language'!L20+'Modern Language'!L21+'Modern Language'!L22+'Modern Language'!L23+'Modern Language'!L24+'Music Theatre Dance'!L16+'Music Theatre Dance'!L17+Philosophy!L16+Physics!L15+'Political Science'!L16+SASW!L26+Stats!L15+'Gender,Women &amp;Sexuality Studies'!L16+'Music Theatre Dance'!L27+'Music Theatre Dance'!L28+'Gender,Women &amp;Sexuality Studies'!L19</f>
        <v>810</v>
      </c>
      <c r="M14" s="1187">
        <f>'Dean''s Office'!M73+'Amer Ethnic Studies'!M16+Art!M16+Biology!M15+Chemistry!M15+'Comm Studies'!M17+Economics!M16+English!M16+Geography!M15+Geology!M15+Hist!M16+JMC!M16+Math!M15+'Modern Language'!M16+'Modern Language'!M18+'Modern Language'!M19+'Modern Language'!M20+'Modern Language'!M21+'Modern Language'!M22+'Modern Language'!M23+'Modern Language'!M24+'Music Theatre Dance'!M16+'Music Theatre Dance'!M17+Philosophy!M16+Physics!M15+'Political Science'!M16+SASW!M26+Stats!M15+'Gender,Women &amp;Sexuality Studies'!M16+'Music Theatre Dance'!M27+'Music Theatre Dance'!M28+'Gender,Women &amp;Sexuality Studies'!M19</f>
        <v>346</v>
      </c>
      <c r="N14" s="1189">
        <f>'Dean''s Office'!N73+'Amer Ethnic Studies'!N16+Art!N16+Biology!N15+Chemistry!N15+'Comm Studies'!N17+Economics!N16+English!N16+Geography!N15+Geology!N15+Hist!N16+JMC!N16+Math!N15+'Modern Language'!N16+'Modern Language'!N18+'Modern Language'!N19+'Modern Language'!N20+'Modern Language'!N21+'Modern Language'!N22+'Modern Language'!N23+'Modern Language'!N24+'Music Theatre Dance'!N16+'Music Theatre Dance'!N17+Philosophy!N16+Physics!N15+'Political Science'!N16+SASW!N26+Stats!N15+'Gender,Women &amp;Sexuality Studies'!N16+'Music Theatre Dance'!N27+'Music Theatre Dance'!N28+'Gender,Women &amp;Sexuality Studies'!N19</f>
        <v>931</v>
      </c>
      <c r="O14" s="1187">
        <f>'Dean''s Office'!O73+'Amer Ethnic Studies'!O16+Art!O16+Biology!O15+Chemistry!O15+'Comm Studies'!O17+Economics!O16+English!O16+Geography!O15+Geology!O15+Hist!O16+JMC!O16+Math!O15+'Modern Language'!O16+'Modern Language'!O18+'Modern Language'!O19+'Modern Language'!O20+'Modern Language'!O21+'Modern Language'!O22+'Modern Language'!O23+'Modern Language'!O24+'Music Theatre Dance'!O16+'Music Theatre Dance'!O17+Philosophy!O16+Physics!O15+'Political Science'!O16+SASW!O26+Stats!O15+'Gender,Women &amp;Sexuality Studies'!O16+'Music Theatre Dance'!O27+'Music Theatre Dance'!O28+'Gender,Women &amp;Sexuality Studies'!O19</f>
        <v>377</v>
      </c>
      <c r="P14" s="1189">
        <f>'Dean''s Office'!P73+'Amer Ethnic Studies'!P16+Art!P16+Biology!P15+Chemistry!P15+'Comm Studies'!P17+Economics!P16+English!P16+Geography!P15+Geology!P15+Hist!P16+JMC!P16+Math!P15+'Modern Language'!P16+'Modern Language'!P18+'Modern Language'!P19+'Modern Language'!P20+'Modern Language'!P21+'Modern Language'!P22+'Modern Language'!P23+'Modern Language'!P24+'Music Theatre Dance'!P16+'Music Theatre Dance'!P17+Philosophy!P16+Physics!P15+'Political Science'!P16+SASW!P26+Stats!P15+'Gender,Women &amp;Sexuality Studies'!P16+'Music Theatre Dance'!P27+'Music Theatre Dance'!P28+'Gender,Women &amp;Sexuality Studies'!P19</f>
        <v>900</v>
      </c>
      <c r="Q14" s="1187">
        <f>'Dean''s Office'!Q73+'Amer Ethnic Studies'!Q16+Art!Q16+Biology!Q15+Chemistry!Q15+'Comm Studies'!Q17+Economics!Q16+English!Q16+Geography!Q15+Geology!Q15+Hist!Q16+JMC!Q16+Math!Q15+'Modern Language'!Q16+'Modern Language'!Q18+'Modern Language'!Q19+'Modern Language'!Q20+'Modern Language'!Q21+'Modern Language'!Q22+'Modern Language'!Q23+'Modern Language'!Q24+'Music Theatre Dance'!Q16+'Music Theatre Dance'!Q17+Philosophy!Q16+Physics!Q15+'Political Science'!Q16+SASW!Q26+Stats!Q15+'Gender,Women &amp;Sexuality Studies'!Q16+'Music Theatre Dance'!Q27+'Music Theatre Dance'!Q28+'Gender,Women &amp;Sexuality Studies'!Q19</f>
        <v>371</v>
      </c>
      <c r="R14" s="1189">
        <f>'Dean''s Office'!R73+'Amer Ethnic Studies'!R16+Art!R16+Biology!R15+Chemistry!R15+'Comm Studies'!R17+Economics!R16+English!R16+Geography!R15+Geology!R15+Hist!R16+JMC!R16+Math!R15+'Modern Language'!R16+'Modern Language'!R18+'Modern Language'!R19+'Modern Language'!R20+'Modern Language'!R21+'Modern Language'!R22+'Modern Language'!R23+'Modern Language'!R24+'Music Theatre Dance'!R16+'Music Theatre Dance'!R17+Philosophy!R16+Physics!R15+'Political Science'!R16+SASW!R26+Stats!R15+'Gender,Women &amp;Sexuality Studies'!R16+'Music Theatre Dance'!R27+'Music Theatre Dance'!R28+'Gender,Women &amp;Sexuality Studies'!R19</f>
        <v>970</v>
      </c>
      <c r="S14" s="1335">
        <f>'Dean''s Office'!S73+'Amer Ethnic Studies'!S16+Art!S16+Biology!S15+Chemistry!S15+'Comm Studies'!S17+Economics!S16+English!S16+Geography!S15+Geology!S15+Hist!S16+JMC!S16+Math!S15+'Modern Language'!S16+'Modern Language'!S18+'Modern Language'!S19+'Modern Language'!S20+'Modern Language'!S21+'Modern Language'!S22+'Modern Language'!S23+'Modern Language'!S24+'Music Theatre Dance'!S16+'Music Theatre Dance'!S17+Philosophy!S16+Physics!S15+'Political Science'!S16+SASW!S26+Stats!S15+'Gender,Women &amp;Sexuality Studies'!S16+'Music Theatre Dance'!S27+'Music Theatre Dance'!S28+'Gender,Women &amp;Sexuality Studies'!S19+'Modern Language'!S17</f>
        <v>429</v>
      </c>
      <c r="T14" s="1217">
        <f>'Dean''s Office'!T73+'Amer Ethnic Studies'!T16+Art!T16+Biology!T15+Chemistry!T15+'Comm Studies'!T17+Economics!T16+English!T16+Geography!T15+Geology!T15+Hist!T16+JMC!T16+Math!T15+'Modern Language'!T16+'Modern Language'!T17+'Modern Language'!T18+'Modern Language'!T19+'Modern Language'!T20+'Modern Language'!T21+'Modern Language'!T22+'Modern Language'!T23+'Modern Language'!T24+'Music Theatre Dance'!T16+'Music Theatre Dance'!T17+Philosophy!T16+Physics!T15+'Political Science'!T16+SASW!T26+Stats!T15+'Gender,Women &amp;Sexuality Studies'!T16+'Music Theatre Dance'!T27+'Music Theatre Dance'!T28+'Gender,Women &amp;Sexuality Studies'!T19+'Modern Language'!T25</f>
        <v>1057</v>
      </c>
      <c r="U14" s="1333"/>
      <c r="V14" s="85"/>
      <c r="W14" s="85"/>
      <c r="X14" s="85"/>
      <c r="Y14" s="85"/>
    </row>
    <row r="15" spans="1:25" x14ac:dyDescent="0.2">
      <c r="A15" s="1078" t="s">
        <v>76</v>
      </c>
      <c r="B15" s="1189">
        <f>'Dean''s Office'!B33+'Dean''s Office'!B75+'Dean''s Office'!B81+Geography!B19</f>
        <v>16</v>
      </c>
      <c r="C15" s="1187">
        <f>'Dean''s Office'!C33+'Dean''s Office'!C75+'Dean''s Office'!C81+Geography!C19</f>
        <v>6</v>
      </c>
      <c r="D15" s="1189">
        <f>'Dean''s Office'!D33+'Dean''s Office'!D75+'Dean''s Office'!D81+Geography!D19</f>
        <v>15</v>
      </c>
      <c r="E15" s="1187">
        <f>'Dean''s Office'!E33+'Dean''s Office'!E75+'Dean''s Office'!E81+Geography!E19</f>
        <v>3</v>
      </c>
      <c r="F15" s="1189">
        <f>'Dean''s Office'!F33+'Dean''s Office'!F75+'Dean''s Office'!F81+Geography!F19</f>
        <v>8</v>
      </c>
      <c r="G15" s="1187">
        <f>'Dean''s Office'!G33+'Dean''s Office'!G75+'Dean''s Office'!G81+Geography!G19</f>
        <v>9</v>
      </c>
      <c r="H15" s="1189">
        <f>'Dean''s Office'!H33+'Dean''s Office'!H75+'Dean''s Office'!H81+Geography!H19</f>
        <v>8</v>
      </c>
      <c r="I15" s="1187">
        <f>'Dean''s Office'!I33+'Dean''s Office'!I75+'Dean''s Office'!I81+Geography!I19</f>
        <v>14</v>
      </c>
      <c r="J15" s="1189">
        <f>'Dean''s Office'!J33+'Dean''s Office'!J75+'Dean''s Office'!J81+Geography!J19</f>
        <v>12</v>
      </c>
      <c r="K15" s="1187">
        <f>'Dean''s Office'!K33+'Dean''s Office'!K75+'Dean''s Office'!K81+Geography!K19</f>
        <v>23</v>
      </c>
      <c r="L15" s="1189">
        <f>'Dean''s Office'!L33+'Dean''s Office'!L75+'Dean''s Office'!L81+Geography!L19</f>
        <v>0</v>
      </c>
      <c r="M15" s="1187">
        <f>'Dean''s Office'!M33+'Dean''s Office'!M75+'Dean''s Office'!M81+Geography!M19</f>
        <v>22</v>
      </c>
      <c r="N15" s="1189">
        <f>'Dean''s Office'!N33+'Dean''s Office'!N75+'Dean''s Office'!N81+Geography!N19</f>
        <v>8</v>
      </c>
      <c r="O15" s="1187">
        <f>'Dean''s Office'!O33+'Dean''s Office'!O75+'Dean''s Office'!O81+Geography!O19</f>
        <v>15</v>
      </c>
      <c r="P15" s="1189">
        <f>'Dean''s Office'!P33+'Dean''s Office'!P75+'Dean''s Office'!P81+Geography!P19</f>
        <v>6</v>
      </c>
      <c r="Q15" s="1187">
        <f>'Dean''s Office'!Q33+'Dean''s Office'!Q75+'Dean''s Office'!Q81+Geography!Q19</f>
        <v>16</v>
      </c>
      <c r="R15" s="1189">
        <f>'Dean''s Office'!R33+'Dean''s Office'!R75+'Dean''s Office'!R81+Geography!R19</f>
        <v>12</v>
      </c>
      <c r="S15" s="1335">
        <f>'Dean''s Office'!S33+'Dean''s Office'!S75+'Dean''s Office'!S81+Geography!S19</f>
        <v>22</v>
      </c>
      <c r="T15" s="1217">
        <f>'Dean''s Office'!T33+'Dean''s Office'!T75+'Dean''s Office'!T81+Geography!T19</f>
        <v>15</v>
      </c>
      <c r="U15" s="1333"/>
      <c r="V15" s="85"/>
      <c r="W15" s="1213"/>
      <c r="X15" s="85"/>
      <c r="Y15" s="85"/>
    </row>
    <row r="16" spans="1:25" x14ac:dyDescent="0.2">
      <c r="A16" s="1078" t="s">
        <v>293</v>
      </c>
      <c r="B16" s="1189">
        <f>Art!B17+Biochemistry!B16+Biology!B16+Chemistry!B16+'Comm Studies'!B18+Economics!B17+English!B17+Geography!B16+Geology!B16+Hist!B17+Hist!B20+JMC!B17+Math!B16+'Modern Language'!B26+'Music Theatre Dance'!B18+'Music Theatre Dance'!B29+Physics!B16+'Political Science'!B17+'Political Science'!B19+Psych!B16+SASW!B16+Stats!B16</f>
        <v>461</v>
      </c>
      <c r="C16" s="1187">
        <f>Art!C17+Biochemistry!C16+Biology!C16+Chemistry!C16+'Comm Studies'!C18+Economics!C17+English!C17+Geography!C16+Geology!C16+Hist!C17+Hist!C20+JMC!C17+Math!C16+'Modern Language'!C26+'Music Theatre Dance'!C18+'Music Theatre Dance'!C29+Physics!C16+'Political Science'!C17+'Political Science'!C19+Psych!C16+SASW!C16+Stats!C16</f>
        <v>174</v>
      </c>
      <c r="D16" s="1189">
        <f>Art!D17+Biochemistry!D16+Biology!D16+Chemistry!D16+'Comm Studies'!D18+Economics!D17+English!D17+Geography!D16+Geology!D16+Hist!D17+Hist!D20+JMC!D17+Math!D16+'Modern Language'!D26+'Music Theatre Dance'!D18+'Music Theatre Dance'!D29+Physics!D16+'Political Science'!D17+'Political Science'!D19+Psych!D16+SASW!D16+Stats!D16</f>
        <v>475</v>
      </c>
      <c r="E16" s="1187">
        <f>Art!E17+Biochemistry!E16+Biology!E16+Chemistry!E16+'Comm Studies'!E18+Economics!E17+English!E17+Geography!E16+Geology!E16+Hist!E17+Hist!E20+JMC!E17+Math!E16+'Modern Language'!E26+'Music Theatre Dance'!E18+'Music Theatre Dance'!E29+Physics!E16+'Political Science'!E17+'Political Science'!E19+Psych!E16+SASW!E16+Stats!E16</f>
        <v>174</v>
      </c>
      <c r="F16" s="1189">
        <f>Art!F17+Biochemistry!F16+Biology!F16+Chemistry!F16+'Comm Studies'!F18+Economics!F17+English!F17+Geography!F16+Geology!F16+Hist!F17+Hist!F20+JMC!F17+Math!F16+'Modern Language'!F26+'Music Theatre Dance'!F18+'Music Theatre Dance'!F29+Physics!F16+'Political Science'!F17+'Political Science'!F19+Psych!F16+SASW!F16+Stats!F16</f>
        <v>485</v>
      </c>
      <c r="G16" s="1187">
        <f>Art!G17+Biochemistry!G16+Biology!G16+Chemistry!G16+'Comm Studies'!G18+Economics!G17+English!G17+Geography!G16+Geology!G16+Hist!G17+Hist!G20+JMC!G17+Math!G16+'Modern Language'!G26+'Music Theatre Dance'!G18+'Music Theatre Dance'!G29+Physics!G16+'Political Science'!G17+'Political Science'!G19+Psych!G16+SASW!G16+Stats!G16</f>
        <v>222</v>
      </c>
      <c r="H16" s="1189">
        <f>Art!H17+Biochemistry!H16+Biology!H16+Chemistry!H16+'Comm Studies'!H18+Economics!H17+English!H17+Geography!H16+Geology!H16+Hist!H17+Hist!H20+JMC!H17+Math!H16+'Modern Language'!H26+'Music Theatre Dance'!H18+'Music Theatre Dance'!H29+Physics!H16+'Political Science'!H17+'Political Science'!H19+Psych!H16+SASW!H16+Stats!H16</f>
        <v>480</v>
      </c>
      <c r="I16" s="1187">
        <f>Art!I17+Biochemistry!I16+Biology!I16+Chemistry!I16+'Comm Studies'!I18+Economics!I17+English!I17+Geography!I16+Geology!I16+Hist!I17+Hist!I20+JMC!I17+Math!I16+'Modern Language'!I26+'Music Theatre Dance'!I18+'Music Theatre Dance'!I29+Physics!I16+'Political Science'!I17+'Political Science'!I19+Psych!I16+SASW!I16+Stats!I16</f>
        <v>187</v>
      </c>
      <c r="J16" s="1189">
        <f>Art!J17+Biochemistry!J16+Biology!J16+Chemistry!J16+'Comm Studies'!J18+Economics!J17+English!J17+Geography!J16+Geology!J16+Hist!J17+Hist!J20+JMC!J17+Math!J16+'Modern Language'!J26+'Music Theatre Dance'!J18+'Music Theatre Dance'!J29+Physics!J16+'Political Science'!J17+'Political Science'!J19+Psych!J16+SASW!J16+Stats!J16</f>
        <v>489</v>
      </c>
      <c r="K16" s="1187">
        <f>Art!K17+Biochemistry!K16+Biology!K16+Chemistry!K16+'Comm Studies'!K18+Economics!K17+English!K17+Geography!K16+Geology!K16+Hist!K17+Hist!K20+JMC!K17+Math!K16+'Modern Language'!K26+'Music Theatre Dance'!K18+'Music Theatre Dance'!K29+Physics!K16+'Political Science'!K17+'Political Science'!K19+Psych!K16+SASW!K16+Stats!K16</f>
        <v>201</v>
      </c>
      <c r="L16" s="1189">
        <f>Art!L17+Biochemistry!L16+Biology!L16+Chemistry!L16+'Comm Studies'!L18+Economics!L17+English!L17+Geography!L16+Geology!L16+Hist!L17+Hist!L20+JMC!L17+Math!L16+'Modern Language'!L26+'Music Theatre Dance'!L18+'Music Theatre Dance'!L29+Physics!L16+'Political Science'!L17+'Political Science'!L19+Psych!L16+SASW!L16+Stats!L16</f>
        <v>471</v>
      </c>
      <c r="M16" s="1187">
        <f>Art!M17+Biochemistry!M16+Biology!M16+Chemistry!M16+'Comm Studies'!M18+Economics!M17+English!M17+Geography!M16+Geology!M16+Hist!M17+Hist!M20+JMC!M17+Math!M16+'Modern Language'!M26+'Music Theatre Dance'!M18+'Music Theatre Dance'!M29+Physics!M16+'Political Science'!M17+'Political Science'!M19+Psych!M16+SASW!M16+Stats!M16</f>
        <v>182</v>
      </c>
      <c r="N16" s="1189">
        <f>Art!N17+Biochemistry!N16+Biology!N16+Chemistry!N16+'Comm Studies'!N18+Economics!N17+English!N17+Geography!N16+Geology!N16+Hist!N17+Hist!N20+JMC!N17+Math!N16+'Modern Language'!N26+'Music Theatre Dance'!N18+'Music Theatre Dance'!N29+Physics!N16+'Political Science'!N17+'Political Science'!N19+Psych!N16+SASW!N16+Stats!N16</f>
        <v>439</v>
      </c>
      <c r="O16" s="1187">
        <f>Art!O17+Biochemistry!O16+Biology!O16+Chemistry!O16+'Comm Studies'!O18+Economics!O17+English!O17+Geography!O16+Geology!O16+Hist!O17+Hist!O20+JMC!O17+Math!O16+'Modern Language'!O26+'Music Theatre Dance'!O18+'Music Theatre Dance'!O29+Physics!O16+'Political Science'!O17+'Political Science'!O19+Psych!O16+SASW!O16+Stats!O16</f>
        <v>185</v>
      </c>
      <c r="P16" s="1189">
        <f>Art!P17+Biochemistry!P16+Biology!P16+Chemistry!P16+'Comm Studies'!P18+Economics!P17+English!P17+Geography!P16+Geology!P16+Hist!P17+Hist!P20+JMC!P17+Math!P16+'Modern Language'!P26+'Music Theatre Dance'!P18+'Music Theatre Dance'!P29+Physics!P16+'Political Science'!P17+'Political Science'!P19+Psych!P16+SASW!P16+Stats!P16</f>
        <v>453</v>
      </c>
      <c r="Q16" s="1187">
        <f>Art!Q17+Biochemistry!Q16+Biology!Q16+Chemistry!Q16+'Comm Studies'!Q18+Economics!Q17+English!Q17+Geography!Q16+Geology!Q16+Hist!Q17+Hist!Q20+JMC!Q17+Math!Q16+'Modern Language'!Q26+'Music Theatre Dance'!Q18+'Music Theatre Dance'!Q29+Physics!Q16+'Political Science'!Q17+'Political Science'!Q19+Psych!Q16+SASW!Q16+Stats!Q16</f>
        <v>206</v>
      </c>
      <c r="R16" s="1189">
        <f>Art!R17+Biochemistry!R16+Biology!R16+Chemistry!R16+'Comm Studies'!R18+Economics!R17+English!R17+Geography!R16+Geology!R16+Hist!R17+Hist!R20+JMC!R17+Math!R16+'Modern Language'!R26+'Music Theatre Dance'!R18+'Music Theatre Dance'!R29+Physics!R16+'Political Science'!R17+'Political Science'!R19+Psych!R16+SASW!R16+Stats!R16</f>
        <v>385</v>
      </c>
      <c r="S16" s="1335">
        <f>Art!S17+Biochemistry!S16+Biology!S16+Chemistry!S16+'Comm Studies'!S18+Economics!S17+English!S17+Geography!S16+Geology!S16+Hist!S17+Hist!S20+JMC!S17+Math!S16+'Modern Language'!S26+'Music Theatre Dance'!S18+'Music Theatre Dance'!S29+Physics!S16+'Political Science'!S17+'Political Science'!S19+Psych!S16+SASW!S16+Stats!S16</f>
        <v>175</v>
      </c>
      <c r="T16" s="1217">
        <f>Art!T17+Biochemistry!T16+Biology!T16+Chemistry!T16+'Comm Studies'!T18+Economics!T17+English!T17+Geography!T16+Geology!T16+Hist!T17+Hist!T20+JMC!T17+Math!T16+'Modern Language'!T26+'Music Theatre Dance'!T18+'Music Theatre Dance'!T29+Physics!T16+'Political Science'!T17+'Political Science'!T19+Psych!T16+SASW!T16+Stats!T16</f>
        <v>361</v>
      </c>
      <c r="U16" s="1333"/>
      <c r="V16" s="85"/>
      <c r="W16" s="85" t="s">
        <v>19</v>
      </c>
      <c r="X16" s="85"/>
      <c r="Y16" s="85"/>
    </row>
    <row r="17" spans="1:25" x14ac:dyDescent="0.2">
      <c r="A17" s="1202" t="s">
        <v>201</v>
      </c>
      <c r="B17" s="1189">
        <f>'Dean''s Office'!B79</f>
        <v>0</v>
      </c>
      <c r="C17" s="1212" t="s">
        <v>300</v>
      </c>
      <c r="D17" s="1189">
        <f>'Dean''s Office'!D79</f>
        <v>35</v>
      </c>
      <c r="E17" s="1212" t="s">
        <v>300</v>
      </c>
      <c r="F17" s="1189">
        <f>'Dean''s Office'!F79</f>
        <v>72</v>
      </c>
      <c r="G17" s="1212" t="s">
        <v>300</v>
      </c>
      <c r="H17" s="1189">
        <f>'Dean''s Office'!H79</f>
        <v>58</v>
      </c>
      <c r="I17" s="1212" t="s">
        <v>300</v>
      </c>
      <c r="J17" s="1189">
        <f>'Dean''s Office'!J79</f>
        <v>28</v>
      </c>
      <c r="K17" s="1212" t="s">
        <v>300</v>
      </c>
      <c r="L17" s="1189">
        <f>'Dean''s Office'!L79</f>
        <v>46</v>
      </c>
      <c r="M17" s="1212" t="s">
        <v>300</v>
      </c>
      <c r="N17" s="1189">
        <f>'Dean''s Office'!N79</f>
        <v>85</v>
      </c>
      <c r="O17" s="1212" t="s">
        <v>300</v>
      </c>
      <c r="P17" s="1189">
        <f>'Dean''s Office'!P79</f>
        <v>23</v>
      </c>
      <c r="Q17" s="1212" t="s">
        <v>300</v>
      </c>
      <c r="R17" s="1189">
        <f>'Dean''s Office'!R79</f>
        <v>13</v>
      </c>
      <c r="S17" s="1336" t="s">
        <v>300</v>
      </c>
      <c r="T17" s="1217">
        <f>'Dean''s Office'!T79</f>
        <v>15</v>
      </c>
      <c r="U17" s="1332"/>
      <c r="V17" s="85"/>
      <c r="W17" s="85"/>
      <c r="X17" s="85"/>
      <c r="Y17" s="85"/>
    </row>
    <row r="18" spans="1:25" x14ac:dyDescent="0.2">
      <c r="A18" s="1078" t="s">
        <v>86</v>
      </c>
      <c r="B18" s="1189">
        <f>Biochemistry!B17+Biology!B17+Biology!B26+Chemistry!B17+Economics!B18+Geography!B17+Hist!B18+Hist!B21+Math!B17+Physics!B17+Psych!B17+SASW!B17+Stats!B17</f>
        <v>439</v>
      </c>
      <c r="C18" s="1187">
        <f>Biochemistry!C17+Biology!C17+Biology!C26+Chemistry!C17+Economics!C18+Geography!C17+Hist!C18+Hist!C21+Math!C17+Physics!C17+Psych!C17+SASW!C17+Stats!C17</f>
        <v>47</v>
      </c>
      <c r="D18" s="1189">
        <f>Biochemistry!D17+Biology!D17+Biology!D26+Chemistry!D17+Economics!D18+Geography!D17+Hist!D18+Hist!D21+Math!D17+Physics!D17+Psych!D17+SASW!D17+Stats!D17</f>
        <v>454</v>
      </c>
      <c r="E18" s="1187">
        <f>Biochemistry!E17+Biology!E17+Biology!E26+Chemistry!E17+Economics!E18+Geography!E17+Hist!E18+Hist!E21+Math!E17+Physics!E17+Psych!E17+SASW!E17+Stats!E17</f>
        <v>59</v>
      </c>
      <c r="F18" s="1189">
        <f>Biochemistry!F17+Biology!F17+Biology!F26+Chemistry!F17+Economics!F18+Geography!F17+Hist!F18+Hist!F21+Math!F17+Physics!F17+Psych!F17+SASW!F17+Stats!F17</f>
        <v>446</v>
      </c>
      <c r="G18" s="1187">
        <f>Biochemistry!G17+Biology!G17+Biology!G26+Chemistry!G17+Economics!G18+Geography!G17+Hist!G18+Hist!G21+Math!G17+Physics!G17+Psych!G17+SASW!G17+Stats!G17</f>
        <v>60</v>
      </c>
      <c r="H18" s="1189">
        <f>Biochemistry!H17+Biology!H17+Biology!H26+Chemistry!H17+Economics!H18+Geography!H17+Hist!H18+Hist!H21+Math!H17+Physics!H17+Psych!H17+SASW!H17+Stats!H17</f>
        <v>446</v>
      </c>
      <c r="I18" s="1187">
        <f>Biochemistry!I17+Biology!I17+Biology!I26+Chemistry!I17+Economics!I18+Geography!I17+Hist!I18+Hist!I21+Math!I17+Physics!I17+Psych!I17+SASW!I17+Stats!I17</f>
        <v>62</v>
      </c>
      <c r="J18" s="1189">
        <f>Biochemistry!J17+Biology!J17+Biology!J26+Chemistry!J17+Economics!J18+Geography!J17+Hist!J18+Hist!J21+Math!J17+Physics!J17+Psych!J17+SASW!J17+Stats!J17</f>
        <v>445</v>
      </c>
      <c r="K18" s="1187">
        <f>Biochemistry!K17+Biology!K17+Biology!K26+Chemistry!K17+Economics!K18+Geography!K17+Hist!K18+Hist!K21+Math!K17+Physics!K17+Psych!K17+SASW!K17+Stats!K17</f>
        <v>57</v>
      </c>
      <c r="L18" s="1189">
        <f>Biochemistry!L17+Biology!L17+Biology!L26+Chemistry!L17+Economics!L18+Geography!L17+Hist!L18+Hist!L21+Math!L17+Physics!L17+Psych!L17+SASW!L17+Stats!L17</f>
        <v>459</v>
      </c>
      <c r="M18" s="1187">
        <f>Biochemistry!M17+Biology!M17+Biology!M26+Chemistry!M17+Economics!M18+Geography!M17+Hist!M18+Hist!M21+Math!M17+Physics!M17+Psych!M17+SASW!M17+Stats!M17</f>
        <v>61</v>
      </c>
      <c r="N18" s="1189">
        <f>Biochemistry!N17+Biology!N17+Biology!N26+Chemistry!N17+Economics!N18+Geography!N17+Hist!N18+Hist!N21+Math!N17+Physics!N17+Psych!N17+SASW!N17+Stats!N17</f>
        <v>424</v>
      </c>
      <c r="O18" s="1187">
        <f>Biochemistry!O17+Biology!O17+Biology!O26+Chemistry!O17+Economics!O18+Geography!O17+Hist!O18+Hist!O21+Math!O17+Physics!O17+Psych!O17+SASW!O17+Stats!O17</f>
        <v>63</v>
      </c>
      <c r="P18" s="1189">
        <f>Biochemistry!P17+Biology!P17+Biology!P26+Chemistry!P17+Economics!P18+Geography!P17+Hist!P18+Hist!P21+Math!P17+Physics!P17+Psych!P17+SASW!P17+Stats!P17</f>
        <v>425</v>
      </c>
      <c r="Q18" s="1187">
        <f>Biochemistry!Q17+Biology!Q17+Biology!Q26+Chemistry!Q17+Economics!Q18+Geography!Q17+Hist!Q18+Hist!Q21+Math!Q17+Physics!Q17+Psych!Q17+SASW!Q17+Stats!Q17</f>
        <v>68</v>
      </c>
      <c r="R18" s="1189">
        <f>Biochemistry!R17+Biology!R17+Biology!R26+Chemistry!R17+Economics!R18+Geography!R17+Hist!R18+Hist!R21+Math!R17+Physics!R17+Psych!R17+SASW!R17+Stats!R17</f>
        <v>428</v>
      </c>
      <c r="S18" s="1335">
        <f>Biochemistry!S17+Biology!S17+Biology!S26+Chemistry!S17+Economics!S18+Geography!S17+Hist!S18+Hist!S21+Math!S17+Physics!S17+Psych!S17+SASW!S17+Stats!S17</f>
        <v>56</v>
      </c>
      <c r="T18" s="1217">
        <f>Biochemistry!T17+Biology!T17+Biology!T26+Chemistry!T17+Economics!T18+Geography!T17+Hist!T18+Hist!T21+Math!T17+Physics!T17+Psych!T17+SASW!T17+Stats!T17</f>
        <v>435</v>
      </c>
      <c r="U18" s="1333"/>
      <c r="V18" s="85"/>
      <c r="W18" s="85"/>
      <c r="X18" s="85"/>
      <c r="Y18" s="85"/>
    </row>
    <row r="19" spans="1:25" ht="13.5" thickBot="1" x14ac:dyDescent="0.25">
      <c r="A19" s="1079" t="s">
        <v>294</v>
      </c>
      <c r="B19" s="1190">
        <f>English!B18+Geography!B20+Math!B19+'Political Science'!B20+Psych!B18+Stats!B18+'Gender,Women &amp;Sexuality Studies'!B17</f>
        <v>4</v>
      </c>
      <c r="C19" s="1187">
        <f>English!C18+Geography!C20+Math!C19+'Political Science'!C20+Psych!C18+Stats!C18+'Gender,Women &amp;Sexuality Studies'!C17</f>
        <v>10</v>
      </c>
      <c r="D19" s="1190">
        <f>English!D18+Geography!D20+Math!D19+'Political Science'!D20+Psych!D18+Stats!D18+'Gender,Women &amp;Sexuality Studies'!D17</f>
        <v>5</v>
      </c>
      <c r="E19" s="1187">
        <f>English!E18+Geography!E20+Math!E19+'Political Science'!E20+Psych!E18+Stats!E18+'Gender,Women &amp;Sexuality Studies'!E17</f>
        <v>17</v>
      </c>
      <c r="F19" s="1190">
        <f>English!F18+Geography!F20+Math!F19+'Political Science'!F20+Psych!F18+Stats!F18+'Gender,Women &amp;Sexuality Studies'!F17</f>
        <v>15</v>
      </c>
      <c r="G19" s="1187">
        <f>English!G18+Geography!G20+Math!G19+'Political Science'!G20+Psych!G18+Stats!G18+'Gender,Women &amp;Sexuality Studies'!G17</f>
        <v>22</v>
      </c>
      <c r="H19" s="1190">
        <f>English!H18+Geography!H20+Math!H19+'Political Science'!H20+Psych!H18+Stats!H18+'Gender,Women &amp;Sexuality Studies'!H17</f>
        <v>12</v>
      </c>
      <c r="I19" s="1187">
        <f>English!I18+Geography!I20+Math!I19+'Political Science'!I20+Psych!I18+Stats!I18+'Gender,Women &amp;Sexuality Studies'!I17</f>
        <v>24</v>
      </c>
      <c r="J19" s="1190">
        <f>English!J18+Geography!J20+Math!J19+'Political Science'!J20+Psych!J18+Stats!J18+'Gender,Women &amp;Sexuality Studies'!J17</f>
        <v>19</v>
      </c>
      <c r="K19" s="1187">
        <f>English!K18+Geography!K20+Math!K19+'Political Science'!K20+Psych!K18+Stats!K18+'Gender,Women &amp;Sexuality Studies'!K17</f>
        <v>22</v>
      </c>
      <c r="L19" s="1190">
        <f>English!L18+Geography!L20+Math!L19+'Political Science'!L20+Psych!L18+Stats!L18+'Gender,Women &amp;Sexuality Studies'!L17</f>
        <v>20</v>
      </c>
      <c r="M19" s="1187">
        <f>English!M18+Geography!M20+Math!M19+'Political Science'!M20+Psych!M18+Stats!M18+'Gender,Women &amp;Sexuality Studies'!M17</f>
        <v>38</v>
      </c>
      <c r="N19" s="1190">
        <f>English!N18+Geography!N20+Math!N19+'Political Science'!N20+Psych!N18+Stats!N18+'Gender,Women &amp;Sexuality Studies'!N17</f>
        <v>29</v>
      </c>
      <c r="O19" s="1187">
        <f>English!O18+Geography!O20+Math!O19+'Political Science'!O20+Psych!O18+Stats!O18+'Gender,Women &amp;Sexuality Studies'!O17</f>
        <v>33</v>
      </c>
      <c r="P19" s="1190">
        <f>English!P18+Geography!P20+Math!P19+'Political Science'!P20+Psych!P18+Stats!P18+'Gender,Women &amp;Sexuality Studies'!P17</f>
        <v>23</v>
      </c>
      <c r="Q19" s="1187">
        <f>English!Q18+Geography!Q20+Math!Q19+'Political Science'!Q20+Psych!Q18+Stats!Q18+'Gender,Women &amp;Sexuality Studies'!Q17</f>
        <v>25</v>
      </c>
      <c r="R19" s="1190">
        <f>English!R18+Geography!R20+Math!R19+'Political Science'!R20+Psych!R18+Stats!R18+'Gender,Women &amp;Sexuality Studies'!R17</f>
        <v>24</v>
      </c>
      <c r="S19" s="1335">
        <f>English!S18+Geography!S20+Math!S19+'Political Science'!S20+Stats!S18+'Gender,Women &amp;Sexuality Studies'!S17</f>
        <v>16</v>
      </c>
      <c r="T19" s="1218">
        <f>English!T18+Geography!T20+Math!T19+'Political Science'!T20+Psych!T18+Stats!T18+'Gender,Women &amp;Sexuality Studies'!T17+'Comm Studies'!T16</f>
        <v>44</v>
      </c>
      <c r="U19" s="1333"/>
      <c r="V19" s="85"/>
      <c r="W19" s="85"/>
      <c r="X19" s="85"/>
      <c r="Y19" s="85"/>
    </row>
    <row r="20" spans="1:25" ht="14.25" thickTop="1" thickBot="1" x14ac:dyDescent="0.25">
      <c r="A20" s="72" t="s">
        <v>71</v>
      </c>
      <c r="B20" s="1080"/>
      <c r="C20" s="1081"/>
      <c r="D20" s="1080"/>
      <c r="E20" s="1081"/>
      <c r="F20" s="1080"/>
      <c r="G20" s="1081"/>
      <c r="H20" s="1080"/>
      <c r="I20" s="1081"/>
      <c r="J20" s="1080"/>
      <c r="K20" s="1081"/>
      <c r="L20" s="1080"/>
      <c r="M20" s="1081"/>
      <c r="N20" s="1080"/>
      <c r="O20" s="1081"/>
      <c r="P20" s="1080"/>
      <c r="Q20" s="1081"/>
      <c r="R20" s="1080"/>
      <c r="S20" s="1081"/>
      <c r="T20" s="1080"/>
      <c r="U20" s="1082"/>
      <c r="V20" s="85"/>
      <c r="W20" s="85"/>
      <c r="X20" s="85"/>
      <c r="Y20" s="85"/>
    </row>
    <row r="21" spans="1:25" x14ac:dyDescent="0.2">
      <c r="A21" s="1083" t="s">
        <v>79</v>
      </c>
      <c r="B21" s="1084"/>
      <c r="C21" s="1085"/>
      <c r="D21" s="1084"/>
      <c r="E21" s="1085"/>
      <c r="F21" s="1084"/>
      <c r="G21" s="1085"/>
      <c r="H21" s="1084"/>
      <c r="I21" s="1085"/>
      <c r="J21" s="1084"/>
      <c r="K21" s="1085"/>
      <c r="L21" s="1084"/>
      <c r="M21" s="1085"/>
      <c r="N21" s="1084"/>
      <c r="O21" s="1085"/>
      <c r="P21" s="1084"/>
      <c r="Q21" s="1085"/>
      <c r="R21" s="1084"/>
      <c r="S21" s="1085"/>
      <c r="T21" s="1084"/>
      <c r="U21" s="1086"/>
      <c r="V21" s="85"/>
      <c r="W21" s="85"/>
      <c r="X21" s="85"/>
      <c r="Y21" s="85"/>
    </row>
    <row r="22" spans="1:25" x14ac:dyDescent="0.2">
      <c r="A22" s="1087" t="s">
        <v>72</v>
      </c>
      <c r="B22" s="1088"/>
      <c r="C22" s="1328"/>
      <c r="D22" s="1088"/>
      <c r="E22" s="1089">
        <v>0.56999999999999995</v>
      </c>
      <c r="F22" s="1088"/>
      <c r="G22" s="1089">
        <v>0.54</v>
      </c>
      <c r="H22" s="1088"/>
      <c r="I22" s="1089">
        <v>0.56999999999999995</v>
      </c>
      <c r="J22" s="1088"/>
      <c r="K22" s="1089">
        <v>0.6</v>
      </c>
      <c r="L22" s="1088"/>
      <c r="M22" s="1089">
        <v>0.61</v>
      </c>
      <c r="N22" s="1088"/>
      <c r="O22" s="1089">
        <v>0.61</v>
      </c>
      <c r="P22" s="1088"/>
      <c r="Q22" s="1089">
        <v>0.61</v>
      </c>
      <c r="R22" s="1088"/>
      <c r="S22" s="1328"/>
      <c r="T22" s="1088"/>
      <c r="U22" s="1334"/>
      <c r="V22" s="85"/>
      <c r="W22" s="85"/>
      <c r="X22" s="85"/>
      <c r="Y22" s="85"/>
    </row>
    <row r="23" spans="1:25" x14ac:dyDescent="0.2">
      <c r="A23" s="721" t="s">
        <v>295</v>
      </c>
      <c r="B23" s="1088"/>
      <c r="C23" s="1329"/>
      <c r="D23" s="1088"/>
      <c r="E23" s="1090">
        <v>0.3</v>
      </c>
      <c r="F23" s="1088"/>
      <c r="G23" s="1090">
        <v>0.32</v>
      </c>
      <c r="H23" s="1088"/>
      <c r="I23" s="1090">
        <v>0.33</v>
      </c>
      <c r="J23" s="1088"/>
      <c r="K23" s="1090">
        <v>0.32</v>
      </c>
      <c r="L23" s="1088"/>
      <c r="M23" s="1090">
        <v>0.28999999999999998</v>
      </c>
      <c r="N23" s="1088"/>
      <c r="O23" s="1090">
        <v>0.31</v>
      </c>
      <c r="P23" s="1088"/>
      <c r="Q23" s="1090">
        <v>0.3</v>
      </c>
      <c r="R23" s="1088"/>
      <c r="S23" s="1329"/>
      <c r="T23" s="1088"/>
      <c r="U23" s="1334"/>
      <c r="V23" s="85"/>
      <c r="W23" s="85"/>
      <c r="X23" s="85"/>
      <c r="Y23" s="85"/>
    </row>
    <row r="24" spans="1:25" ht="13.5" thickBot="1" x14ac:dyDescent="0.25">
      <c r="A24" s="750" t="s">
        <v>75</v>
      </c>
      <c r="B24" s="1091"/>
      <c r="C24" s="1092"/>
      <c r="D24" s="1091"/>
      <c r="E24" s="1092"/>
      <c r="F24" s="1091"/>
      <c r="G24" s="1092"/>
      <c r="H24" s="1091"/>
      <c r="I24" s="1092"/>
      <c r="J24" s="1091"/>
      <c r="K24" s="1092"/>
      <c r="L24" s="1091"/>
      <c r="M24" s="1092"/>
      <c r="N24" s="1091"/>
      <c r="O24" s="1092"/>
      <c r="P24" s="1091"/>
      <c r="Q24" s="1092"/>
      <c r="R24" s="1091"/>
      <c r="S24" s="1092"/>
      <c r="T24" s="1091"/>
      <c r="U24" s="1093"/>
      <c r="V24" s="85"/>
      <c r="W24" s="85"/>
      <c r="X24" s="85"/>
      <c r="Y24" s="85"/>
    </row>
    <row r="25" spans="1:25" ht="14.25" thickTop="1" thickBot="1" x14ac:dyDescent="0.25">
      <c r="A25" s="82" t="s">
        <v>22</v>
      </c>
      <c r="B25" s="1080"/>
      <c r="C25" s="1081"/>
      <c r="D25" s="1080"/>
      <c r="E25" s="1081"/>
      <c r="F25" s="1080"/>
      <c r="G25" s="1081"/>
      <c r="H25" s="1080"/>
      <c r="I25" s="1081"/>
      <c r="J25" s="1080"/>
      <c r="K25" s="1081"/>
      <c r="L25" s="1080"/>
      <c r="M25" s="1081"/>
      <c r="N25" s="1080"/>
      <c r="O25" s="1081"/>
      <c r="P25" s="1080"/>
      <c r="Q25" s="1081"/>
      <c r="R25" s="1080"/>
      <c r="S25" s="1081"/>
      <c r="T25" s="1080"/>
      <c r="U25" s="1082"/>
      <c r="V25" s="85"/>
      <c r="W25" s="85"/>
      <c r="X25" s="85"/>
      <c r="Y25" s="85"/>
    </row>
    <row r="26" spans="1:25" x14ac:dyDescent="0.2">
      <c r="A26" s="1094" t="s">
        <v>24</v>
      </c>
      <c r="B26" s="1095"/>
      <c r="C26" s="1096">
        <f>'Dean''s Office'!C101+'Amer Ethnic Studies'!C25+Art!C25+Biochemistry!C26+Biology!C41+Chemistry!C26+'Comm Studies'!C26+Economics!C28+English!C27+Geography!C29+Geology!C24+Hist!C31+JMC!C25+Math!C28+'Modern Language'!C35+'Music Theatre Dance'!C43+Philosophy!C24+Physics!C26+'Political Science'!C28+Psych!C27+SASW!C41+Stats!C27+'Gender,Women &amp;Sexuality Studies'!C28</f>
        <v>177658</v>
      </c>
      <c r="D26" s="1095"/>
      <c r="E26" s="1096">
        <f>'Dean''s Office'!E101+'Amer Ethnic Studies'!E25+Art!E25+Biochemistry!E26+Biology!E41+Chemistry!E26+'Comm Studies'!E26+Economics!E28+English!E27+Geography!E29+Geology!E24+Hist!E31+JMC!E25+Math!E28+'Modern Language'!E35+'Music Theatre Dance'!E43+Philosophy!E24+Physics!E26+'Political Science'!E28+Psych!E27+SASW!E41+Stats!E27+'Gender,Women &amp;Sexuality Studies'!E28</f>
        <v>185285</v>
      </c>
      <c r="F26" s="1095"/>
      <c r="G26" s="1096">
        <f>'Dean''s Office'!G101+'Amer Ethnic Studies'!G25+Art!G25+Biochemistry!G26+Biology!G41+Chemistry!G26+'Comm Studies'!G26+Economics!G28+English!G27+Geography!G29+Geology!G24+Hist!G31+JMC!G25+Math!G28+'Modern Language'!G35+'Music Theatre Dance'!G43+Philosophy!G24+Physics!G26+'Political Science'!G28+Psych!G27+SASW!G41+Stats!G27+'Gender,Women &amp;Sexuality Studies'!G28</f>
        <v>191227</v>
      </c>
      <c r="H26" s="1095"/>
      <c r="I26" s="1096">
        <f>'Dean''s Office'!I101+'Amer Ethnic Studies'!I25+Art!I25+Biochemistry!I26+Biology!I41+Chemistry!I26+'Comm Studies'!I26+Economics!I28+English!I27+Geography!I29+Geology!I24+Hist!I31+JMC!I25+Math!I28+'Modern Language'!I35+'Music Theatre Dance'!I43+Philosophy!I24+Physics!I26+'Political Science'!I28+Psych!I27+SASW!I41+Stats!I27+'Gender,Women &amp;Sexuality Studies'!I28</f>
        <v>194338</v>
      </c>
      <c r="J26" s="1095"/>
      <c r="K26" s="1096">
        <f>'Dean''s Office'!K101+'Amer Ethnic Studies'!K25+Art!K25+Biochemistry!K26+Biology!K41+Chemistry!K26+'Comm Studies'!K26+Economics!K28+English!K27+Geography!K29+Geology!K24+Hist!K31+JMC!K25+Math!K28+'Modern Language'!K35+'Music Theatre Dance'!K43+Philosophy!K24+Physics!K26+'Political Science'!K28+Psych!K27+SASW!K41+Stats!K27+'Gender,Women &amp;Sexuality Studies'!K28</f>
        <v>189720</v>
      </c>
      <c r="L26" s="1095"/>
      <c r="M26" s="1096">
        <f>'Dean''s Office'!M101+'Amer Ethnic Studies'!M25+Art!M25+Biochemistry!M26+Biology!M41+Chemistry!M26+'Comm Studies'!M26+Economics!M28+English!M27+Geography!M29+Geology!M24+Hist!M31+JMC!M25+Math!M28+'Modern Language'!M35+'Music Theatre Dance'!M43+Philosophy!M24+Physics!M26+'Political Science'!M28+Psych!M27+SASW!M41+Stats!M27+'Gender,Women &amp;Sexuality Studies'!M28</f>
        <v>203549</v>
      </c>
      <c r="N26" s="1095"/>
      <c r="O26" s="1096">
        <f>'Dean''s Office'!O101+'Amer Ethnic Studies'!O25+Art!O25+Biochemistry!O26+Biology!O41+Chemistry!O26+'Comm Studies'!O26+Economics!O28+English!O27+Geography!O29+Geology!O24+Hist!O31+JMC!O25+Math!O28+'Modern Language'!O35+'Music Theatre Dance'!O43+Philosophy!O24+Physics!O26+'Political Science'!O28+Psych!O27+SASW!O41+Stats!O27+'Gender,Women &amp;Sexuality Studies'!O28</f>
        <v>201148</v>
      </c>
      <c r="P26" s="1095"/>
      <c r="Q26" s="1096">
        <f>'Dean''s Office'!Q101+'Amer Ethnic Studies'!Q25+Art!Q25+Biochemistry!Q26+Biology!Q41+Chemistry!Q26+'Comm Studies'!Q26+Economics!Q28+English!Q27+Geography!Q29+Geology!Q24+Hist!Q31+JMC!Q25+Math!Q28+'Modern Language'!Q35+'Music Theatre Dance'!Q43+Philosophy!Q24+Physics!Q26+'Political Science'!Q28+Psych!Q27+SASW!Q41+Stats!Q27+'Gender,Women &amp;Sexuality Studies'!Q28</f>
        <v>196475</v>
      </c>
      <c r="R26" s="1095"/>
      <c r="S26" s="1096">
        <f>'Dean''s Office'!S101+'Amer Ethnic Studies'!S25+Art!S25+Biochemistry!S26+Biology!S41+Chemistry!S26+'Comm Studies'!S26+Economics!S28+English!S27+Geography!S29+Geology!S24+Hist!S31+JMC!S25+Math!S28+'Modern Language'!S35+'Music Theatre Dance'!S43+Philosophy!S24+Physics!S26+'Political Science'!S28+Psych!S27+SASW!S41+Stats!S27+'Gender,Women &amp;Sexuality Studies'!S28</f>
        <v>184184</v>
      </c>
      <c r="T26" s="1095"/>
      <c r="U26" s="1371"/>
      <c r="V26" s="85"/>
      <c r="W26" s="85"/>
      <c r="X26" s="85"/>
      <c r="Y26" s="85"/>
    </row>
    <row r="27" spans="1:25" x14ac:dyDescent="0.2">
      <c r="A27" s="1094" t="s">
        <v>25</v>
      </c>
      <c r="B27" s="1088"/>
      <c r="C27" s="1191">
        <f>'Dean''s Office'!C102+'Amer Ethnic Studies'!C26+Art!C26+Biochemistry!C27+Biology!C42+Chemistry!C27+'Comm Studies'!C27+Economics!C29+English!C28+Geography!C30+Geology!C25+Hist!C32+JMC!C26+Math!C29+'Modern Language'!C36+'Music Theatre Dance'!C44+Philosophy!C25+Physics!C27+'Political Science'!C29+Psych!C28+SASW!C42+Stats!C28+'Gender,Women &amp;Sexuality Studies'!C29</f>
        <v>99405</v>
      </c>
      <c r="D27" s="1088"/>
      <c r="E27" s="1191">
        <f>'Dean''s Office'!E102+'Amer Ethnic Studies'!E26+Art!E26+Biochemistry!E27+Biology!E42+Chemistry!E27+'Comm Studies'!E27+Economics!E29+English!E28+Geography!E30+Geology!E25+Hist!E32+JMC!E26+Math!E29+'Modern Language'!E36+'Music Theatre Dance'!E44+Philosophy!E25+Physics!E27+'Political Science'!E29+Psych!E28+SASW!E42+Stats!E28+'Gender,Women &amp;Sexuality Studies'!E29</f>
        <v>95536</v>
      </c>
      <c r="F27" s="1088"/>
      <c r="G27" s="1191">
        <f>'Dean''s Office'!G102+'Amer Ethnic Studies'!G26+Art!G26+Biochemistry!G27+Biology!G42+Chemistry!G27+'Comm Studies'!G27+Economics!G29+English!G28+Geography!G30+Geology!G25+Hist!G32+JMC!G26+Math!G29+'Modern Language'!G36+'Music Theatre Dance'!G44+Philosophy!G25+Physics!G27+'Political Science'!G29+Psych!G28+SASW!G42+Stats!G28+'Gender,Women &amp;Sexuality Studies'!G29</f>
        <v>95819</v>
      </c>
      <c r="H27" s="1088"/>
      <c r="I27" s="1191">
        <f>'Dean''s Office'!I102+'Amer Ethnic Studies'!I26+Art!I26+Biochemistry!I27+Biology!I42+Chemistry!I27+'Comm Studies'!I27+Economics!I29+English!I28+Geography!I30+Geology!I25+Hist!I32+JMC!I26+Math!I29+'Modern Language'!I36+'Music Theatre Dance'!I44+Philosophy!I25+Physics!I27+'Political Science'!I29+Psych!I28+SASW!I42+Stats!I28+'Gender,Women &amp;Sexuality Studies'!I29</f>
        <v>99607</v>
      </c>
      <c r="J27" s="1088"/>
      <c r="K27" s="1191">
        <f>'Dean''s Office'!K102+'Amer Ethnic Studies'!K26+Art!K26+Biochemistry!K27+Biology!K42+Chemistry!K27+'Comm Studies'!K27+Economics!K29+English!K28+Geography!K30+Geology!K25+Hist!K32+JMC!K26+Math!K29+'Modern Language'!K36+'Music Theatre Dance'!K44+Philosophy!K25+Physics!K27+'Political Science'!K29+Psych!K28+SASW!K42+Stats!K28+'Gender,Women &amp;Sexuality Studies'!K29</f>
        <v>98100</v>
      </c>
      <c r="L27" s="1088"/>
      <c r="M27" s="1191">
        <f>'Dean''s Office'!M102+'Amer Ethnic Studies'!M26+Art!M26+Biochemistry!M27+Biology!M42+Chemistry!M27+'Comm Studies'!M27+Economics!M29+English!M28+Geography!M30+Geology!M25+Hist!M32+JMC!M26+Math!M29+'Modern Language'!M36+'Music Theatre Dance'!M44+Philosophy!M25+Physics!M27+'Political Science'!M29+Psych!M28+SASW!M42+Stats!M28+'Gender,Women &amp;Sexuality Studies'!M29</f>
        <v>96220</v>
      </c>
      <c r="N27" s="1088"/>
      <c r="O27" s="1191">
        <f>'Dean''s Office'!O102+'Amer Ethnic Studies'!O26+Art!O26+Biochemistry!O27+Biology!O42+Chemistry!O27+'Comm Studies'!O27+Economics!O29+English!O28+Geography!O30+Geology!O25+Hist!O32+JMC!O26+Math!O29+'Modern Language'!O36+'Music Theatre Dance'!O44+Philosophy!O25+Physics!O27+'Political Science'!O29+Psych!O28+SASW!O42+Stats!O28+'Gender,Women &amp;Sexuality Studies'!O29</f>
        <v>98490</v>
      </c>
      <c r="P27" s="1088"/>
      <c r="Q27" s="1191">
        <f>'Dean''s Office'!Q102+'Amer Ethnic Studies'!Q26+Art!Q26+Biochemistry!Q27+Biology!Q42+Chemistry!Q27+'Comm Studies'!Q27+Economics!Q29+English!Q28+Geography!Q30+Geology!Q25+Hist!Q32+JMC!Q26+Math!Q29+'Modern Language'!Q36+'Music Theatre Dance'!Q44+Philosophy!Q25+Physics!Q27+'Political Science'!Q29+Psych!Q28+SASW!Q42+Stats!Q28+'Gender,Women &amp;Sexuality Studies'!Q29</f>
        <v>98127</v>
      </c>
      <c r="R27" s="1088"/>
      <c r="S27" s="1191">
        <f>'Dean''s Office'!S102+'Amer Ethnic Studies'!S26+Art!S26+Biochemistry!S27+Biology!S42+Chemistry!S27+'Comm Studies'!S27+Economics!S29+English!S28+Geography!S30+Geology!S25+Hist!S32+JMC!S26+Math!S29+'Modern Language'!S36+'Music Theatre Dance'!S44+Philosophy!S25+Physics!S27+'Political Science'!S29+Psych!S28+SASW!S42+Stats!S28+'Gender,Women &amp;Sexuality Studies'!S29</f>
        <v>98099</v>
      </c>
      <c r="T27" s="1088"/>
      <c r="U27" s="1372"/>
      <c r="V27" s="85"/>
      <c r="W27" s="85"/>
      <c r="X27" s="85"/>
      <c r="Y27" s="85"/>
    </row>
    <row r="28" spans="1:25" x14ac:dyDescent="0.2">
      <c r="A28" s="1094" t="s">
        <v>26</v>
      </c>
      <c r="B28" s="1088"/>
      <c r="C28" s="1191">
        <f>'Dean''s Office'!C103+'Amer Ethnic Studies'!C27+Art!C27+Biochemistry!C28+Biology!C43+Chemistry!C28+'Comm Studies'!C28+Economics!C30+English!C29+Geography!C31+Geology!C26+Hist!C33+JMC!C27+Math!C30+'Modern Language'!C37+'Music Theatre Dance'!C45+Philosophy!C26+Physics!C28+'Political Science'!C30+Psych!C29+SASW!C43+Stats!C29+'Gender,Women &amp;Sexuality Studies'!C30</f>
        <v>12997</v>
      </c>
      <c r="D28" s="1088"/>
      <c r="E28" s="1191">
        <f>'Dean''s Office'!E103+'Amer Ethnic Studies'!E27+Art!E27+Biochemistry!E28+Biology!E43+Chemistry!E28+'Comm Studies'!E28+Economics!E30+English!E29+Geography!E31+Geology!E26+Hist!E33+JMC!E27+Math!E30+'Modern Language'!E37+'Music Theatre Dance'!E45+Philosophy!E26+Physics!E28+'Political Science'!E30+Psych!E29+SASW!E43+Stats!E29+'Gender,Women &amp;Sexuality Studies'!E30</f>
        <v>11690</v>
      </c>
      <c r="F28" s="1088"/>
      <c r="G28" s="1191">
        <f>'Dean''s Office'!G103+'Amer Ethnic Studies'!G27+Art!G27+Biochemistry!G28+Biology!G43+Chemistry!G28+'Comm Studies'!G28+Economics!G30+English!G29+Geography!G31+Geology!G26+Hist!G33+JMC!G27+Math!G30+'Modern Language'!G37+'Music Theatre Dance'!G45+Philosophy!G26+Physics!G28+'Political Science'!G30+Psych!G29+SASW!G43+Stats!G29+'Gender,Women &amp;Sexuality Studies'!G30</f>
        <v>12127</v>
      </c>
      <c r="H28" s="1088"/>
      <c r="I28" s="1191">
        <f>'Dean''s Office'!I103+'Amer Ethnic Studies'!I27+Art!I27+Biochemistry!I28+Biology!I43+Chemistry!I28+'Comm Studies'!I28+Economics!I30+English!I29+Geography!I31+Geology!I26+Hist!I33+JMC!I27+Math!I30+'Modern Language'!I37+'Music Theatre Dance'!I45+Philosophy!I26+Physics!I28+'Political Science'!I30+Psych!I29+SASW!I43+Stats!I29+'Gender,Women &amp;Sexuality Studies'!I30</f>
        <v>12488</v>
      </c>
      <c r="J28" s="1088"/>
      <c r="K28" s="1191">
        <f>'Dean''s Office'!K103+'Amer Ethnic Studies'!K27+Art!K27+Biochemistry!K28+Biology!K43+Chemistry!K28+'Comm Studies'!K28+Economics!K30+English!K29+Geography!K31+Geology!K26+Hist!K33+JMC!K27+Math!K30+'Modern Language'!K37+'Music Theatre Dance'!K45+Philosophy!K26+Physics!K28+'Political Science'!K30+Psych!K29+SASW!K43+Stats!K29+'Gender,Women &amp;Sexuality Studies'!K30</f>
        <v>12071</v>
      </c>
      <c r="L28" s="1088"/>
      <c r="M28" s="1191">
        <f>'Dean''s Office'!M103+'Amer Ethnic Studies'!M27+Art!M27+Biochemistry!M28+Biology!M43+Chemistry!M28+'Comm Studies'!M28+Economics!M30+English!M29+Geography!M31+Geology!M26+Hist!M33+JMC!M27+Math!M30+'Modern Language'!M37+'Music Theatre Dance'!M45+Philosophy!M26+Physics!M28+'Political Science'!M30+Psych!M29+SASW!M43+Stats!M29+'Gender,Women &amp;Sexuality Studies'!M30</f>
        <v>12215</v>
      </c>
      <c r="N28" s="1088"/>
      <c r="O28" s="1191">
        <f>'Dean''s Office'!O103+'Amer Ethnic Studies'!O27+Art!O27+Biochemistry!O28+Biology!O43+Chemistry!O28+'Comm Studies'!O28+Economics!O30+English!O29+Geography!O31+Geology!O26+Hist!O33+JMC!O27+Math!O30+'Modern Language'!O37+'Music Theatre Dance'!O45+Philosophy!O26+Physics!O28+'Political Science'!O30+Psych!O29+SASW!O43+Stats!O29+'Gender,Women &amp;Sexuality Studies'!O30</f>
        <v>12238</v>
      </c>
      <c r="P28" s="1088"/>
      <c r="Q28" s="1191">
        <f>'Dean''s Office'!Q103+'Amer Ethnic Studies'!Q27+Art!Q27+Biochemistry!Q28+Biology!Q43+Chemistry!Q28+'Comm Studies'!Q28+Economics!Q30+English!Q29+Geography!Q31+Geology!Q26+Hist!Q33+JMC!Q27+Math!Q30+'Modern Language'!Q37+'Music Theatre Dance'!Q45+Philosophy!Q26+Physics!Q28+'Political Science'!Q30+Psych!Q29+SASW!Q43+Stats!Q29+'Gender,Women &amp;Sexuality Studies'!Q30</f>
        <v>11888</v>
      </c>
      <c r="R28" s="1088"/>
      <c r="S28" s="1191">
        <f>'Dean''s Office'!S103+'Amer Ethnic Studies'!S27+Art!S27+Biochemistry!S28+Biology!S43+Chemistry!S28+'Comm Studies'!S28+Economics!S30+English!S29+Geography!S31+Geology!S26+Hist!S33+JMC!S27+Math!S30+'Modern Language'!S37+'Music Theatre Dance'!S45+Philosophy!S26+Physics!S28+'Political Science'!S30+Psych!S29+SASW!S43+Stats!S29+'Gender,Women &amp;Sexuality Studies'!S30</f>
        <v>11180</v>
      </c>
      <c r="T28" s="1088"/>
      <c r="U28" s="1372"/>
      <c r="V28" s="85"/>
      <c r="W28" s="85"/>
      <c r="X28" s="85"/>
      <c r="Y28" s="85"/>
    </row>
    <row r="29" spans="1:25" ht="13.5" thickBot="1" x14ac:dyDescent="0.25">
      <c r="A29" s="1098" t="s">
        <v>27</v>
      </c>
      <c r="B29" s="1192"/>
      <c r="C29" s="1193">
        <f>'Dean''s Office'!C104+'Amer Ethnic Studies'!C28+Art!C28+Biochemistry!C29+Biology!C44+Chemistry!C29+'Comm Studies'!C29+Economics!C31+English!C30+Geography!C32+Geology!C27+Hist!C34+JMC!C28+Math!C31+'Modern Language'!C38+'Music Theatre Dance'!C46+Philosophy!C27+Physics!C29+'Political Science'!C31+Psych!C30+SASW!C44+Stats!C30+'Gender,Women &amp;Sexuality Studies'!C31</f>
        <v>5292</v>
      </c>
      <c r="D29" s="1192"/>
      <c r="E29" s="1193">
        <f>'Dean''s Office'!E104+'Amer Ethnic Studies'!E28+Art!E28+Biochemistry!E29+Biology!E44+Chemistry!E29+'Comm Studies'!E29+Economics!E31+English!E30+Geography!E32+Geology!E27+Hist!E34+JMC!E28+Math!E31+'Modern Language'!E38+'Music Theatre Dance'!E46+Philosophy!E27+Physics!E29+'Political Science'!E31+Psych!E30+SASW!E44+Stats!E30+'Gender,Women &amp;Sexuality Studies'!E31</f>
        <v>5560</v>
      </c>
      <c r="F29" s="1192"/>
      <c r="G29" s="1193">
        <f>'Dean''s Office'!G104+'Amer Ethnic Studies'!G28+Art!G28+Biochemistry!G29+Biology!G44+Chemistry!G29+'Comm Studies'!G29+Economics!G31+English!G30+Geography!G32+Geology!G27+Hist!G34+JMC!G28+Math!G31+'Modern Language'!G38+'Music Theatre Dance'!G46+Philosophy!G27+Physics!G29+'Political Science'!G31+Psych!G30+SASW!G44+Stats!G30+'Gender,Women &amp;Sexuality Studies'!G31</f>
        <v>5332</v>
      </c>
      <c r="H29" s="1192"/>
      <c r="I29" s="1193">
        <f>'Dean''s Office'!I104+'Amer Ethnic Studies'!I28+Art!I28+Biochemistry!I29+Biology!I44+Chemistry!I29+'Comm Studies'!I29+Economics!I31+English!I30+Geography!I32+Geology!I27+Hist!I34+JMC!I28+Math!I31+'Modern Language'!I38+'Music Theatre Dance'!I46+Philosophy!I27+Physics!I29+'Political Science'!I31+Psych!I30+SASW!I44+Stats!I30+'Gender,Women &amp;Sexuality Studies'!I31</f>
        <v>5431</v>
      </c>
      <c r="J29" s="1192"/>
      <c r="K29" s="1193">
        <f>'Dean''s Office'!K104+'Amer Ethnic Studies'!K28+Art!K28+Biochemistry!K29+Biology!K44+Chemistry!K29+'Comm Studies'!K29+Economics!K31+English!K30+Geography!K32+Geology!K27+Hist!K34+JMC!K28+Math!K31+'Modern Language'!K38+'Music Theatre Dance'!K46+Philosophy!K27+Physics!K29+'Political Science'!K31+Psych!K30+SASW!K44+Stats!K30+'Gender,Women &amp;Sexuality Studies'!K31</f>
        <v>5519</v>
      </c>
      <c r="L29" s="1192"/>
      <c r="M29" s="1193">
        <f>'Dean''s Office'!M104+'Amer Ethnic Studies'!M28+Art!M28+Biochemistry!M29+Biology!M44+Chemistry!M29+'Comm Studies'!M29+Economics!M31+English!M30+Geography!M32+Geology!M27+Hist!M34+JMC!M28+Math!M31+'Modern Language'!M38+'Music Theatre Dance'!M46+Philosophy!M27+Physics!M29+'Political Science'!M31+Psych!M30+SASW!M44+Stats!M30+'Gender,Women &amp;Sexuality Studies'!M31</f>
        <v>5351</v>
      </c>
      <c r="N29" s="1192"/>
      <c r="O29" s="1193">
        <f>'Dean''s Office'!O104+'Amer Ethnic Studies'!O28+Art!O28+Biochemistry!O29+Biology!O44+Chemistry!O29+'Comm Studies'!O29+Economics!O31+English!O30+Geography!O32+Geology!O27+Hist!O34+JMC!O28+Math!O31+'Modern Language'!O38+'Music Theatre Dance'!O46+Philosophy!O27+Physics!O29+'Political Science'!O31+Psych!O30+SASW!O44+Stats!O30+'Gender,Women &amp;Sexuality Studies'!O31</f>
        <v>5112</v>
      </c>
      <c r="P29" s="1192"/>
      <c r="Q29" s="1193">
        <f>'Dean''s Office'!Q104+'Amer Ethnic Studies'!Q28+Art!Q28+Biochemistry!Q29+Biology!Q44+Chemistry!Q29+'Comm Studies'!Q29+Economics!Q31+English!Q30+Geography!Q32+Geology!Q27+Hist!Q34+JMC!Q28+Math!Q31+'Modern Language'!Q38+'Music Theatre Dance'!Q46+Philosophy!Q27+Physics!Q29+'Political Science'!Q31+Psych!Q30+SASW!Q44+Stats!Q30+'Gender,Women &amp;Sexuality Studies'!Q31</f>
        <v>4782</v>
      </c>
      <c r="R29" s="1192"/>
      <c r="S29" s="1193">
        <f>'Dean''s Office'!S104+'Amer Ethnic Studies'!S28+Art!S28+Biochemistry!S29+Biology!S44+Chemistry!S29+'Comm Studies'!S29+Economics!S31+English!S30+Geography!S32+Geology!S27+Hist!S34+JMC!S28+Math!S31+'Modern Language'!S38+'Music Theatre Dance'!S46+Philosophy!S27+Physics!S29+'Political Science'!S31+Psych!S30+SASW!S44+Stats!S30+'Gender,Women &amp;Sexuality Studies'!S31</f>
        <v>4766</v>
      </c>
      <c r="T29" s="1192"/>
      <c r="U29" s="1373"/>
      <c r="V29" s="85"/>
      <c r="W29" s="85"/>
      <c r="X29" s="85"/>
      <c r="Y29" s="85"/>
    </row>
    <row r="30" spans="1:25" ht="13.5" thickBot="1" x14ac:dyDescent="0.25">
      <c r="A30" s="1099" t="s">
        <v>28</v>
      </c>
      <c r="B30" s="1100"/>
      <c r="C30" s="1101">
        <f>SUM(C26:C29)</f>
        <v>295352</v>
      </c>
      <c r="D30" s="1100"/>
      <c r="E30" s="1101">
        <f>SUM(E26:E29)</f>
        <v>298071</v>
      </c>
      <c r="F30" s="1100"/>
      <c r="G30" s="1101">
        <f>SUM(G26:G29)</f>
        <v>304505</v>
      </c>
      <c r="H30" s="1100"/>
      <c r="I30" s="1101">
        <f>SUM(I26:I29)</f>
        <v>311864</v>
      </c>
      <c r="J30" s="1100"/>
      <c r="K30" s="1101">
        <f>SUM(K26:K29)</f>
        <v>305410</v>
      </c>
      <c r="L30" s="1100"/>
      <c r="M30" s="1101">
        <f>SUM(M26:M29)</f>
        <v>317335</v>
      </c>
      <c r="N30" s="1100"/>
      <c r="O30" s="1101">
        <f>SUM(O26:O29)</f>
        <v>316988</v>
      </c>
      <c r="P30" s="1100"/>
      <c r="Q30" s="1101">
        <f>SUM(Q26:Q29)</f>
        <v>311272</v>
      </c>
      <c r="R30" s="1100"/>
      <c r="S30" s="1101">
        <f>SUM(S26:S29)</f>
        <v>298229</v>
      </c>
      <c r="T30" s="1100"/>
      <c r="U30" s="1374"/>
      <c r="V30" s="1102"/>
      <c r="W30" s="1102"/>
      <c r="X30" s="1102"/>
      <c r="Y30" s="85"/>
    </row>
    <row r="31" spans="1:25" ht="14.25" thickTop="1" thickBot="1" x14ac:dyDescent="0.25">
      <c r="A31" s="1199"/>
      <c r="B31" s="1200"/>
      <c r="C31" s="1200"/>
      <c r="D31" s="1200"/>
      <c r="E31" s="1200"/>
      <c r="F31" s="1200"/>
      <c r="G31" s="1200"/>
      <c r="H31" s="1200"/>
      <c r="I31" s="1200"/>
      <c r="J31" s="1200"/>
      <c r="K31" s="1200"/>
      <c r="L31" s="1200"/>
      <c r="M31" s="1200"/>
      <c r="N31" s="1200"/>
      <c r="O31" s="1200"/>
      <c r="P31" s="1200"/>
      <c r="Q31" s="1200"/>
      <c r="R31" s="1200"/>
      <c r="S31" s="1200"/>
      <c r="T31" s="1200"/>
      <c r="U31" s="1200"/>
      <c r="V31" s="85"/>
      <c r="W31" s="85"/>
      <c r="X31" s="85"/>
      <c r="Y31" s="85"/>
    </row>
    <row r="32" spans="1:25" ht="14.25" thickTop="1" thickBot="1" x14ac:dyDescent="0.25">
      <c r="A32" s="221" t="s">
        <v>67</v>
      </c>
      <c r="B32" s="789" t="s">
        <v>39</v>
      </c>
      <c r="C32" s="1103" t="s">
        <v>74</v>
      </c>
      <c r="D32" s="789" t="s">
        <v>39</v>
      </c>
      <c r="E32" s="1103" t="s">
        <v>74</v>
      </c>
      <c r="F32" s="1104" t="s">
        <v>39</v>
      </c>
      <c r="G32" s="788" t="s">
        <v>74</v>
      </c>
      <c r="H32" s="789" t="s">
        <v>39</v>
      </c>
      <c r="I32" s="1103" t="s">
        <v>74</v>
      </c>
      <c r="J32" s="1104" t="s">
        <v>39</v>
      </c>
      <c r="K32" s="788" t="s">
        <v>74</v>
      </c>
      <c r="L32" s="789" t="s">
        <v>39</v>
      </c>
      <c r="M32" s="1103" t="s">
        <v>74</v>
      </c>
      <c r="N32" s="1104" t="s">
        <v>39</v>
      </c>
      <c r="O32" s="788" t="s">
        <v>74</v>
      </c>
      <c r="P32" s="789" t="s">
        <v>39</v>
      </c>
      <c r="Q32" s="1103" t="s">
        <v>74</v>
      </c>
      <c r="R32" s="789" t="s">
        <v>39</v>
      </c>
      <c r="S32" s="1103" t="s">
        <v>74</v>
      </c>
      <c r="T32" s="1104" t="s">
        <v>39</v>
      </c>
      <c r="U32" s="790" t="s">
        <v>74</v>
      </c>
      <c r="V32" s="85"/>
      <c r="W32" s="1105"/>
      <c r="X32" s="1106"/>
      <c r="Y32" s="85"/>
    </row>
    <row r="33" spans="1:25" x14ac:dyDescent="0.2">
      <c r="A33" s="1107" t="s">
        <v>68</v>
      </c>
      <c r="B33" s="1206"/>
      <c r="C33" s="1207"/>
      <c r="D33" s="1206"/>
      <c r="E33" s="1207"/>
      <c r="F33" s="1208"/>
      <c r="G33" s="1209"/>
      <c r="H33" s="1097">
        <f>Art!H36+Biochemistry!H37+Biology!H53+Chemistry!H37+'Comm Studies'!H37+Economics!H39+English!H38+Geography!H40+Geology!H35+Hist!H42+Hist!H43+JMC!H36+Math!H39+'Modern Language'!H46+'Music Theatre Dance'!H54+'Music Theatre Dance'!H55+Physics!H37+'Political Science'!H39+'Political Science'!H40+Psych!H38+SASW!H52+Stats!H38</f>
        <v>216</v>
      </c>
      <c r="I33" s="1108">
        <f>H33/H16</f>
        <v>0.45</v>
      </c>
      <c r="J33" s="1097">
        <f>Art!J36+Biochemistry!J37+Biology!J53+Chemistry!J37+'Comm Studies'!J37+Economics!J39+English!J38+Geography!J40+Geology!J35+Hist!J42+Hist!J43+JMC!J36+Math!J39+'Modern Language'!J46+'Music Theatre Dance'!J54+'Music Theatre Dance'!J55+Physics!J37+'Political Science'!J39+'Political Science'!J40+Psych!J38+SASW!J52+Stats!J38</f>
        <v>233</v>
      </c>
      <c r="K33" s="1108">
        <f>J33/J16</f>
        <v>0.47648261758691207</v>
      </c>
      <c r="L33" s="1097">
        <f>Art!L36+Biochemistry!L37+Biology!L53+Chemistry!L37+'Comm Studies'!L37+Economics!L39+English!L38+Geography!L40+Geology!L35+Hist!L42+Hist!L43+JMC!L36+Math!L39+'Modern Language'!L46+'Music Theatre Dance'!L54+'Music Theatre Dance'!L55+Physics!L37+'Political Science'!L39+'Political Science'!L40+Psych!L38+SASW!L52+Stats!L38</f>
        <v>236</v>
      </c>
      <c r="M33" s="1108">
        <f>L33/L16</f>
        <v>0.50106157112526539</v>
      </c>
      <c r="N33" s="1097">
        <f>Art!N36+Biochemistry!N37+Biology!N53+Chemistry!N37+'Comm Studies'!N37+Economics!N39+English!N38+Geography!N40+Geology!N35+Hist!N42+Hist!N43+JMC!N36+Math!N39+'Modern Language'!N46+'Music Theatre Dance'!N54+'Music Theatre Dance'!N55+Physics!N37+'Political Science'!N39+'Political Science'!N40+Psych!N38+SASW!N52+Stats!N38</f>
        <v>228</v>
      </c>
      <c r="O33" s="1108">
        <f>N33/N16</f>
        <v>0.51936218678815493</v>
      </c>
      <c r="P33" s="1097">
        <f>Art!P36+Biochemistry!P37+Biology!P53+Chemistry!P37+'Comm Studies'!P37+Economics!P39+English!P38+Geography!P40+Geology!P35+Hist!P42+Hist!P43+JMC!P36+Math!P39+'Modern Language'!P46+'Music Theatre Dance'!P54+'Music Theatre Dance'!P55+Physics!P37+'Political Science'!P39+'Political Science'!P40+Psych!P38+SASW!P52+Stats!P38</f>
        <v>229</v>
      </c>
      <c r="Q33" s="1108">
        <f>P33/P16</f>
        <v>0.50551876379690952</v>
      </c>
      <c r="R33" s="1097">
        <f>Art!R36+Biochemistry!R37+Biology!R53+Chemistry!R37+'Comm Studies'!R37+Economics!R39+English!R38+Geography!R40+Geology!R35+Hist!R42+Hist!R43+JMC!R36+Math!R39+'Modern Language'!R46+'Music Theatre Dance'!R54+'Music Theatre Dance'!R55+Physics!R37+'Political Science'!R39+'Political Science'!R40+Psych!R38+SASW!R52+Stats!R38</f>
        <v>202</v>
      </c>
      <c r="S33" s="1108">
        <f>R33/R16</f>
        <v>0.52467532467532463</v>
      </c>
      <c r="T33" s="1097">
        <f>Art!T36+Biochemistry!T37+Biology!T53+Chemistry!T37+'Comm Studies'!T37+Economics!T39+English!T38+Geography!T40+Geology!T35+Hist!T42+Hist!T43+JMC!T36+Math!T39+'Modern Language'!T46+'Music Theatre Dance'!T54+'Music Theatre Dance'!T55+Physics!T37+'Political Science'!T39+'Political Science'!T40+Psych!T38+SASW!T52+Stats!T38</f>
        <v>0</v>
      </c>
      <c r="U33" s="1109">
        <f>T33/T16</f>
        <v>0</v>
      </c>
      <c r="V33" s="85"/>
      <c r="W33" s="85"/>
      <c r="X33" s="85"/>
      <c r="Y33" s="85"/>
    </row>
    <row r="34" spans="1:25" ht="13.5" thickBot="1" x14ac:dyDescent="0.25">
      <c r="A34" s="1110" t="s">
        <v>69</v>
      </c>
      <c r="B34" s="1210"/>
      <c r="C34" s="1211"/>
      <c r="D34" s="1210"/>
      <c r="E34" s="1211"/>
      <c r="F34" s="1210"/>
      <c r="G34" s="1211"/>
      <c r="H34" s="1113">
        <f>Biochemistry!H38+Biology!H54+Biology!H55+Chemistry!H38+Economics!H40+Geography!H41+Hist!H44+Hist!H45+Math!H40+Physics!H38+Psych!H39+SASW!H53+Stats!H39</f>
        <v>316</v>
      </c>
      <c r="I34" s="1112">
        <f>H34/H18</f>
        <v>0.70852017937219736</v>
      </c>
      <c r="J34" s="1113">
        <f>Biochemistry!J38+Biology!J54+Biology!J55+Chemistry!J38+Economics!J40+Geography!J41+Hist!J44+Hist!J45+Math!J40+Physics!J38+Psych!J39+SASW!J53+Stats!J39</f>
        <v>327</v>
      </c>
      <c r="K34" s="1112">
        <f>J34/J18</f>
        <v>0.73483146067415728</v>
      </c>
      <c r="L34" s="1113">
        <f>Biochemistry!L38+Biology!L54+Biology!L55+Chemistry!L38+Economics!L40+Geography!L41+Hist!L44+Hist!L45+Math!L40+Physics!L38+Psych!L39+SASW!L53+Stats!L39</f>
        <v>334</v>
      </c>
      <c r="M34" s="1112">
        <f>L34/L18</f>
        <v>0.72766884531590414</v>
      </c>
      <c r="N34" s="1113">
        <f>Biochemistry!N38+Biology!N54+Biology!N55+Chemistry!N38+Economics!N40+Geography!N41+Hist!N44+Hist!N45+Math!N40+Physics!N38+Psych!N39+SASW!N53+Stats!N39</f>
        <v>321</v>
      </c>
      <c r="O34" s="1112">
        <f>N34/N18</f>
        <v>0.75707547169811318</v>
      </c>
      <c r="P34" s="1113">
        <f>Biochemistry!P38+Biology!P54+Biology!P55+Chemistry!P38+Economics!P40+Geography!P41+Hist!P44+Hist!P45+Math!P40+Physics!P38+Psych!P39+SASW!P53+Stats!P39</f>
        <v>321</v>
      </c>
      <c r="Q34" s="1112">
        <f>P34/P18</f>
        <v>0.75529411764705878</v>
      </c>
      <c r="R34" s="1113">
        <f>Biochemistry!R38+Biology!R54+Biology!R55+Chemistry!R38+Economics!R40+Geography!R41+Hist!R44+Hist!R45+Math!R40+Physics!R38+Psych!R39+SASW!R53+Stats!R39</f>
        <v>331</v>
      </c>
      <c r="S34" s="1112">
        <f>R34/R18</f>
        <v>0.77336448598130836</v>
      </c>
      <c r="T34" s="1113">
        <f>Biochemistry!T38+Biology!T54+Biology!T55+Chemistry!T38+Economics!T40+Geography!T41+Hist!T44+Hist!T45+Math!T40+Physics!T38+Psych!T39+SASW!T53+Stats!T39</f>
        <v>0</v>
      </c>
      <c r="U34" s="1114">
        <f>T34/T18</f>
        <v>0</v>
      </c>
      <c r="V34" s="85"/>
      <c r="W34" s="85"/>
      <c r="X34" s="85"/>
      <c r="Y34" s="85"/>
    </row>
    <row r="35" spans="1:25" ht="13.5" thickTop="1" x14ac:dyDescent="0.2">
      <c r="V35" s="85"/>
      <c r="W35" s="85"/>
      <c r="X35" s="85"/>
      <c r="Y35" s="85"/>
    </row>
    <row r="36" spans="1:25" ht="13.5" thickBot="1" x14ac:dyDescent="0.25">
      <c r="V36" s="85"/>
      <c r="W36" s="85" t="s">
        <v>19</v>
      </c>
      <c r="X36" s="85"/>
      <c r="Y36" s="85"/>
    </row>
    <row r="37" spans="1:25" ht="14.25" thickTop="1" thickBot="1" x14ac:dyDescent="0.25">
      <c r="A37" s="1115" t="s">
        <v>247</v>
      </c>
      <c r="B37" s="1385" t="s">
        <v>30</v>
      </c>
      <c r="C37" s="1396"/>
      <c r="D37" s="1385" t="s">
        <v>31</v>
      </c>
      <c r="E37" s="1396"/>
      <c r="F37" s="1385" t="s">
        <v>32</v>
      </c>
      <c r="G37" s="1396"/>
      <c r="H37" s="1385" t="s">
        <v>33</v>
      </c>
      <c r="I37" s="1396"/>
      <c r="J37" s="1385" t="s">
        <v>34</v>
      </c>
      <c r="K37" s="1396"/>
      <c r="L37" s="1385" t="s">
        <v>35</v>
      </c>
      <c r="M37" s="1396"/>
      <c r="N37" s="1385" t="s">
        <v>36</v>
      </c>
      <c r="O37" s="1396"/>
      <c r="P37" s="1385" t="s">
        <v>37</v>
      </c>
      <c r="Q37" s="1396"/>
      <c r="R37" s="1385" t="s">
        <v>38</v>
      </c>
      <c r="S37" s="1396"/>
      <c r="T37" s="1385" t="s">
        <v>302</v>
      </c>
      <c r="U37" s="1386"/>
      <c r="V37" s="85"/>
      <c r="W37" s="85"/>
      <c r="X37" s="85"/>
      <c r="Y37" s="85"/>
    </row>
    <row r="38" spans="1:25" ht="24" x14ac:dyDescent="0.2">
      <c r="A38" s="715" t="s">
        <v>254</v>
      </c>
      <c r="B38" s="1095"/>
      <c r="C38" s="1116"/>
      <c r="D38" s="1095"/>
      <c r="E38" s="1116"/>
      <c r="F38" s="1095"/>
      <c r="G38" s="1116"/>
      <c r="H38" s="1117"/>
      <c r="I38" s="1116"/>
      <c r="J38" s="1117"/>
      <c r="K38" s="1116"/>
      <c r="L38" s="1117"/>
      <c r="M38" s="1116"/>
      <c r="N38" s="1117"/>
      <c r="O38" s="1116"/>
      <c r="P38" s="1117"/>
      <c r="Q38" s="1116"/>
      <c r="R38" s="1117"/>
      <c r="S38" s="1116"/>
      <c r="T38" s="1117"/>
      <c r="U38" s="1118"/>
      <c r="V38" s="85"/>
      <c r="W38" s="85"/>
      <c r="X38" s="85"/>
      <c r="Y38" s="85"/>
    </row>
    <row r="39" spans="1:25" ht="24" x14ac:dyDescent="0.2">
      <c r="A39" s="1119" t="s">
        <v>237</v>
      </c>
      <c r="B39" s="1088"/>
      <c r="C39" s="1191">
        <f>'Amer Ethnic Studies'!C39+Art!C41+Biochemistry!C43+Biology!C60+Chemistry!C43+'Comm Studies'!C42+Economics!C45+English!C43+Geography!C46+Geology!C40+Hist!C50+JMC!C41+Math!C46+'Modern Language'!C51+'Music Theatre Dance'!C60+Philosophy!C38+Physics!C43+'Political Science'!C45+Psych!C44+SASW!C58+Stats!C45+'Gender,Women &amp;Sexuality Studies'!C42</f>
        <v>301</v>
      </c>
      <c r="D39" s="1088"/>
      <c r="E39" s="1191">
        <f>'Amer Ethnic Studies'!E39+Art!E41+Biochemistry!E43+Biology!E60+Chemistry!E43+'Comm Studies'!E42+Economics!E45+English!E43+Geography!E46+Geology!E40+Hist!E50+JMC!E41+Math!E46+'Modern Language'!E51+'Music Theatre Dance'!E60+Philosophy!E38+Physics!E43+'Political Science'!E45+Psych!E44+SASW!E58+Stats!E45+'Gender,Women &amp;Sexuality Studies'!E42</f>
        <v>316</v>
      </c>
      <c r="F39" s="1088"/>
      <c r="G39" s="1191">
        <f>'Amer Ethnic Studies'!G39+Art!G41+Biochemistry!G43+Biology!G60+Chemistry!G43+'Comm Studies'!G42+Economics!G45+English!G43+Geography!G46+Geology!G40+Hist!G50+JMC!G41+Math!G46+'Modern Language'!G51+'Music Theatre Dance'!G60+Philosophy!G38+Physics!G43+'Political Science'!G45+Psych!G44+SASW!G58+Stats!G45+'Gender,Women &amp;Sexuality Studies'!G42</f>
        <v>308</v>
      </c>
      <c r="H39" s="1088"/>
      <c r="I39" s="1191">
        <f>'Amer Ethnic Studies'!I39+Art!I41+Biochemistry!I43+Biology!I60+Chemistry!I43+'Comm Studies'!I42+Economics!I45+English!I43+Geography!I46+Geology!I40+Hist!I50+JMC!I41+Math!I46+'Modern Language'!I51+'Music Theatre Dance'!I60+Philosophy!I38+Physics!I43+'Political Science'!I45+Psych!I44+SASW!I58+Stats!I45+'Gender,Women &amp;Sexuality Studies'!I42</f>
        <v>302</v>
      </c>
      <c r="J39" s="1088"/>
      <c r="K39" s="1191">
        <f>'Amer Ethnic Studies'!K39+Art!K41+Biochemistry!K43+Biology!K60+Chemistry!K43+'Comm Studies'!K42+Economics!K45+English!K43+Geography!K46+Geology!K40+Hist!K50+JMC!K41+Math!K46+'Modern Language'!K51+'Music Theatre Dance'!K60+Philosophy!K38+Physics!K43+'Political Science'!K45+Psych!K44+SASW!K58+Stats!K45+'Gender,Women &amp;Sexuality Studies'!K42</f>
        <v>303</v>
      </c>
      <c r="L39" s="1088"/>
      <c r="M39" s="1191">
        <f>'Amer Ethnic Studies'!M39+Art!M41+Biochemistry!M43+Biology!M60+Chemistry!M43+'Comm Studies'!M42+Economics!M45+English!M43+Geography!M46+Geology!M40+Hist!M50+JMC!M41+Math!M46+'Modern Language'!M51+'Music Theatre Dance'!M60+Philosophy!M38+Physics!M43+'Political Science'!M45+Psych!M44+SASW!M58+Stats!M45+'Gender,Women &amp;Sexuality Studies'!M42</f>
        <v>341</v>
      </c>
      <c r="N39" s="1088"/>
      <c r="O39" s="1191">
        <f>'Amer Ethnic Studies'!O39+Art!O41+Biochemistry!O43+Biology!O60+Chemistry!O43+'Comm Studies'!O42+Economics!O45+English!O43+Geography!O46+Geology!O40+Hist!O50+JMC!O41+Math!O46+'Modern Language'!O51+'Music Theatre Dance'!O60+Philosophy!O38+Physics!O43+'Political Science'!O45+Psych!O44+SASW!O58+Stats!O45+'Gender,Women &amp;Sexuality Studies'!O42</f>
        <v>357</v>
      </c>
      <c r="P39" s="1088"/>
      <c r="Q39" s="1191">
        <f>'Amer Ethnic Studies'!Q39+Art!Q41+Biochemistry!Q43+Biology!Q60+Chemistry!Q43+'Comm Studies'!Q42+Economics!Q45+English!Q43+Geography!Q46+Geology!Q40+Hist!Q50+JMC!Q41+Math!Q46+'Modern Language'!Q51+'Music Theatre Dance'!Q60+Philosophy!Q38+Physics!Q43+'Political Science'!Q45+Psych!Q44+SASW!Q58+Stats!Q45+'Gender,Women &amp;Sexuality Studies'!Q42</f>
        <v>357</v>
      </c>
      <c r="R39" s="1088"/>
      <c r="S39" s="1191">
        <f>'Amer Ethnic Studies'!S39+Art!S41+Biochemistry!S43+Biology!S60+Chemistry!S43+'Comm Studies'!S42+Economics!S45+English!S43+Geography!S46+Geology!S40+Hist!S50+JMC!S41+Math!S46+'Modern Language'!S51+'Music Theatre Dance'!S60+Philosophy!S38+Physics!S43+'Political Science'!S45+Psych!S44+SASW!S58+Stats!S45+'Gender,Women &amp;Sexuality Studies'!S42</f>
        <v>380</v>
      </c>
      <c r="T39" s="1088"/>
      <c r="U39" s="1196">
        <f>'Amer Ethnic Studies'!U39+Art!U41+Biochemistry!U43+Biology!U60+Chemistry!U43+'Comm Studies'!U42+Economics!U45+English!U43+Geography!U46+Geology!U40+Hist!U50+JMC!U41+Math!U46+'Modern Language'!U51+'Music Theatre Dance'!U60+Philosophy!U38+Physics!U43+'Political Science'!U45+Psych!U44+SASW!U58+Stats!U45+'Gender,Women &amp;Sexuality Studies'!U42</f>
        <v>0</v>
      </c>
      <c r="V39" s="85"/>
      <c r="W39" s="85"/>
      <c r="X39" s="85"/>
      <c r="Y39" s="85"/>
    </row>
    <row r="40" spans="1:25" ht="24" x14ac:dyDescent="0.2">
      <c r="A40" s="1120" t="s">
        <v>252</v>
      </c>
      <c r="B40" s="1088"/>
      <c r="C40" s="1191">
        <f>'Amer Ethnic Studies'!C40+Art!C42+Biochemistry!C44+Biology!C61+Chemistry!C44+'Comm Studies'!C43+Economics!C46+English!C44+Geography!C47+Geology!C41+Hist!C51+JMC!C42+Math!C47+'Modern Language'!C52+'Music Theatre Dance'!C61+Philosophy!C39+Physics!C44+'Political Science'!C46+Psych!C45+SASW!C59+Stats!C46+'Gender,Women &amp;Sexuality Studies'!C43</f>
        <v>298</v>
      </c>
      <c r="D40" s="1088"/>
      <c r="E40" s="1191">
        <f>'Amer Ethnic Studies'!E40+Art!E42+Biochemistry!E44+Biology!E61+Chemistry!E44+'Comm Studies'!E43+Economics!E46+English!E44+Geography!E47+Geology!E41+Hist!E51+JMC!E42+Math!E47+'Modern Language'!E52+'Music Theatre Dance'!E61+Philosophy!E39+Physics!E44+'Political Science'!E46+Psych!E45+SASW!E59+Stats!E46+'Gender,Women &amp;Sexuality Studies'!E43</f>
        <v>313</v>
      </c>
      <c r="F40" s="1088"/>
      <c r="G40" s="1191">
        <f>'Amer Ethnic Studies'!G40+Art!G42+Biochemistry!G44+Biology!G61+Chemistry!G44+'Comm Studies'!G43+Economics!G46+English!G44+Geography!G47+Geology!G41+Hist!G51+JMC!G42+Math!G47+'Modern Language'!G52+'Music Theatre Dance'!G61+Philosophy!G39+Physics!G44+'Political Science'!G46+Psych!G45+SASW!G59+Stats!G46+'Gender,Women &amp;Sexuality Studies'!G43</f>
        <v>304</v>
      </c>
      <c r="H40" s="1088"/>
      <c r="I40" s="1191">
        <f>'Amer Ethnic Studies'!I40+Art!I42+Biochemistry!I44+Biology!I61+Chemistry!I44+'Comm Studies'!I43+Economics!I46+English!I44+Geography!I47+Geology!I41+Hist!I51+JMC!I42+Math!I47+'Modern Language'!I52+'Music Theatre Dance'!I61+Philosophy!I39+Physics!I44+'Political Science'!I46+Psych!I45+SASW!I59+Stats!I46+'Gender,Women &amp;Sexuality Studies'!I43</f>
        <v>296</v>
      </c>
      <c r="J40" s="1088"/>
      <c r="K40" s="1191">
        <f>'Amer Ethnic Studies'!K40+Art!K42+Biochemistry!K44+Biology!K61+Chemistry!K44+'Comm Studies'!K43+Economics!K46+English!K44+Geography!K47+Geology!K41+Hist!K51+JMC!K42+Math!K47+'Modern Language'!K52+'Music Theatre Dance'!K61+Philosophy!K39+Physics!K44+'Political Science'!K46+Psych!K45+SASW!K59+Stats!K46+'Gender,Women &amp;Sexuality Studies'!K43</f>
        <v>295</v>
      </c>
      <c r="L40" s="1088"/>
      <c r="M40" s="1191">
        <f>'Amer Ethnic Studies'!M40+Art!M42+Biochemistry!M44+Biology!M61+Chemistry!M44+'Comm Studies'!M43+Economics!M46+English!M44+Geography!M47+Geology!M41+Hist!M51+JMC!M42+Math!M47+'Modern Language'!M52+'Music Theatre Dance'!M61+Philosophy!M39+Physics!M44+'Political Science'!M46+Psych!M45+SASW!M59+Stats!M46+'Gender,Women &amp;Sexuality Studies'!M43</f>
        <v>341</v>
      </c>
      <c r="N40" s="1088"/>
      <c r="O40" s="1191">
        <f>'Amer Ethnic Studies'!O40+Art!O42+Biochemistry!O44+Biology!O61+Chemistry!O44+'Comm Studies'!O43+Economics!O46+English!O44+Geography!O47+Geology!O41+Hist!O51+JMC!O42+Math!O47+'Modern Language'!O52+'Music Theatre Dance'!O61+Philosophy!O39+Physics!O44+'Political Science'!O46+Psych!O45+SASW!O59+Stats!O46+'Gender,Women &amp;Sexuality Studies'!O43</f>
        <v>355</v>
      </c>
      <c r="P40" s="1088"/>
      <c r="Q40" s="1191">
        <f>'Amer Ethnic Studies'!Q40+Art!Q42+Biochemistry!Q44+Biology!Q61+Chemistry!Q44+'Comm Studies'!Q43+Economics!Q46+English!Q44+Geography!Q47+Geology!Q41+Hist!Q51+JMC!Q42+Math!Q47+'Modern Language'!Q52+'Music Theatre Dance'!Q61+Philosophy!Q39+Physics!Q44+'Political Science'!Q46+Psych!Q45+SASW!Q59+Stats!Q46+'Gender,Women &amp;Sexuality Studies'!Q43</f>
        <v>357</v>
      </c>
      <c r="R40" s="1088"/>
      <c r="S40" s="1191">
        <f>'Amer Ethnic Studies'!S40+Art!S42+Biochemistry!S44+Biology!S61+Chemistry!S44+'Comm Studies'!S43+Economics!S46+English!S44+Geography!S47+Geology!S41+Hist!S51+JMC!S42+Math!S47+'Modern Language'!S52+'Music Theatre Dance'!S61+Philosophy!S39+Physics!S44+'Political Science'!S46+Psych!S45+SASW!S59+Stats!S46+'Gender,Women &amp;Sexuality Studies'!S43</f>
        <v>378</v>
      </c>
      <c r="T40" s="1088"/>
      <c r="U40" s="1196">
        <f>'Amer Ethnic Studies'!U40+Art!U42+Biochemistry!U44+Biology!U61+Chemistry!U44+'Comm Studies'!U43+Economics!U46+English!U44+Geography!U47+Geology!U41+Hist!U51+JMC!U42+Math!U47+'Modern Language'!U52+'Music Theatre Dance'!U61+Philosophy!U39+Physics!U44+'Political Science'!U46+Psych!U45+SASW!U59+Stats!U46+'Gender,Women &amp;Sexuality Studies'!U43</f>
        <v>0</v>
      </c>
      <c r="V40" s="85"/>
      <c r="W40" s="85"/>
      <c r="X40" s="85"/>
      <c r="Y40" s="85"/>
    </row>
    <row r="41" spans="1:25" ht="13.5" thickBot="1" x14ac:dyDescent="0.25">
      <c r="A41" s="1121" t="s">
        <v>238</v>
      </c>
      <c r="B41" s="1122"/>
      <c r="C41" s="1191">
        <f>'Amer Ethnic Studies'!C41+Art!C43+Biochemistry!C45+Biology!C62+Chemistry!C45+'Comm Studies'!C44+Economics!C47+English!C45+Geography!C48+Geology!C42+Hist!C52+JMC!C43+Math!C48+'Modern Language'!C53+'Music Theatre Dance'!C62+Philosophy!C40+Physics!C45+'Political Science'!C47+Psych!C46+SASW!C60+Stats!C47+'Gender,Women &amp;Sexuality Studies'!C44</f>
        <v>294.75</v>
      </c>
      <c r="D41" s="1122"/>
      <c r="E41" s="1191">
        <f>'Amer Ethnic Studies'!E41+Art!E43+Biochemistry!E45+Biology!E62+Chemistry!E45+'Comm Studies'!E44+Economics!E47+English!E45+Geography!E48+Geology!E42+Hist!E52+JMC!E43+Math!E48+'Modern Language'!E53+'Music Theatre Dance'!E62+Philosophy!E40+Physics!E45+'Political Science'!E47+Psych!E46+SASW!E60+Stats!E47+'Gender,Women &amp;Sexuality Studies'!E44</f>
        <v>313.39999999999998</v>
      </c>
      <c r="F41" s="1122"/>
      <c r="G41" s="1191">
        <f>'Amer Ethnic Studies'!G41+Art!G43+Biochemistry!G45+Biology!G62+Chemistry!G45+'Comm Studies'!G44+Economics!G47+English!G45+Geography!G48+Geology!G42+Hist!G52+JMC!G43+Math!G48+'Modern Language'!G53+'Music Theatre Dance'!G62+Philosophy!G40+Physics!G45+'Political Science'!G47+Psych!G46+SASW!G60+Stats!G47+'Gender,Women &amp;Sexuality Studies'!G44</f>
        <v>304.02</v>
      </c>
      <c r="H41" s="1122"/>
      <c r="I41" s="1191">
        <f>'Amer Ethnic Studies'!I41+Art!I43+Biochemistry!I45+Biology!I62+Chemistry!I45+'Comm Studies'!I44+Economics!I47+English!I45+Geography!I48+Geology!I42+Hist!I52+JMC!I43+Math!I48+'Modern Language'!I53+'Music Theatre Dance'!I62+Philosophy!I40+Physics!I45+'Political Science'!I47+Psych!I46+SASW!I60+Stats!I47+'Gender,Women &amp;Sexuality Studies'!I44</f>
        <v>298.16000000000003</v>
      </c>
      <c r="J41" s="1122"/>
      <c r="K41" s="1191">
        <f>'Amer Ethnic Studies'!K41+Art!K43+Biochemistry!K45+Biology!K62+Chemistry!K45+'Comm Studies'!K44+Economics!K47+English!K45+Geography!K48+Geology!K42+Hist!K52+JMC!K43+Math!K48+'Modern Language'!K53+'Music Theatre Dance'!K62+Philosophy!K40+Physics!K45+'Political Science'!K47+Psych!K46+SASW!K60+Stats!K47+'Gender,Women &amp;Sexuality Studies'!K44</f>
        <v>299.92</v>
      </c>
      <c r="L41" s="1122"/>
      <c r="M41" s="1191">
        <f>'Amer Ethnic Studies'!M41+Art!M43+Biochemistry!M45+Biology!M62+Chemistry!M45+'Comm Studies'!M44+Economics!M47+English!M45+Geography!M48+Geology!M42+Hist!M52+JMC!M43+Math!M48+'Modern Language'!M53+'Music Theatre Dance'!M62+Philosophy!M40+Physics!M45+'Political Science'!M47+Psych!M46+SASW!M60+Stats!M47+'Gender,Women &amp;Sexuality Studies'!M44</f>
        <v>341.02</v>
      </c>
      <c r="N41" s="1122"/>
      <c r="O41" s="1191">
        <f>'Amer Ethnic Studies'!O41+Art!O43+Biochemistry!O45+Biology!O62+Chemistry!O45+'Comm Studies'!O44+Economics!O47+English!O45+Geography!O48+Geology!O42+Hist!O52+JMC!O43+Math!O48+'Modern Language'!O53+'Music Theatre Dance'!O62+Philosophy!O40+Physics!O45+'Political Science'!O47+Psych!O46+SASW!O60+Stats!O47+'Gender,Women &amp;Sexuality Studies'!O44</f>
        <v>354.66</v>
      </c>
      <c r="P41" s="1122"/>
      <c r="Q41" s="1191">
        <f>'Amer Ethnic Studies'!Q41+Art!Q43+Biochemistry!Q45+Biology!Q62+Chemistry!Q45+'Comm Studies'!Q44+Economics!Q47+English!Q45+Geography!Q48+Geology!Q42+Hist!Q52+JMC!Q43+Math!Q48+'Modern Language'!Q53+'Music Theatre Dance'!Q62+Philosophy!Q40+Physics!Q45+'Political Science'!Q47+Psych!Q46+SASW!Q60+Stats!Q47+'Gender,Women &amp;Sexuality Studies'!Q44</f>
        <v>356.5</v>
      </c>
      <c r="R41" s="1122"/>
      <c r="S41" s="1191">
        <f>'Amer Ethnic Studies'!S41+Art!S43+Biochemistry!S45+Biology!S62+Chemistry!S45+'Comm Studies'!S44+Economics!S47+English!S45+Geography!S48+Geology!S42+Hist!S52+JMC!S43+Math!S48+'Modern Language'!S53+'Music Theatre Dance'!S62+Philosophy!S40+Physics!S45+'Political Science'!S47+Psych!S46+SASW!S60+Stats!S47+'Gender,Women &amp;Sexuality Studies'!S44</f>
        <v>377.76</v>
      </c>
      <c r="T41" s="1122"/>
      <c r="U41" s="1196">
        <f>'Amer Ethnic Studies'!U41+Art!U43+Biochemistry!U45+Biology!U62+Chemistry!U45+'Comm Studies'!U44+Economics!U47+English!U45+Geography!U48+Geology!U42+Hist!U52+JMC!U43+Math!U48+'Modern Language'!U53+'Music Theatre Dance'!U62+Philosophy!U40+Physics!U45+'Political Science'!U47+Psych!U46+SASW!U60+Stats!U47+'Gender,Women &amp;Sexuality Studies'!U44</f>
        <v>0</v>
      </c>
      <c r="V41" s="85"/>
      <c r="W41" s="85"/>
      <c r="X41" s="85"/>
      <c r="Y41" s="85"/>
    </row>
    <row r="42" spans="1:25" ht="13.5" thickBot="1" x14ac:dyDescent="0.25">
      <c r="A42" s="1123" t="s">
        <v>264</v>
      </c>
      <c r="B42" s="801" t="s">
        <v>40</v>
      </c>
      <c r="C42" s="798" t="s">
        <v>41</v>
      </c>
      <c r="D42" s="801" t="s">
        <v>40</v>
      </c>
      <c r="E42" s="798" t="s">
        <v>41</v>
      </c>
      <c r="F42" s="801" t="s">
        <v>40</v>
      </c>
      <c r="G42" s="798" t="s">
        <v>41</v>
      </c>
      <c r="H42" s="801" t="s">
        <v>40</v>
      </c>
      <c r="I42" s="798" t="s">
        <v>41</v>
      </c>
      <c r="J42" s="801" t="s">
        <v>40</v>
      </c>
      <c r="K42" s="798" t="s">
        <v>41</v>
      </c>
      <c r="L42" s="801" t="s">
        <v>40</v>
      </c>
      <c r="M42" s="798" t="s">
        <v>41</v>
      </c>
      <c r="N42" s="801" t="s">
        <v>40</v>
      </c>
      <c r="O42" s="798" t="s">
        <v>41</v>
      </c>
      <c r="P42" s="801" t="s">
        <v>40</v>
      </c>
      <c r="Q42" s="798" t="s">
        <v>41</v>
      </c>
      <c r="R42" s="801" t="s">
        <v>40</v>
      </c>
      <c r="S42" s="798" t="s">
        <v>41</v>
      </c>
      <c r="T42" s="801" t="s">
        <v>40</v>
      </c>
      <c r="U42" s="804" t="s">
        <v>41</v>
      </c>
      <c r="V42" s="85"/>
      <c r="W42" s="85"/>
      <c r="X42" s="85"/>
      <c r="Y42" s="85"/>
    </row>
    <row r="43" spans="1:25" x14ac:dyDescent="0.2">
      <c r="A43" s="1124" t="s">
        <v>42</v>
      </c>
      <c r="B43" s="1125"/>
      <c r="C43" s="1126"/>
      <c r="D43" s="1125"/>
      <c r="E43" s="1126"/>
      <c r="F43" s="1125"/>
      <c r="G43" s="1126"/>
      <c r="H43" s="1146"/>
      <c r="I43" s="1126"/>
      <c r="J43" s="1146"/>
      <c r="K43" s="1126"/>
      <c r="L43" s="1146"/>
      <c r="M43" s="1126"/>
      <c r="N43" s="1146"/>
      <c r="O43" s="1126"/>
      <c r="P43" s="1146"/>
      <c r="Q43" s="1126"/>
      <c r="R43" s="1146"/>
      <c r="S43" s="1126"/>
      <c r="T43" s="1146"/>
      <c r="U43" s="1127"/>
      <c r="V43" s="85"/>
      <c r="W43" s="85"/>
      <c r="X43" s="85"/>
      <c r="Y43" s="85"/>
    </row>
    <row r="44" spans="1:25" x14ac:dyDescent="0.2">
      <c r="A44" s="1128" t="s">
        <v>43</v>
      </c>
      <c r="B44" s="1129"/>
      <c r="C44" s="1130">
        <f>'Dean''s Office'!C117+'Amer Ethnic Studies'!C44+Art!C46+Biochemistry!C48+Biology!C65+Chemistry!C48+'Comm Studies'!C47+Economics!C50+English!C48+Geography!C51+Geology!C45+Hist!C55+JMC!C46+Math!C51+'Modern Language'!C56+'Music Theatre Dance'!C65+Philosophy!C43+Physics!C48+'Political Science'!C50+Psych!C49+SASW!C63+Stats!C50+'Gender,Women &amp;Sexuality Studies'!C47</f>
        <v>361</v>
      </c>
      <c r="D44" s="1129"/>
      <c r="E44" s="1130">
        <f>'Dean''s Office'!E117+'Amer Ethnic Studies'!E44+Art!E46+Biochemistry!E48+Biology!E65+Chemistry!E48+'Comm Studies'!E47+Economics!E50+English!E48+Geography!E51+Geology!E45+Hist!E55+JMC!E46+Math!E51+'Modern Language'!E56+'Music Theatre Dance'!E65+Philosophy!E43+Physics!E48+'Political Science'!E50+Psych!E49+SASW!E63+Stats!E50+'Gender,Women &amp;Sexuality Studies'!E47</f>
        <v>381</v>
      </c>
      <c r="F44" s="1129"/>
      <c r="G44" s="1130">
        <f>'Dean''s Office'!G117+'Amer Ethnic Studies'!G44+Art!G46+Biochemistry!G48+Biology!G65+Chemistry!G48+'Comm Studies'!G47+Economics!G50+English!G48+Geography!G51+Geology!G45+Hist!G55+JMC!G46+Math!G51+'Modern Language'!G56+'Music Theatre Dance'!G65+Philosophy!G43+Physics!G48+'Political Science'!G50+Psych!G49+SASW!G63+Stats!G50+'Gender,Women &amp;Sexuality Studies'!G47</f>
        <v>368</v>
      </c>
      <c r="H44" s="1129"/>
      <c r="I44" s="1130">
        <f>'Dean''s Office'!I117+'Amer Ethnic Studies'!I44+Art!I46+Biochemistry!I48+Biology!I65+Chemistry!I48+'Comm Studies'!I47+Economics!I50+English!I48+Geography!I51+Geology!I45+Hist!I55+JMC!I46+Math!I51+'Modern Language'!I56+'Music Theatre Dance'!I65+Philosophy!I43+Physics!I48+'Political Science'!I50+Psych!I49+SASW!I63+Stats!I50+'Gender,Women &amp;Sexuality Studies'!I47</f>
        <v>365</v>
      </c>
      <c r="J44" s="1129">
        <f>'Dean''s Office'!J117+'Amer Ethnic Studies'!J44+Art!J46+Biochemistry!J48+Biology!J65+Chemistry!J48+'Comm Studies'!J47+Economics!J50+English!J48+Geography!J51+Geology!J45+Hist!J55+JMC!J46+Math!J51+'Modern Language'!J56+'Music Theatre Dance'!J65+Philosophy!J43+Physics!J48+'Political Science'!J50+Psych!J49+SASW!J63+Stats!J50+'Gender,Women &amp;Sexuality Studies'!J47</f>
        <v>367</v>
      </c>
      <c r="K44" s="1130">
        <f>'Dean''s Office'!K117+'Amer Ethnic Studies'!K44+Art!K46+Biochemistry!K48+Biology!K65+Chemistry!K48+'Comm Studies'!K47+Economics!K50+English!K48+Geography!K51+Geology!K45+Hist!K55+JMC!K46+Math!K51+'Modern Language'!K56+'Music Theatre Dance'!K65+Philosophy!K43+Physics!K48+'Political Science'!K50+Psych!K49+SASW!K63+Stats!K50+'Gender,Women &amp;Sexuality Studies'!K47</f>
        <v>370</v>
      </c>
      <c r="L44" s="1129">
        <f>'Dean''s Office'!L117+'Amer Ethnic Studies'!L44+Art!L46+Biochemistry!L48+Biology!L65+Chemistry!L48+'Comm Studies'!L47+Economics!L50+English!L48+Geography!L51+Geology!L45+Hist!L55+JMC!L46+Math!L51+'Modern Language'!L56+'Music Theatre Dance'!L65+Philosophy!L43+Physics!L48+'Political Science'!L50+Psych!L49+SASW!L63+Stats!L50+'Gender,Women &amp;Sexuality Studies'!L47</f>
        <v>432</v>
      </c>
      <c r="M44" s="1130">
        <f>'Dean''s Office'!M117+'Amer Ethnic Studies'!M44+Art!M46+Biochemistry!M48+Biology!M65+Chemistry!M48+'Comm Studies'!M47+Economics!M50+English!M48+Geography!M51+Geology!M45+Hist!M55+JMC!M46+Math!M51+'Modern Language'!M56+'Music Theatre Dance'!M65+Philosophy!M43+Physics!M48+'Political Science'!M50+Psych!M49+SASW!M63+Stats!M50+'Gender,Women &amp;Sexuality Studies'!M47</f>
        <v>432</v>
      </c>
      <c r="N44" s="1129">
        <f>'Dean''s Office'!N117+'Amer Ethnic Studies'!N44+Art!N46+Biochemistry!N48+Biology!N65+Chemistry!N48+'Comm Studies'!N47+Economics!N50+English!N48+Geography!N51+Geology!N45+Hist!N55+JMC!N46+Math!N51+'Modern Language'!N56+'Music Theatre Dance'!N65+Philosophy!N43+Physics!N48+'Political Science'!N50+Psych!N49+SASW!N63+Stats!N50+'Gender,Women &amp;Sexuality Studies'!N47</f>
        <v>447</v>
      </c>
      <c r="O44" s="1130">
        <f>'Dean''s Office'!O117+'Amer Ethnic Studies'!O44+Art!O46+Biochemistry!O48+Biology!O65+Chemistry!O48+'Comm Studies'!O47+Economics!O50+English!O48+Geography!O51+Geology!O45+Hist!O55+JMC!O46+Math!O51+'Modern Language'!O56+'Music Theatre Dance'!O65+Philosophy!O43+Physics!O48+'Political Science'!O50+Psych!O49+SASW!O63+Stats!O50+'Gender,Women &amp;Sexuality Studies'!O47</f>
        <v>450</v>
      </c>
      <c r="P44" s="1129">
        <f>'Dean''s Office'!P117+'Amer Ethnic Studies'!P44+Art!P46+Biochemistry!P48+Biology!P65+Chemistry!P48+'Comm Studies'!P47+Economics!P50+English!P48+Geography!P51+Geology!P45+Hist!P55+JMC!P46+Math!P51+'Modern Language'!P56+'Music Theatre Dance'!P65+Philosophy!P43+Physics!P48+'Political Science'!P50+Psych!P49+SASW!P63+Stats!P50+'Gender,Women &amp;Sexuality Studies'!P47</f>
        <v>460</v>
      </c>
      <c r="Q44" s="1130">
        <f>'Dean''s Office'!Q117+'Amer Ethnic Studies'!Q44+Art!Q46+Biochemistry!Q48+Biology!Q65+Chemistry!Q48+'Comm Studies'!Q47+Economics!Q50+English!Q48+Geography!Q51+Geology!Q45+Hist!Q55+JMC!Q46+Math!Q51+'Modern Language'!Q56+'Music Theatre Dance'!Q65+Philosophy!Q43+Physics!Q48+'Political Science'!Q50+Psych!Q49+SASW!Q63+Stats!Q50+'Gender,Women &amp;Sexuality Studies'!Q47</f>
        <v>460</v>
      </c>
      <c r="R44" s="1129">
        <f>'Dean''s Office'!R117+'Amer Ethnic Studies'!R44+Art!R46+Biochemistry!R48+Biology!R65+Chemistry!R48+'Comm Studies'!R47+Economics!R50+English!R48+Geography!R51+Geology!R45+Hist!R55+JMC!R46+Math!R51+'Modern Language'!R56+'Music Theatre Dance'!R65+Philosophy!R43+Physics!R48+'Political Science'!R50+Psych!R49+SASW!R63+Stats!R50+'Gender,Women &amp;Sexuality Studies'!R47</f>
        <v>483</v>
      </c>
      <c r="S44" s="1130">
        <f>'Dean''s Office'!S117+'Amer Ethnic Studies'!S44+Art!S46+Biochemistry!S48+Biology!S65+Chemistry!S48+'Comm Studies'!S47+Economics!S50+English!S48+Geography!S51+Geology!S45+Hist!S55+JMC!S46+Math!S51+'Modern Language'!S56+'Music Theatre Dance'!S65+Philosophy!S43+Physics!S48+'Political Science'!S50+Psych!S49+SASW!S63+Stats!S50+'Gender,Women &amp;Sexuality Studies'!S47</f>
        <v>484</v>
      </c>
      <c r="T44" s="1129">
        <f>'Dean''s Office'!T117+'Amer Ethnic Studies'!T44+Art!T46+Biochemistry!T48+Biology!T65+Chemistry!T48+'Comm Studies'!T47+Economics!T50+English!T48+Geography!T51+Geology!T45+Hist!T55+JMC!T46+Math!T51+'Modern Language'!T56+'Music Theatre Dance'!T65+Philosophy!T43+Physics!T48+'Political Science'!T50+Psych!T49+SASW!T63+Stats!T50+'Gender,Women &amp;Sexuality Studies'!T47</f>
        <v>0</v>
      </c>
      <c r="U44" s="1131">
        <f>'Dean''s Office'!U117+'Amer Ethnic Studies'!U44+Art!U46+Biochemistry!U48+Biology!U65+Chemistry!U48+'Comm Studies'!U47+Economics!U50+English!U48+Geography!U51+Geology!U45+Hist!U55+JMC!U46+Math!U51+'Modern Language'!U56+'Music Theatre Dance'!U65+Philosophy!U43+Physics!U48+'Political Science'!U50+Psych!U49+SASW!U63+Stats!U50+'Gender,Women &amp;Sexuality Studies'!U47</f>
        <v>0</v>
      </c>
      <c r="V44" s="85"/>
      <c r="W44" s="85"/>
      <c r="X44" s="85"/>
      <c r="Y44" s="85"/>
    </row>
    <row r="45" spans="1:25" x14ac:dyDescent="0.2">
      <c r="A45" s="1128" t="s">
        <v>44</v>
      </c>
      <c r="B45" s="1129"/>
      <c r="C45" s="1130">
        <f>'Dean''s Office'!C118+'Amer Ethnic Studies'!C45+Art!C47+Biochemistry!C49+Biology!C66+Chemistry!C49+'Comm Studies'!C48+Economics!C51+English!C49+Geography!C52+Geology!C46+Hist!C56+JMC!C47+Math!C52+'Modern Language'!C57+'Music Theatre Dance'!C66+Philosophy!C44+Physics!C49+'Political Science'!C51+Psych!C50+SASW!C64+Stats!C51+'Gender,Women &amp;Sexuality Studies'!C48</f>
        <v>57</v>
      </c>
      <c r="D45" s="1129"/>
      <c r="E45" s="1130">
        <f>'Dean''s Office'!E118+'Amer Ethnic Studies'!E45+Art!E47+Biochemistry!E49+Biology!E66+Chemistry!E49+'Comm Studies'!E48+Economics!E51+English!E49+Geography!E52+Geology!E46+Hist!E56+JMC!E47+Math!E52+'Modern Language'!E57+'Music Theatre Dance'!E66+Philosophy!E44+Physics!E49+'Political Science'!E51+Psych!E50+SASW!E64+Stats!E51+'Gender,Women &amp;Sexuality Studies'!E48</f>
        <v>47</v>
      </c>
      <c r="F45" s="1129"/>
      <c r="G45" s="1130">
        <f>'Dean''s Office'!G118+'Amer Ethnic Studies'!G45+Art!G47+Biochemistry!G49+Biology!G66+Chemistry!G49+'Comm Studies'!G48+Economics!G51+English!G49+Geography!G52+Geology!G46+Hist!G56+JMC!G47+Math!G52+'Modern Language'!G57+'Music Theatre Dance'!G66+Philosophy!G44+Physics!G49+'Political Science'!G51+Psych!G50+SASW!G64+Stats!G51+'Gender,Women &amp;Sexuality Studies'!G48</f>
        <v>38</v>
      </c>
      <c r="H45" s="1129"/>
      <c r="I45" s="1130">
        <f>'Dean''s Office'!I118+'Amer Ethnic Studies'!I45+Art!I47+Biochemistry!I49+Biology!I66+Chemistry!I49+'Comm Studies'!I48+Economics!I51+English!I49+Geography!I52+Geology!I46+Hist!I56+JMC!I47+Math!I52+'Modern Language'!I57+'Music Theatre Dance'!I66+Philosophy!I44+Physics!I49+'Political Science'!I51+Psych!I50+SASW!I64+Stats!I51+'Gender,Women &amp;Sexuality Studies'!I48</f>
        <v>49</v>
      </c>
      <c r="J45" s="1129">
        <f>'Dean''s Office'!J118+'Amer Ethnic Studies'!J45+Art!J47+Biochemistry!J49+Biology!J66+Chemistry!J49+'Comm Studies'!J48+Economics!J51+English!J49+Geography!J52+Geology!J46+Hist!J56+JMC!J47+Math!J52+'Modern Language'!J57+'Music Theatre Dance'!J66+Philosophy!J44+Physics!J49+'Political Science'!J51+Psych!J50+SASW!J64+Stats!J51+'Gender,Women &amp;Sexuality Studies'!J48</f>
        <v>28.49</v>
      </c>
      <c r="K45" s="1130">
        <f>'Dean''s Office'!K118+'Amer Ethnic Studies'!K45+Art!K47+Biochemistry!K49+Biology!K66+Chemistry!K49+'Comm Studies'!K48+Economics!K51+English!K49+Geography!K52+Geology!K46+Hist!K56+JMC!K47+Math!K52+'Modern Language'!K57+'Music Theatre Dance'!K66+Philosophy!K44+Physics!K49+'Political Science'!K51+Psych!K50+SASW!K64+Stats!K51+'Gender,Women &amp;Sexuality Studies'!K48</f>
        <v>52</v>
      </c>
      <c r="L45" s="1129">
        <f>'Dean''s Office'!L118+'Amer Ethnic Studies'!L45+Art!L47+Biochemistry!L49+Biology!L66+Chemistry!L49+'Comm Studies'!L48+Economics!L51+English!L49+Geography!L52+Geology!L46+Hist!L56+JMC!L47+Math!L52+'Modern Language'!L57+'Music Theatre Dance'!L66+Philosophy!L44+Physics!L49+'Political Science'!L51+Psych!L50+SASW!L64+Stats!L51+'Gender,Women &amp;Sexuality Studies'!L48</f>
        <v>41.53</v>
      </c>
      <c r="M45" s="1130">
        <f>'Dean''s Office'!M118+'Amer Ethnic Studies'!M45+Art!M47+Biochemistry!M49+Biology!M66+Chemistry!M49+'Comm Studies'!M48+Economics!M51+English!M49+Geography!M52+Geology!M46+Hist!M56+JMC!M47+Math!M52+'Modern Language'!M57+'Music Theatre Dance'!M66+Philosophy!M44+Physics!M49+'Political Science'!M51+Psych!M50+SASW!M64+Stats!M51+'Gender,Women &amp;Sexuality Studies'!M48</f>
        <v>77</v>
      </c>
      <c r="N45" s="1129">
        <f>'Dean''s Office'!N118+'Amer Ethnic Studies'!N45+Art!N47+Biochemistry!N49+Biology!N66+Chemistry!N49+'Comm Studies'!N48+Economics!N51+English!N49+Geography!N52+Geology!N46+Hist!N56+JMC!N47+Math!N52+'Modern Language'!N57+'Music Theatre Dance'!N66+Philosophy!N44+Physics!N49+'Political Science'!N51+Psych!N50+SASW!N64+Stats!N51+'Gender,Women &amp;Sexuality Studies'!N48</f>
        <v>34.400000000000006</v>
      </c>
      <c r="O45" s="1130">
        <f>'Dean''s Office'!O118+'Amer Ethnic Studies'!O45+Art!O47+Biochemistry!O49+Biology!O66+Chemistry!O49+'Comm Studies'!O48+Economics!O51+English!O49+Geography!O52+Geology!O46+Hist!O56+JMC!O47+Math!O52+'Modern Language'!O57+'Music Theatre Dance'!O66+Philosophy!O44+Physics!O49+'Political Science'!O51+Psych!O50+SASW!O64+Stats!O51+'Gender,Women &amp;Sexuality Studies'!O48</f>
        <v>70</v>
      </c>
      <c r="P45" s="1129">
        <f>'Dean''s Office'!P118+'Amer Ethnic Studies'!P45+Art!P47+Biochemistry!P49+Biology!P66+Chemistry!P49+'Comm Studies'!P48+Economics!P51+English!P49+Geography!P52+Geology!P46+Hist!P56+JMC!P47+Math!P52+'Modern Language'!P57+'Music Theatre Dance'!P66+Philosophy!P44+Physics!P49+'Political Science'!P51+Psych!P50+SASW!P64+Stats!P51+'Gender,Women &amp;Sexuality Studies'!P48</f>
        <v>35.700000000000003</v>
      </c>
      <c r="Q45" s="1130">
        <f>'Dean''s Office'!Q118+'Amer Ethnic Studies'!Q45+Art!Q47+Biochemistry!Q49+Biology!Q66+Chemistry!Q49+'Comm Studies'!Q48+Economics!Q51+English!Q49+Geography!Q52+Geology!Q46+Hist!Q56+JMC!Q47+Math!Q52+'Modern Language'!Q57+'Music Theatre Dance'!Q66+Philosophy!Q44+Physics!Q49+'Political Science'!Q51+Psych!Q50+SASW!Q64+Stats!Q51+'Gender,Women &amp;Sexuality Studies'!Q48</f>
        <v>74</v>
      </c>
      <c r="R45" s="1129">
        <f>'Dean''s Office'!R118+'Amer Ethnic Studies'!R45+Art!R47+Biochemistry!R49+Biology!R66+Chemistry!R49+'Comm Studies'!R48+Economics!R51+English!R49+Geography!R52+Geology!R46+Hist!R56+JMC!R47+Math!R52+'Modern Language'!R57+'Music Theatre Dance'!R66+Philosophy!R44+Physics!R49+'Political Science'!R51+Psych!R50+SASW!R64+Stats!R51+'Gender,Women &amp;Sexuality Studies'!R48</f>
        <v>26.699999999999996</v>
      </c>
      <c r="S45" s="1130">
        <f>'Dean''s Office'!S118+'Amer Ethnic Studies'!S45+Art!S47+Biochemistry!S49+Biology!S66+Chemistry!S49+'Comm Studies'!S48+Economics!S51+English!S49+Geography!S52+Geology!S46+Hist!S56+JMC!S47+Math!S52+'Modern Language'!S57+'Music Theatre Dance'!S66+Philosophy!S44+Physics!S49+'Political Science'!S51+Psych!S50+SASW!S64+Stats!S51+'Gender,Women &amp;Sexuality Studies'!S48</f>
        <v>61</v>
      </c>
      <c r="T45" s="1129">
        <f>'Dean''s Office'!T118+'Amer Ethnic Studies'!T45+Art!T47+Biochemistry!T49+Biology!T66+Chemistry!T49+'Comm Studies'!T48+Economics!T51+English!T49+Geography!T52+Geology!T46+Hist!T56+JMC!T47+Math!T52+'Modern Language'!T57+'Music Theatre Dance'!T66+Philosophy!T44+Physics!T49+'Political Science'!T51+Psych!T50+SASW!T64+Stats!T51+'Gender,Women &amp;Sexuality Studies'!T48</f>
        <v>0</v>
      </c>
      <c r="U45" s="1131">
        <f>'Dean''s Office'!U118+'Amer Ethnic Studies'!U45+Art!U47+Biochemistry!U49+Biology!U66+Chemistry!U49+'Comm Studies'!U48+Economics!U51+English!U49+Geography!U52+Geology!U46+Hist!U56+JMC!U47+Math!U52+'Modern Language'!U57+'Music Theatre Dance'!U66+Philosophy!U44+Physics!U49+'Political Science'!U51+Psych!U50+SASW!U64+Stats!U51+'Gender,Women &amp;Sexuality Studies'!U48</f>
        <v>0</v>
      </c>
      <c r="V45" s="85"/>
      <c r="W45" s="85"/>
      <c r="X45" s="85"/>
      <c r="Y45" s="85"/>
    </row>
    <row r="46" spans="1:25" x14ac:dyDescent="0.2">
      <c r="A46" s="1132" t="s">
        <v>45</v>
      </c>
      <c r="B46" s="1129"/>
      <c r="C46" s="1130">
        <f>'Dean''s Office'!C119+'Amer Ethnic Studies'!C46+Art!C48+Biochemistry!C50+Biology!C67+Chemistry!C50+'Comm Studies'!C49+Economics!C52+English!C50+Geography!C53+Geology!C47+Hist!C57+JMC!C48+Math!C53+'Modern Language'!C58+'Music Theatre Dance'!C67+Philosophy!C45+Physics!C50+'Political Science'!C52+Psych!C51+SASW!C65+Stats!C52+'Gender,Women &amp;Sexuality Studies'!C49</f>
        <v>0</v>
      </c>
      <c r="D46" s="1129"/>
      <c r="E46" s="1130">
        <f>'Dean''s Office'!E119+'Amer Ethnic Studies'!E46+Art!E48+Biochemistry!E50+Biology!E67+Chemistry!E50+'Comm Studies'!E49+Economics!E52+English!E50+Geography!E53+Geology!E47+Hist!E57+JMC!E48+Math!E53+'Modern Language'!E58+'Music Theatre Dance'!E67+Philosophy!E45+Physics!E50+'Political Science'!E52+Psych!E51+SASW!E65+Stats!E52+'Gender,Women &amp;Sexuality Studies'!E49</f>
        <v>0</v>
      </c>
      <c r="F46" s="1129"/>
      <c r="G46" s="1130">
        <f>'Dean''s Office'!G119+'Amer Ethnic Studies'!G46+Art!G48+Biochemistry!G50+Biology!G67+Chemistry!G50+'Comm Studies'!G49+Economics!G52+English!G50+Geography!G53+Geology!G47+Hist!G57+JMC!G48+Math!G53+'Modern Language'!G58+'Music Theatre Dance'!G67+Philosophy!G45+Physics!G50+'Political Science'!G52+Psych!G51+SASW!G65+Stats!G52+'Gender,Women &amp;Sexuality Studies'!G49</f>
        <v>0</v>
      </c>
      <c r="H46" s="1129"/>
      <c r="I46" s="1130">
        <f>'Dean''s Office'!I119+'Amer Ethnic Studies'!I46+Art!I48+Biochemistry!I50+Biology!I67+Chemistry!I50+'Comm Studies'!I49+Economics!I52+English!I50+Geography!I53+Geology!I47+Hist!I57+JMC!I48+Math!I53+'Modern Language'!I58+'Music Theatre Dance'!I67+Philosophy!I45+Physics!I50+'Political Science'!I52+Psych!I51+SASW!I65+Stats!I52+'Gender,Women &amp;Sexuality Studies'!I49</f>
        <v>0</v>
      </c>
      <c r="J46" s="1129">
        <f>'Dean''s Office'!J119+'Amer Ethnic Studies'!J46+Art!J48+Biochemistry!J50+Biology!J67+Chemistry!J50+'Comm Studies'!J49+Economics!J52+English!J50+Geography!J53+Geology!J47+Hist!J57+JMC!J48+Math!J53+'Modern Language'!J58+'Music Theatre Dance'!J67+Philosophy!J45+Physics!J50+'Political Science'!J52+Psych!J51+SASW!J65+Stats!J52+'Gender,Women &amp;Sexuality Studies'!J49</f>
        <v>0</v>
      </c>
      <c r="K46" s="1130">
        <f>'Dean''s Office'!K119+'Amer Ethnic Studies'!K46+Art!K48+Biochemistry!K50+Biology!K67+Chemistry!K50+'Comm Studies'!K49+Economics!K52+English!K50+Geography!K53+Geology!K47+Hist!K57+JMC!K48+Math!K53+'Modern Language'!K58+'Music Theatre Dance'!K67+Philosophy!K45+Physics!K50+'Political Science'!K52+Psych!K51+SASW!K65+Stats!K52+'Gender,Women &amp;Sexuality Studies'!K49</f>
        <v>0</v>
      </c>
      <c r="L46" s="1129">
        <f>'Dean''s Office'!L119+'Amer Ethnic Studies'!L46+Art!L48+Biochemistry!L50+Biology!L67+Chemistry!L50+'Comm Studies'!L49+Economics!L52+English!L50+Geography!L53+Geology!L47+Hist!L57+JMC!L48+Math!L53+'Modern Language'!L58+'Music Theatre Dance'!L67+Philosophy!L45+Physics!L50+'Political Science'!L52+Psych!L51+SASW!L65+Stats!L52+'Gender,Women &amp;Sexuality Studies'!L49</f>
        <v>0</v>
      </c>
      <c r="M46" s="1130">
        <f>'Dean''s Office'!M119+'Amer Ethnic Studies'!M46+Art!M48+Biochemistry!M50+Biology!M67+Chemistry!M50+'Comm Studies'!M49+Economics!M52+English!M50+Geography!M53+Geology!M47+Hist!M57+JMC!M48+Math!M53+'Modern Language'!M58+'Music Theatre Dance'!M67+Philosophy!M45+Physics!M50+'Political Science'!M52+Psych!M51+SASW!M65+Stats!M52+'Gender,Women &amp;Sexuality Studies'!M49</f>
        <v>0</v>
      </c>
      <c r="N46" s="1129">
        <f>'Dean''s Office'!N119+'Amer Ethnic Studies'!N46+Art!N48+Biochemistry!N50+Biology!N67+Chemistry!N50+'Comm Studies'!N49+Economics!N52+English!N50+Geography!N53+Geology!N47+Hist!N57+JMC!N48+Math!N53+'Modern Language'!N58+'Music Theatre Dance'!N67+Philosophy!N45+Physics!N50+'Political Science'!N52+Psych!N51+SASW!N65+Stats!N52+'Gender,Women &amp;Sexuality Studies'!N49</f>
        <v>0</v>
      </c>
      <c r="O46" s="1130">
        <f>'Dean''s Office'!O119+'Amer Ethnic Studies'!O46+Art!O48+Biochemistry!O50+Biology!O67+Chemistry!O50+'Comm Studies'!O49+Economics!O52+English!O50+Geography!O53+Geology!O47+Hist!O57+JMC!O48+Math!O53+'Modern Language'!O58+'Music Theatre Dance'!O67+Philosophy!O45+Physics!O50+'Political Science'!O52+Psych!O51+SASW!O65+Stats!O52+'Gender,Women &amp;Sexuality Studies'!O49</f>
        <v>0</v>
      </c>
      <c r="P46" s="1129">
        <f>'Dean''s Office'!P119+'Amer Ethnic Studies'!P46+Art!P48+Biochemistry!P50+Biology!P67+Chemistry!P50+'Comm Studies'!P49+Economics!P52+English!P50+Geography!P53+Geology!P47+Hist!P57+JMC!P48+Math!P53+'Modern Language'!P58+'Music Theatre Dance'!P67+Philosophy!P45+Physics!P50+'Political Science'!P52+Psych!P51+SASW!P65+Stats!P52+'Gender,Women &amp;Sexuality Studies'!P49</f>
        <v>0</v>
      </c>
      <c r="Q46" s="1130">
        <f>'Dean''s Office'!Q119+'Amer Ethnic Studies'!Q46+Art!Q48+Biochemistry!Q50+Biology!Q67+Chemistry!Q50+'Comm Studies'!Q49+Economics!Q52+English!Q50+Geography!Q53+Geology!Q47+Hist!Q57+JMC!Q48+Math!Q53+'Modern Language'!Q58+'Music Theatre Dance'!Q67+Philosophy!Q45+Physics!Q50+'Political Science'!Q52+Psych!Q51+SASW!Q65+Stats!Q52+'Gender,Women &amp;Sexuality Studies'!Q49</f>
        <v>0</v>
      </c>
      <c r="R46" s="1129">
        <f>'Dean''s Office'!R119+'Amer Ethnic Studies'!R46+Art!R48+Biochemistry!R50+Biology!R67+Chemistry!R50+'Comm Studies'!R49+Economics!R52+English!R50+Geography!R53+Geology!R47+Hist!R57+JMC!R48+Math!R53+'Modern Language'!R58+'Music Theatre Dance'!R67+Philosophy!R45+Physics!R50+'Political Science'!R52+Psych!R51+SASW!R65+Stats!R52+'Gender,Women &amp;Sexuality Studies'!R49</f>
        <v>0</v>
      </c>
      <c r="S46" s="1130">
        <f>'Dean''s Office'!S119+'Amer Ethnic Studies'!S46+Art!S48+Biochemistry!S50+Biology!S67+Chemistry!S50+'Comm Studies'!S49+Economics!S52+English!S50+Geography!S53+Geology!S47+Hist!S57+JMC!S48+Math!S53+'Modern Language'!S58+'Music Theatre Dance'!S67+Philosophy!S45+Physics!S50+'Political Science'!S52+Psych!S51+SASW!S65+Stats!S52+'Gender,Women &amp;Sexuality Studies'!S49</f>
        <v>0</v>
      </c>
      <c r="T46" s="1129">
        <f>'Dean''s Office'!T119+'Amer Ethnic Studies'!T46+Art!T48+Biochemistry!T50+Biology!T67+Chemistry!T50+'Comm Studies'!T49+Economics!T52+English!T50+Geography!T53+Geology!T47+Hist!T57+JMC!T48+Math!T53+'Modern Language'!T58+'Music Theatre Dance'!T67+Philosophy!T45+Physics!T50+'Political Science'!T52+Psych!T51+SASW!T65+Stats!T52+'Gender,Women &amp;Sexuality Studies'!T49</f>
        <v>0</v>
      </c>
      <c r="U46" s="1131">
        <f>'Dean''s Office'!U119+'Amer Ethnic Studies'!U46+Art!U48+Biochemistry!U50+Biology!U67+Chemistry!U50+'Comm Studies'!U49+Economics!U52+English!U50+Geography!U53+Geology!U47+Hist!U57+JMC!U48+Math!U53+'Modern Language'!U58+'Music Theatre Dance'!U67+Philosophy!U45+Physics!U50+'Political Science'!U52+Psych!U51+SASW!U65+Stats!U52+'Gender,Women &amp;Sexuality Studies'!U49</f>
        <v>0</v>
      </c>
      <c r="V46" s="85"/>
      <c r="W46" s="85"/>
      <c r="X46" s="85"/>
      <c r="Y46" s="85"/>
    </row>
    <row r="47" spans="1:25" x14ac:dyDescent="0.2">
      <c r="A47" s="1128" t="s">
        <v>43</v>
      </c>
      <c r="B47" s="1129"/>
      <c r="C47" s="1130">
        <f>'Dean''s Office'!C120+'Amer Ethnic Studies'!C47+Art!C49+Biochemistry!C51+Biology!C68+Chemistry!C51+'Comm Studies'!C50+Economics!C53+English!C51+Geography!C54+Geology!C48+Hist!C58+JMC!C49+Math!C54+'Modern Language'!C59+'Music Theatre Dance'!C68+Philosophy!C46+Physics!C51+'Political Science'!C53+Psych!C52+SASW!C66+Stats!C53+'Gender,Women &amp;Sexuality Studies'!C50</f>
        <v>31</v>
      </c>
      <c r="D47" s="1129"/>
      <c r="E47" s="1130">
        <f>'Dean''s Office'!E120+'Amer Ethnic Studies'!E47+Art!E49+Biochemistry!E51+Biology!E68+Chemistry!E51+'Comm Studies'!E50+Economics!E53+English!E51+Geography!E54+Geology!E48+Hist!E58+JMC!E49+Math!E54+'Modern Language'!E59+'Music Theatre Dance'!E68+Philosophy!E46+Physics!E51+'Political Science'!E53+Psych!E52+SASW!E66+Stats!E53+'Gender,Women &amp;Sexuality Studies'!E50</f>
        <v>26</v>
      </c>
      <c r="F47" s="1129"/>
      <c r="G47" s="1130">
        <f>'Dean''s Office'!G120+'Amer Ethnic Studies'!G47+Art!G49+Biochemistry!G51+Biology!G68+Chemistry!G51+'Comm Studies'!G50+Economics!G53+English!G51+Geography!G54+Geology!G48+Hist!G58+JMC!G49+Math!G54+'Modern Language'!G59+'Music Theatre Dance'!G68+Philosophy!G46+Physics!G51+'Political Science'!G53+Psych!G52+SASW!G66+Stats!G53+'Gender,Women &amp;Sexuality Studies'!G50</f>
        <v>27</v>
      </c>
      <c r="H47" s="1129"/>
      <c r="I47" s="1130">
        <f>'Dean''s Office'!I120+'Amer Ethnic Studies'!I47+Art!I49+Biochemistry!I51+Biology!I68+Chemistry!I51+'Comm Studies'!I50+Economics!I53+English!I51+Geography!I54+Geology!I48+Hist!I58+JMC!I49+Math!I54+'Modern Language'!I59+'Music Theatre Dance'!I68+Philosophy!I46+Physics!I51+'Political Science'!I53+Psych!I52+SASW!I66+Stats!I53+'Gender,Women &amp;Sexuality Studies'!I50</f>
        <v>25</v>
      </c>
      <c r="J47" s="1129">
        <f>'Dean''s Office'!J120+'Amer Ethnic Studies'!J47+Art!J49+Biochemistry!J51+Biology!J68+Chemistry!J51+'Comm Studies'!J50+Economics!J53+English!J51+Geography!J54+Geology!J48+Hist!J58+JMC!J49+Math!J54+'Modern Language'!J59+'Music Theatre Dance'!J68+Philosophy!J46+Physics!J51+'Political Science'!J53+Psych!J52+SASW!J66+Stats!J53+'Gender,Women &amp;Sexuality Studies'!J50</f>
        <v>26</v>
      </c>
      <c r="K47" s="1130">
        <f>'Dean''s Office'!K120+'Amer Ethnic Studies'!K47+Art!K49+Biochemistry!K51+Biology!K68+Chemistry!K51+'Comm Studies'!K50+Economics!K53+English!K51+Geography!K54+Geology!K48+Hist!K58+JMC!K49+Math!K54+'Modern Language'!K59+'Music Theatre Dance'!K68+Philosophy!K46+Physics!K51+'Political Science'!K53+Psych!K52+SASW!K66+Stats!K53+'Gender,Women &amp;Sexuality Studies'!K50</f>
        <v>26</v>
      </c>
      <c r="L47" s="1129">
        <f>'Dean''s Office'!L120+'Amer Ethnic Studies'!L47+Art!L49+Biochemistry!L51+Biology!L68+Chemistry!L51+'Comm Studies'!L50+Economics!L53+English!L51+Geography!L54+Geology!L48+Hist!L58+JMC!L49+Math!L54+'Modern Language'!L59+'Music Theatre Dance'!L68+Philosophy!L46+Physics!L51+'Political Science'!L53+Psych!L52+SASW!L66+Stats!L53+'Gender,Women &amp;Sexuality Studies'!L50</f>
        <v>34</v>
      </c>
      <c r="M47" s="1130">
        <f>'Dean''s Office'!M120+'Amer Ethnic Studies'!M47+Art!M49+Biochemistry!M51+Biology!M68+Chemistry!M51+'Comm Studies'!M50+Economics!M53+English!M51+Geography!M54+Geology!M48+Hist!M58+JMC!M49+Math!M54+'Modern Language'!M59+'Music Theatre Dance'!M68+Philosophy!M46+Physics!M51+'Political Science'!M53+Psych!M52+SASW!M66+Stats!M53+'Gender,Women &amp;Sexuality Studies'!M50</f>
        <v>34</v>
      </c>
      <c r="N47" s="1129">
        <f>'Dean''s Office'!N120+'Amer Ethnic Studies'!N47+Art!N49+Biochemistry!N51+Biology!N68+Chemistry!N51+'Comm Studies'!N50+Economics!N53+English!N51+Geography!N54+Geology!N48+Hist!N58+JMC!N49+Math!N54+'Modern Language'!N59+'Music Theatre Dance'!N68+Philosophy!N46+Physics!N51+'Political Science'!N53+Psych!N52+SASW!N66+Stats!N53+'Gender,Women &amp;Sexuality Studies'!N50</f>
        <v>29</v>
      </c>
      <c r="O47" s="1130">
        <f>'Dean''s Office'!O120+'Amer Ethnic Studies'!O47+Art!O49+Biochemistry!O51+Biology!O68+Chemistry!O51+'Comm Studies'!O50+Economics!O53+English!O51+Geography!O54+Geology!O48+Hist!O58+JMC!O49+Math!O54+'Modern Language'!O59+'Music Theatre Dance'!O68+Philosophy!O46+Physics!O51+'Political Science'!O53+Psych!O52+SASW!O66+Stats!O53+'Gender,Women &amp;Sexuality Studies'!O50</f>
        <v>29</v>
      </c>
      <c r="P47" s="1129">
        <f>'Dean''s Office'!P120+'Amer Ethnic Studies'!P47+Art!P49+Biochemistry!P51+Biology!P68+Chemistry!P51+'Comm Studies'!P50+Economics!P53+English!P51+Geography!P54+Geology!P48+Hist!P58+JMC!P49+Math!P54+'Modern Language'!P59+'Music Theatre Dance'!P68+Philosophy!P46+Physics!P51+'Political Science'!P53+Psych!P52+SASW!P66+Stats!P53+'Gender,Women &amp;Sexuality Studies'!P50</f>
        <v>30</v>
      </c>
      <c r="Q47" s="1130">
        <f>'Dean''s Office'!Q120+'Amer Ethnic Studies'!Q47+Art!Q49+Biochemistry!Q51+Biology!Q68+Chemistry!Q51+'Comm Studies'!Q50+Economics!Q53+English!Q51+Geography!Q54+Geology!Q48+Hist!Q58+JMC!Q49+Math!Q54+'Modern Language'!Q59+'Music Theatre Dance'!Q68+Philosophy!Q46+Physics!Q51+'Political Science'!Q53+Psych!Q52+SASW!Q66+Stats!Q53+'Gender,Women &amp;Sexuality Studies'!Q50</f>
        <v>30</v>
      </c>
      <c r="R47" s="1129">
        <f>'Dean''s Office'!R120+'Amer Ethnic Studies'!R47+Art!R49+Biochemistry!R51+Biology!R68+Chemistry!R51+'Comm Studies'!R50+Economics!R53+English!R51+Geography!R54+Geology!R48+Hist!R58+JMC!R49+Math!R54+'Modern Language'!R59+'Music Theatre Dance'!R68+Philosophy!R46+Physics!R51+'Political Science'!R53+Psych!R52+SASW!R66+Stats!R53+'Gender,Women &amp;Sexuality Studies'!R50</f>
        <v>28</v>
      </c>
      <c r="S47" s="1130">
        <f>'Dean''s Office'!S120+'Amer Ethnic Studies'!S47+Art!S49+Biochemistry!S51+Biology!S68+Chemistry!S51+'Comm Studies'!S50+Economics!S53+English!S51+Geography!S54+Geology!S48+Hist!S58+JMC!S49+Math!S54+'Modern Language'!S59+'Music Theatre Dance'!S68+Philosophy!S46+Physics!S51+'Political Science'!S53+Psych!S52+SASW!S66+Stats!S53+'Gender,Women &amp;Sexuality Studies'!S50</f>
        <v>28</v>
      </c>
      <c r="T47" s="1129">
        <f>'Dean''s Office'!T120+'Amer Ethnic Studies'!T47+Art!T49+Biochemistry!T51+Biology!T68+Chemistry!T51+'Comm Studies'!T50+Economics!T53+English!T51+Geography!T54+Geology!T48+Hist!T58+JMC!T49+Math!T54+'Modern Language'!T59+'Music Theatre Dance'!T68+Philosophy!T46+Physics!T51+'Political Science'!T53+Psych!T52+SASW!T66+Stats!T53+'Gender,Women &amp;Sexuality Studies'!T50</f>
        <v>0</v>
      </c>
      <c r="U47" s="1131">
        <f>'Dean''s Office'!U120+'Amer Ethnic Studies'!U47+Art!U49+Biochemistry!U51+Biology!U68+Chemistry!U51+'Comm Studies'!U50+Economics!U53+English!U51+Geography!U54+Geology!U48+Hist!U58+JMC!U49+Math!U54+'Modern Language'!U59+'Music Theatre Dance'!U68+Philosophy!U46+Physics!U51+'Political Science'!U53+Psych!U52+SASW!U66+Stats!U53+'Gender,Women &amp;Sexuality Studies'!U50</f>
        <v>0</v>
      </c>
      <c r="V47" s="85"/>
      <c r="W47" s="85"/>
      <c r="X47" s="85"/>
      <c r="Y47" s="85"/>
    </row>
    <row r="48" spans="1:25" ht="13.5" thickBot="1" x14ac:dyDescent="0.25">
      <c r="A48" s="1133" t="s">
        <v>44</v>
      </c>
      <c r="B48" s="1194"/>
      <c r="C48" s="1195">
        <f>'Dean''s Office'!C121+'Amer Ethnic Studies'!C48+Art!C50+Biochemistry!C52+Biology!C69+Chemistry!C52+'Comm Studies'!C51+Economics!C54+English!C52+Geography!C55+Geology!C49+Hist!C59+JMC!C50+Math!C55+'Modern Language'!C60+'Music Theatre Dance'!C69+Philosophy!C47+Physics!C52+'Political Science'!C54+Psych!C53+SASW!C67+Stats!C54+'Gender,Women &amp;Sexuality Studies'!C51</f>
        <v>8</v>
      </c>
      <c r="D48" s="1194"/>
      <c r="E48" s="1195">
        <f>'Dean''s Office'!E121+'Amer Ethnic Studies'!E48+Art!E50+Biochemistry!E52+Biology!E69+Chemistry!E52+'Comm Studies'!E51+Economics!E54+English!E52+Geography!E55+Geology!E49+Hist!E59+JMC!E50+Math!E55+'Modern Language'!E60+'Music Theatre Dance'!E69+Philosophy!E47+Physics!E52+'Political Science'!E54+Psych!E53+SASW!E67+Stats!E54+'Gender,Women &amp;Sexuality Studies'!E51</f>
        <v>9</v>
      </c>
      <c r="F48" s="1194"/>
      <c r="G48" s="1195">
        <f>'Dean''s Office'!G121+'Amer Ethnic Studies'!G48+Art!G50+Biochemistry!G52+Biology!G69+Chemistry!G52+'Comm Studies'!G51+Economics!G54+English!G52+Geography!G55+Geology!G49+Hist!G59+JMC!G50+Math!G55+'Modern Language'!G60+'Music Theatre Dance'!G69+Philosophy!G47+Physics!G52+'Political Science'!G54+Psych!G53+SASW!G67+Stats!G54+'Gender,Women &amp;Sexuality Studies'!G51</f>
        <v>5</v>
      </c>
      <c r="H48" s="1194"/>
      <c r="I48" s="1195">
        <f>'Dean''s Office'!I121+'Amer Ethnic Studies'!I48+Art!I50+Biochemistry!I52+Biology!I69+Chemistry!I52+'Comm Studies'!I51+Economics!I54+English!I52+Geography!I55+Geology!I49+Hist!I59+JMC!I50+Math!I55+'Modern Language'!I60+'Music Theatre Dance'!I69+Philosophy!I47+Physics!I52+'Political Science'!I54+Psych!I53+SASW!I67+Stats!I54+'Gender,Women &amp;Sexuality Studies'!I51</f>
        <v>7</v>
      </c>
      <c r="J48" s="1194">
        <f>'Dean''s Office'!J121+'Amer Ethnic Studies'!J48+Art!J50+Biochemistry!J52+Biology!J69+Chemistry!J52+'Comm Studies'!J51+Economics!J54+English!J52+Geography!J55+Geology!J49+Hist!J59+JMC!J50+Math!J55+'Modern Language'!J60+'Music Theatre Dance'!J69+Philosophy!J47+Physics!J52+'Political Science'!J54+Psych!J53+SASW!J67+Stats!J54+'Gender,Women &amp;Sexuality Studies'!J51</f>
        <v>4.75</v>
      </c>
      <c r="K48" s="1195">
        <f>'Dean''s Office'!K121+'Amer Ethnic Studies'!K48+Art!K50+Biochemistry!K52+Biology!K69+Chemistry!K52+'Comm Studies'!K51+Economics!K54+English!K52+Geography!K55+Geology!K49+Hist!K59+JMC!K50+Math!K55+'Modern Language'!K60+'Music Theatre Dance'!K69+Philosophy!K47+Physics!K52+'Political Science'!K54+Psych!K53+SASW!K67+Stats!K54+'Gender,Women &amp;Sexuality Studies'!K51</f>
        <v>10</v>
      </c>
      <c r="L48" s="1194">
        <f>'Dean''s Office'!L121+'Amer Ethnic Studies'!L48+Art!L50+Biochemistry!L52+Biology!L69+Chemistry!L52+'Comm Studies'!L51+Economics!L54+English!L52+Geography!L55+Geology!L49+Hist!L59+JMC!L50+Math!L55+'Modern Language'!L60+'Music Theatre Dance'!L69+Philosophy!L47+Physics!L52+'Political Science'!L54+Psych!L53+SASW!L67+Stats!L54+'Gender,Women &amp;Sexuality Studies'!L51</f>
        <v>4</v>
      </c>
      <c r="M48" s="1195">
        <f>'Dean''s Office'!M121+'Amer Ethnic Studies'!M48+Art!M50+Biochemistry!M52+Biology!M69+Chemistry!M52+'Comm Studies'!M51+Economics!M54+English!M52+Geography!M55+Geology!M49+Hist!M59+JMC!M50+Math!M55+'Modern Language'!M60+'Music Theatre Dance'!M69+Philosophy!M47+Physics!M52+'Political Science'!M54+Psych!M53+SASW!M67+Stats!M54+'Gender,Women &amp;Sexuality Studies'!M51</f>
        <v>9</v>
      </c>
      <c r="N48" s="1194">
        <f>'Dean''s Office'!N121+'Amer Ethnic Studies'!N48+Art!N50+Biochemistry!N52+Biology!N69+Chemistry!N52+'Comm Studies'!N51+Economics!N54+English!N52+Geography!N55+Geology!N49+Hist!N59+JMC!N50+Math!N55+'Modern Language'!N60+'Music Theatre Dance'!N69+Philosophy!N47+Physics!N52+'Political Science'!N54+Psych!N53+SASW!N67+Stats!N54+'Gender,Women &amp;Sexuality Studies'!N51</f>
        <v>3.4</v>
      </c>
      <c r="O48" s="1195">
        <f>'Dean''s Office'!O121+'Amer Ethnic Studies'!O48+Art!O50+Biochemistry!O52+Biology!O69+Chemistry!O52+'Comm Studies'!O51+Economics!O54+English!O52+Geography!O55+Geology!O49+Hist!O59+JMC!O50+Math!O55+'Modern Language'!O60+'Music Theatre Dance'!O69+Philosophy!O47+Physics!O52+'Political Science'!O54+Psych!O53+SASW!O67+Stats!O54+'Gender,Women &amp;Sexuality Studies'!O51</f>
        <v>6</v>
      </c>
      <c r="P48" s="1194">
        <f>'Dean''s Office'!P121+'Amer Ethnic Studies'!P48+Art!P50+Biochemistry!P52+Biology!P69+Chemistry!P52+'Comm Studies'!P51+Economics!P54+English!P52+Geography!P55+Geology!P49+Hist!P59+JMC!P50+Math!P55+'Modern Language'!P60+'Music Theatre Dance'!P69+Philosophy!P47+Physics!P52+'Political Science'!P54+Psych!P53+SASW!P67+Stats!P54+'Gender,Women &amp;Sexuality Studies'!P51</f>
        <v>2.5</v>
      </c>
      <c r="Q48" s="1195">
        <f>'Dean''s Office'!Q121+'Amer Ethnic Studies'!Q48+Art!Q50+Biochemistry!Q52+Biology!Q69+Chemistry!Q52+'Comm Studies'!Q51+Economics!Q54+English!Q52+Geography!Q55+Geology!Q49+Hist!Q59+JMC!Q50+Math!Q55+'Modern Language'!Q60+'Music Theatre Dance'!Q69+Philosophy!Q47+Physics!Q52+'Political Science'!Q54+Psych!Q53+SASW!Q67+Stats!Q54+'Gender,Women &amp;Sexuality Studies'!Q51</f>
        <v>4</v>
      </c>
      <c r="R48" s="1194">
        <f>'Dean''s Office'!R121+'Amer Ethnic Studies'!R48+Art!R50+Biochemistry!R52+Biology!R69+Chemistry!R52+'Comm Studies'!R51+Economics!R54+English!R52+Geography!R55+Geology!R49+Hist!R59+JMC!R50+Math!R55+'Modern Language'!R60+'Music Theatre Dance'!R69+Philosophy!R47+Physics!R52+'Political Science'!R54+Psych!R53+SASW!R67+Stats!R54+'Gender,Women &amp;Sexuality Studies'!R51</f>
        <v>2.0999999999999996</v>
      </c>
      <c r="S48" s="1195">
        <f>'Dean''s Office'!S121+'Amer Ethnic Studies'!S48+Art!S50+Biochemistry!S52+Biology!S69+Chemistry!S52+'Comm Studies'!S51+Economics!S54+English!S52+Geography!S55+Geology!S49+Hist!S59+JMC!S50+Math!S55+'Modern Language'!S60+'Music Theatre Dance'!S69+Philosophy!S47+Physics!S52+'Political Science'!S54+Psych!S53+SASW!S67+Stats!S54+'Gender,Women &amp;Sexuality Studies'!S51</f>
        <v>4</v>
      </c>
      <c r="T48" s="1194">
        <f>'Dean''s Office'!T121+'Amer Ethnic Studies'!T48+Art!T50+Biochemistry!T52+Biology!T69+Chemistry!T52+'Comm Studies'!T51+Economics!T54+English!T52+Geography!T55+Geology!T49+Hist!T59+JMC!T50+Math!T55+'Modern Language'!T60+'Music Theatre Dance'!T69+Philosophy!T47+Physics!T52+'Political Science'!T54+Psych!T53+SASW!T67+Stats!T54+'Gender,Women &amp;Sexuality Studies'!T51</f>
        <v>0</v>
      </c>
      <c r="U48" s="1197">
        <f>'Dean''s Office'!U121+'Amer Ethnic Studies'!U48+Art!U50+Biochemistry!U52+Biology!U69+Chemistry!U52+'Comm Studies'!U51+Economics!U54+English!U52+Geography!U55+Geology!U49+Hist!U59+JMC!U50+Math!U55+'Modern Language'!U60+'Music Theatre Dance'!U69+Philosophy!U47+Physics!U52+'Political Science'!U54+Psych!U53+SASW!U67+Stats!U54+'Gender,Women &amp;Sexuality Studies'!U51</f>
        <v>0</v>
      </c>
      <c r="V48" s="85"/>
      <c r="W48" s="85"/>
      <c r="X48" s="85"/>
      <c r="Y48" s="85"/>
    </row>
    <row r="49" spans="1:25" ht="13.5" thickBot="1" x14ac:dyDescent="0.25">
      <c r="A49" s="1135" t="s">
        <v>28</v>
      </c>
      <c r="B49" s="1136"/>
      <c r="C49" s="1137">
        <f t="shared" ref="C49" si="0">SUM(C43:C48)</f>
        <v>457</v>
      </c>
      <c r="D49" s="1136"/>
      <c r="E49" s="1137">
        <f t="shared" ref="E49:S49" si="1">SUM(E43:E48)</f>
        <v>463</v>
      </c>
      <c r="F49" s="1136"/>
      <c r="G49" s="1137">
        <f t="shared" si="1"/>
        <v>438</v>
      </c>
      <c r="H49" s="1147"/>
      <c r="I49" s="1137">
        <f t="shared" si="1"/>
        <v>446</v>
      </c>
      <c r="J49" s="1147">
        <f t="shared" si="1"/>
        <v>426.24</v>
      </c>
      <c r="K49" s="1137">
        <f t="shared" si="1"/>
        <v>458</v>
      </c>
      <c r="L49" s="1147">
        <f t="shared" si="1"/>
        <v>511.53</v>
      </c>
      <c r="M49" s="1137">
        <f t="shared" si="1"/>
        <v>552</v>
      </c>
      <c r="N49" s="1147">
        <f t="shared" si="1"/>
        <v>513.79999999999995</v>
      </c>
      <c r="O49" s="1137">
        <f t="shared" si="1"/>
        <v>555</v>
      </c>
      <c r="P49" s="1147">
        <f t="shared" si="1"/>
        <v>528.20000000000005</v>
      </c>
      <c r="Q49" s="1137">
        <f t="shared" si="1"/>
        <v>568</v>
      </c>
      <c r="R49" s="1147">
        <f t="shared" si="1"/>
        <v>539.80000000000007</v>
      </c>
      <c r="S49" s="1137">
        <f t="shared" si="1"/>
        <v>577</v>
      </c>
      <c r="T49" s="1147">
        <f t="shared" ref="T49:U49" si="2">SUM(T43:T48)</f>
        <v>0</v>
      </c>
      <c r="U49" s="1198">
        <f t="shared" si="2"/>
        <v>0</v>
      </c>
      <c r="V49" s="85"/>
      <c r="W49" s="85"/>
      <c r="X49" s="85"/>
      <c r="Y49" s="85"/>
    </row>
    <row r="50" spans="1:25" ht="13.5" thickBot="1" x14ac:dyDescent="0.25">
      <c r="A50" s="795" t="s">
        <v>296</v>
      </c>
      <c r="B50" s="801" t="s">
        <v>39</v>
      </c>
      <c r="C50" s="798" t="s">
        <v>46</v>
      </c>
      <c r="D50" s="801" t="s">
        <v>39</v>
      </c>
      <c r="E50" s="798" t="s">
        <v>46</v>
      </c>
      <c r="F50" s="801" t="s">
        <v>39</v>
      </c>
      <c r="G50" s="798" t="s">
        <v>46</v>
      </c>
      <c r="H50" s="801" t="s">
        <v>39</v>
      </c>
      <c r="I50" s="798" t="s">
        <v>46</v>
      </c>
      <c r="J50" s="801" t="s">
        <v>39</v>
      </c>
      <c r="K50" s="798" t="s">
        <v>46</v>
      </c>
      <c r="L50" s="801" t="s">
        <v>39</v>
      </c>
      <c r="M50" s="798" t="s">
        <v>46</v>
      </c>
      <c r="N50" s="801" t="s">
        <v>39</v>
      </c>
      <c r="O50" s="798" t="s">
        <v>46</v>
      </c>
      <c r="P50" s="801" t="s">
        <v>39</v>
      </c>
      <c r="Q50" s="798" t="s">
        <v>46</v>
      </c>
      <c r="R50" s="801" t="s">
        <v>39</v>
      </c>
      <c r="S50" s="798" t="s">
        <v>46</v>
      </c>
      <c r="T50" s="801" t="s">
        <v>39</v>
      </c>
      <c r="U50" s="804" t="s">
        <v>46</v>
      </c>
      <c r="V50" s="85"/>
      <c r="W50" s="85"/>
      <c r="X50" s="85"/>
      <c r="Y50" s="85"/>
    </row>
    <row r="51" spans="1:25" x14ac:dyDescent="0.2">
      <c r="A51" s="1138" t="s">
        <v>265</v>
      </c>
      <c r="B51" s="1125"/>
      <c r="C51" s="1126"/>
      <c r="D51" s="1125"/>
      <c r="E51" s="1126"/>
      <c r="F51" s="1125"/>
      <c r="G51" s="1126"/>
      <c r="H51" s="1125"/>
      <c r="I51" s="1126"/>
      <c r="J51" s="1125"/>
      <c r="K51" s="1126"/>
      <c r="L51" s="1125"/>
      <c r="M51" s="1126"/>
      <c r="N51" s="1125"/>
      <c r="O51" s="1126"/>
      <c r="P51" s="1125"/>
      <c r="Q51" s="1126"/>
      <c r="R51" s="1125"/>
      <c r="S51" s="1126"/>
      <c r="T51" s="1125"/>
      <c r="U51" s="1127"/>
      <c r="V51" s="85"/>
      <c r="W51" s="85"/>
      <c r="X51" s="85"/>
      <c r="Y51" s="85"/>
    </row>
    <row r="52" spans="1:25" x14ac:dyDescent="0.2">
      <c r="A52" s="200" t="s">
        <v>47</v>
      </c>
      <c r="B52" s="1129">
        <f>'Dean''s Office'!B125+'Amer Ethnic Studies'!B52+Art!B54+Biochemistry!B56+Biology!B73+Chemistry!B56+'Comm Studies'!B55+Economics!B58+English!B56+Geography!B59+Geology!B53+Hist!B63+JMC!B54+Math!B59+'Modern Language'!B64+'Music Theatre Dance'!B73+Philosophy!B51+Physics!B56+'Political Science'!B58+Psych!B57+SASW!B71+Stats!B58+'Gender,Women &amp;Sexuality Studies'!B55</f>
        <v>354</v>
      </c>
      <c r="C52" s="1139">
        <f>B52/$E$49</f>
        <v>0.76457883369330448</v>
      </c>
      <c r="D52" s="1129">
        <f>'Dean''s Office'!D125+'Amer Ethnic Studies'!D52+Art!D54+Biochemistry!D56+Biology!D73+Chemistry!D56+'Comm Studies'!D55+Economics!D58+English!D56+Geography!D59+Geology!D53+Hist!D63+JMC!D54+Math!D59+'Modern Language'!D64+'Music Theatre Dance'!D73+Philosophy!D51+Physics!D56+'Political Science'!D58+Psych!D57+SASW!D71+Stats!D58+'Gender,Women &amp;Sexuality Studies'!D55</f>
        <v>366</v>
      </c>
      <c r="E52" s="1139">
        <f>D52/$E$49</f>
        <v>0.79049676025917925</v>
      </c>
      <c r="F52" s="1129">
        <f>'Dean''s Office'!F125+'Amer Ethnic Studies'!F52+Art!F54+Biochemistry!F56+Biology!F73+Chemistry!F56+'Comm Studies'!F55+Economics!F58+English!F56+Geography!F59+Geology!F53+Hist!F63+JMC!F54+Math!F59+'Modern Language'!F64+'Music Theatre Dance'!F73+Philosophy!F51+Physics!F56+'Political Science'!F58+Psych!F57+SASW!F71+Stats!F58+'Gender,Women &amp;Sexuality Studies'!F55</f>
        <v>346</v>
      </c>
      <c r="G52" s="1139">
        <f>F52/$G$49</f>
        <v>0.78995433789954339</v>
      </c>
      <c r="H52" s="1129">
        <f>'Dean''s Office'!H125+'Amer Ethnic Studies'!H52+Art!H54+Biochemistry!H56+Biology!H73+Chemistry!H56+'Comm Studies'!H55+Economics!H58+English!H56+Geography!H59+Geology!H53+Hist!H63+JMC!H54+Math!H59+'Modern Language'!H64+'Music Theatre Dance'!H73+Philosophy!H51+Physics!H56+'Political Science'!H58+Psych!H57+SASW!H71+Stats!H58+'Gender,Women &amp;Sexuality Studies'!H55</f>
        <v>346</v>
      </c>
      <c r="I52" s="1139">
        <f>H52/$I$49</f>
        <v>0.77578475336322872</v>
      </c>
      <c r="J52" s="1129">
        <f>'Dean''s Office'!J125+'Amer Ethnic Studies'!J52+Art!J54+Biochemistry!J56+Biology!J73+Chemistry!J56+'Comm Studies'!J55+Economics!J58+English!J56+Geography!J59+Geology!J53+Hist!J63+JMC!J54+Math!J59+'Modern Language'!J64+'Music Theatre Dance'!J73+Philosophy!J51+Physics!J56+'Political Science'!J58+Psych!J57+SASW!J71+Stats!J58+'Gender,Women &amp;Sexuality Studies'!J55</f>
        <v>351</v>
      </c>
      <c r="K52" s="1139">
        <f>J52/$K$49</f>
        <v>0.76637554585152834</v>
      </c>
      <c r="L52" s="1129">
        <f>'Dean''s Office'!L125+'Amer Ethnic Studies'!L52+Art!L54+Biochemistry!L56+Biology!L73+Chemistry!L56+'Comm Studies'!L55+Economics!L58+English!L56+Geography!L59+Geology!L53+Hist!L63+JMC!L54+Math!L59+'Modern Language'!L64+'Music Theatre Dance'!L73+Philosophy!L51+Physics!L56+'Political Science'!L58+Psych!L57+SASW!L71+Stats!L58+'Gender,Women &amp;Sexuality Studies'!L55</f>
        <v>422</v>
      </c>
      <c r="M52" s="1139">
        <f>L52/$M$49</f>
        <v>0.76449275362318836</v>
      </c>
      <c r="N52" s="1129">
        <f>'Dean''s Office'!N125+'Amer Ethnic Studies'!N52+Art!N54+Biochemistry!N56+Biology!N73+Chemistry!N56+'Comm Studies'!N55+Economics!N58+English!N56+Geography!N59+Geology!N53+Hist!N63+JMC!N54+Math!N59+'Modern Language'!N64+'Music Theatre Dance'!N73+Philosophy!N51+Physics!N56+'Political Science'!N58+Psych!N57+SASW!N71+Stats!N58+'Gender,Women &amp;Sexuality Studies'!N55</f>
        <v>429</v>
      </c>
      <c r="O52" s="1139">
        <f>N52/$O$49</f>
        <v>0.77297297297297296</v>
      </c>
      <c r="P52" s="1129">
        <f>'Dean''s Office'!P125+'Amer Ethnic Studies'!P52+Art!P54+Biochemistry!P56+Biology!P73+Chemistry!P56+'Comm Studies'!P55+Economics!P58+English!P56+Geography!P59+Geology!P53+Hist!P63+JMC!P54+Math!P59+'Modern Language'!P64+'Music Theatre Dance'!P73+Philosophy!P51+Physics!P56+'Political Science'!P58+Psych!P57+SASW!P71+Stats!P58+'Gender,Women &amp;Sexuality Studies'!P55</f>
        <v>432</v>
      </c>
      <c r="Q52" s="1139">
        <f>P52/$Q$49</f>
        <v>0.76056338028169013</v>
      </c>
      <c r="R52" s="1129">
        <f>'Dean''s Office'!R125+'Amer Ethnic Studies'!R52+Art!R54+Biochemistry!R56+Biology!R73+Chemistry!R56+'Comm Studies'!R55+Economics!R58+English!R56+Geography!R59+Geology!R53+Hist!R63+JMC!R54+Math!R59+'Modern Language'!R64+'Music Theatre Dance'!R73+Philosophy!R51+Physics!R56+'Political Science'!R58+Psych!R57+SASW!R71+Stats!R58+'Gender,Women &amp;Sexuality Studies'!R55</f>
        <v>434</v>
      </c>
      <c r="S52" s="1139">
        <f>R52/$S$49</f>
        <v>0.75216637781629114</v>
      </c>
      <c r="T52" s="1129">
        <f>'Dean''s Office'!T125+'Amer Ethnic Studies'!T52+Art!T54+Biochemistry!T56+Biology!T73+Chemistry!T56+'Comm Studies'!T55+Economics!T58+English!T56+Geography!T59+Geology!T53+Hist!T63+JMC!T54+Math!T59+'Modern Language'!T64+'Music Theatre Dance'!T73+Philosophy!T51+Physics!T56+'Political Science'!T58+Psych!T57+SASW!T71+Stats!T58+'Gender,Women &amp;Sexuality Studies'!T55</f>
        <v>0</v>
      </c>
      <c r="U52" s="1140">
        <f>T52/$S$49</f>
        <v>0</v>
      </c>
      <c r="V52" s="85"/>
      <c r="W52" s="85"/>
      <c r="X52" s="85"/>
      <c r="Y52" s="85"/>
    </row>
    <row r="53" spans="1:25" x14ac:dyDescent="0.2">
      <c r="A53" s="207" t="s">
        <v>48</v>
      </c>
      <c r="B53" s="1129">
        <f>'Dean''s Office'!B126+'Amer Ethnic Studies'!B53+Art!B55+Biochemistry!B57+Biology!B74+Chemistry!B57+'Comm Studies'!B56+Economics!B59+English!B57+Geography!B60+Geology!B54+Hist!B64+JMC!B55+Math!B60+'Modern Language'!B65+'Music Theatre Dance'!B74+Philosophy!B52+Physics!B57+'Political Science'!B59+Psych!B58+SASW!B72+Stats!B59+'Gender,Women &amp;Sexuality Studies'!B56</f>
        <v>10</v>
      </c>
      <c r="C53" s="1139">
        <f t="shared" ref="C53:C59" si="3">B53/$E$49</f>
        <v>2.159827213822894E-2</v>
      </c>
      <c r="D53" s="1129">
        <f>'Dean''s Office'!D126+'Amer Ethnic Studies'!D53+Art!D55+Biochemistry!D57+Biology!D74+Chemistry!D57+'Comm Studies'!D56+Economics!D59+English!D57+Geography!D60+Geology!D54+Hist!D64+JMC!D55+Math!D60+'Modern Language'!D65+'Music Theatre Dance'!D74+Philosophy!D52+Physics!D57+'Political Science'!D59+Psych!D58+SASW!D72+Stats!D59+'Gender,Women &amp;Sexuality Studies'!D56</f>
        <v>11</v>
      </c>
      <c r="E53" s="1139">
        <f t="shared" ref="E53:E68" si="4">D53/$E$49</f>
        <v>2.3758099352051837E-2</v>
      </c>
      <c r="F53" s="1129">
        <f>'Dean''s Office'!F126+'Amer Ethnic Studies'!F53+Art!F55+Biochemistry!F57+Biology!F74+Chemistry!F57+'Comm Studies'!F56+Economics!F59+English!F57+Geography!F60+Geology!F54+Hist!F64+JMC!F55+Math!F60+'Modern Language'!F65+'Music Theatre Dance'!F74+Philosophy!F52+Physics!F57+'Political Science'!F59+Psych!F58+SASW!F72+Stats!F59+'Gender,Women &amp;Sexuality Studies'!F56</f>
        <v>10</v>
      </c>
      <c r="G53" s="1139">
        <f t="shared" ref="G53:G71" si="5">F53/$G$49</f>
        <v>2.2831050228310501E-2</v>
      </c>
      <c r="H53" s="1129">
        <f>'Dean''s Office'!H126+'Amer Ethnic Studies'!H53+Art!H55+Biochemistry!H57+Biology!H74+Chemistry!H57+'Comm Studies'!H56+Economics!H59+English!H57+Geography!H60+Geology!H54+Hist!H64+JMC!H55+Math!H60+'Modern Language'!H65+'Music Theatre Dance'!H74+Philosophy!H52+Physics!H57+'Political Science'!H59+Psych!H58+SASW!H72+Stats!H59+'Gender,Women &amp;Sexuality Studies'!H56</f>
        <v>10</v>
      </c>
      <c r="I53" s="1139">
        <f t="shared" ref="I53:I71" si="6">H53/$I$49</f>
        <v>2.2421524663677129E-2</v>
      </c>
      <c r="J53" s="1129">
        <f>'Dean''s Office'!J126+'Amer Ethnic Studies'!J53+Art!J55+Biochemistry!J57+Biology!J74+Chemistry!J57+'Comm Studies'!J56+Economics!J59+English!J57+Geography!J60+Geology!J54+Hist!J64+JMC!J55+Math!J60+'Modern Language'!J65+'Music Theatre Dance'!J74+Philosophy!J52+Physics!J57+'Political Science'!J59+Psych!J58+SASW!J72+Stats!J59+'Gender,Women &amp;Sexuality Studies'!J56</f>
        <v>10</v>
      </c>
      <c r="K53" s="1139">
        <f t="shared" ref="K53:K71" si="7">J53/$K$49</f>
        <v>2.1834061135371178E-2</v>
      </c>
      <c r="L53" s="1129">
        <f>'Dean''s Office'!L126+'Amer Ethnic Studies'!L53+Art!L55+Biochemistry!L57+Biology!L74+Chemistry!L57+'Comm Studies'!L56+Economics!L59+English!L57+Geography!L60+Geology!L54+Hist!L64+JMC!L55+Math!L60+'Modern Language'!L65+'Music Theatre Dance'!L74+Philosophy!L52+Physics!L57+'Political Science'!L59+Psych!L58+SASW!L72+Stats!L59+'Gender,Women &amp;Sexuality Studies'!L56</f>
        <v>9</v>
      </c>
      <c r="M53" s="1139">
        <f t="shared" ref="M53:M71" si="8">L53/$M$49</f>
        <v>1.6304347826086956E-2</v>
      </c>
      <c r="N53" s="1129">
        <f>'Dean''s Office'!N126+'Amer Ethnic Studies'!N53+Art!N55+Biochemistry!N57+Biology!N74+Chemistry!N57+'Comm Studies'!N56+Economics!N59+English!N57+Geography!N60+Geology!N54+Hist!N64+JMC!N55+Math!N60+'Modern Language'!N65+'Music Theatre Dance'!N74+Philosophy!N52+Physics!N57+'Political Science'!N59+Psych!N58+SASW!N72+Stats!N59+'Gender,Women &amp;Sexuality Studies'!N56</f>
        <v>10</v>
      </c>
      <c r="O53" s="1139">
        <f t="shared" ref="O53:O71" si="9">N53/$O$49</f>
        <v>1.8018018018018018E-2</v>
      </c>
      <c r="P53" s="1129">
        <f>'Dean''s Office'!P126+'Amer Ethnic Studies'!P53+Art!P55+Biochemistry!P57+Biology!P74+Chemistry!P57+'Comm Studies'!P56+Economics!P59+English!P57+Geography!P60+Geology!P54+Hist!P64+JMC!P55+Math!P60+'Modern Language'!P65+'Music Theatre Dance'!P74+Philosophy!P52+Physics!P57+'Political Science'!P59+Psych!P58+SASW!P72+Stats!P59+'Gender,Women &amp;Sexuality Studies'!P56</f>
        <v>9</v>
      </c>
      <c r="Q53" s="1139">
        <f t="shared" ref="Q53:Q71" si="10">P53/$Q$49</f>
        <v>1.5845070422535211E-2</v>
      </c>
      <c r="R53" s="1129">
        <f>'Dean''s Office'!R126+'Amer Ethnic Studies'!R53+Art!R55+Biochemistry!R57+Biology!R74+Chemistry!R57+'Comm Studies'!R56+Economics!R59+English!R57+Geography!R60+Geology!R54+Hist!R64+JMC!R55+Math!R60+'Modern Language'!R65+'Music Theatre Dance'!R74+Philosophy!R52+Physics!R57+'Political Science'!R59+Psych!R58+SASW!R72+Stats!R59+'Gender,Women &amp;Sexuality Studies'!R56</f>
        <v>12</v>
      </c>
      <c r="S53" s="1139">
        <f t="shared" ref="S53:S71" si="11">R53/$S$49</f>
        <v>2.0797227036395149E-2</v>
      </c>
      <c r="T53" s="1129">
        <f>'Dean''s Office'!T126+'Amer Ethnic Studies'!T53+Art!T55+Biochemistry!T57+Biology!T74+Chemistry!T57+'Comm Studies'!T56+Economics!T59+English!T57+Geography!T60+Geology!T54+Hist!T64+JMC!T55+Math!T60+'Modern Language'!T65+'Music Theatre Dance'!T74+Philosophy!T52+Physics!T57+'Political Science'!T59+Psych!T58+SASW!T72+Stats!T59+'Gender,Women &amp;Sexuality Studies'!T56</f>
        <v>0</v>
      </c>
      <c r="U53" s="1140">
        <f t="shared" ref="U53:U59" si="12">T53/$S$49</f>
        <v>0</v>
      </c>
      <c r="V53" s="85"/>
      <c r="W53" s="85"/>
      <c r="X53" s="85"/>
      <c r="Y53" s="85"/>
    </row>
    <row r="54" spans="1:25" x14ac:dyDescent="0.2">
      <c r="A54" s="207" t="s">
        <v>49</v>
      </c>
      <c r="B54" s="1129">
        <f>'Dean''s Office'!B127+'Amer Ethnic Studies'!B54+Art!B56+Biochemistry!B58+Biology!B75+Chemistry!B58+'Comm Studies'!B57+Economics!B60+English!B58+Geography!B61+Geology!B55+Hist!B65+JMC!B56+Math!B61+'Modern Language'!B66+'Music Theatre Dance'!B75+Philosophy!B53+Physics!B58+'Political Science'!B60+Psych!B59+SASW!B73+Stats!B60+'Gender,Women &amp;Sexuality Studies'!B57</f>
        <v>16</v>
      </c>
      <c r="C54" s="1139">
        <f t="shared" si="3"/>
        <v>3.4557235421166309E-2</v>
      </c>
      <c r="D54" s="1129">
        <f>'Dean''s Office'!D127+'Amer Ethnic Studies'!D54+Art!D56+Biochemistry!D58+Biology!D75+Chemistry!D58+'Comm Studies'!D57+Economics!D60+English!D58+Geography!D61+Geology!D55+Hist!D65+JMC!D56+Math!D61+'Modern Language'!D66+'Music Theatre Dance'!D75+Philosophy!D53+Physics!D58+'Political Science'!D60+Psych!D59+SASW!D73+Stats!D60+'Gender,Women &amp;Sexuality Studies'!D57</f>
        <v>16</v>
      </c>
      <c r="E54" s="1139">
        <f t="shared" si="4"/>
        <v>3.4557235421166309E-2</v>
      </c>
      <c r="F54" s="1129">
        <f>'Dean''s Office'!F127+'Amer Ethnic Studies'!F54+Art!F56+Biochemistry!F58+Biology!F75+Chemistry!F58+'Comm Studies'!F57+Economics!F60+English!F58+Geography!F61+Geology!F55+Hist!F65+JMC!F56+Math!F61+'Modern Language'!F66+'Music Theatre Dance'!F75+Philosophy!F53+Physics!F58+'Political Science'!F60+Psych!F59+SASW!F73+Stats!F60+'Gender,Women &amp;Sexuality Studies'!F57</f>
        <v>19</v>
      </c>
      <c r="G54" s="1139">
        <f t="shared" si="5"/>
        <v>4.3378995433789952E-2</v>
      </c>
      <c r="H54" s="1129">
        <f>'Dean''s Office'!H127+'Amer Ethnic Studies'!H54+Art!H56+Biochemistry!H58+Biology!H75+Chemistry!H58+'Comm Studies'!H57+Economics!H60+English!H58+Geography!H61+Geology!H55+Hist!H65+JMC!H56+Math!H61+'Modern Language'!H66+'Music Theatre Dance'!H75+Philosophy!H53+Physics!H58+'Political Science'!H60+Psych!H59+SASW!H73+Stats!H60+'Gender,Women &amp;Sexuality Studies'!H57</f>
        <v>22</v>
      </c>
      <c r="I54" s="1139">
        <f t="shared" si="6"/>
        <v>4.9327354260089683E-2</v>
      </c>
      <c r="J54" s="1129">
        <f>'Dean''s Office'!J127+'Amer Ethnic Studies'!J54+Art!J56+Biochemistry!J58+Biology!J75+Chemistry!J58+'Comm Studies'!J57+Economics!J60+English!J58+Geography!J61+Geology!J55+Hist!J65+JMC!J56+Math!J61+'Modern Language'!J66+'Music Theatre Dance'!J75+Philosophy!J53+Physics!J58+'Political Science'!J60+Psych!J59+SASW!J73+Stats!J60+'Gender,Women &amp;Sexuality Studies'!J57</f>
        <v>24</v>
      </c>
      <c r="K54" s="1139">
        <f t="shared" si="7"/>
        <v>5.2401746724890827E-2</v>
      </c>
      <c r="L54" s="1129">
        <f>'Dean''s Office'!L127+'Amer Ethnic Studies'!L54+Art!L56+Biochemistry!L58+Biology!L75+Chemistry!L58+'Comm Studies'!L57+Economics!L60+English!L58+Geography!L61+Geology!L55+Hist!L65+JMC!L56+Math!L61+'Modern Language'!L66+'Music Theatre Dance'!L75+Philosophy!L53+Physics!L58+'Political Science'!L60+Psych!L59+SASW!L73+Stats!L60+'Gender,Women &amp;Sexuality Studies'!L57</f>
        <v>28</v>
      </c>
      <c r="M54" s="1139">
        <f t="shared" si="8"/>
        <v>5.0724637681159424E-2</v>
      </c>
      <c r="N54" s="1129">
        <f>'Dean''s Office'!N127+'Amer Ethnic Studies'!N54+Art!N56+Biochemistry!N58+Biology!N75+Chemistry!N58+'Comm Studies'!N57+Economics!N60+English!N58+Geography!N61+Geology!N55+Hist!N65+JMC!N56+Math!N61+'Modern Language'!N66+'Music Theatre Dance'!N75+Philosophy!N53+Physics!N58+'Political Science'!N60+Psych!N59+SASW!N73+Stats!N60+'Gender,Women &amp;Sexuality Studies'!N57</f>
        <v>24</v>
      </c>
      <c r="O54" s="1139">
        <f t="shared" si="9"/>
        <v>4.3243243243243246E-2</v>
      </c>
      <c r="P54" s="1129">
        <f>'Dean''s Office'!P127+'Amer Ethnic Studies'!P54+Art!P56+Biochemistry!P58+Biology!P75+Chemistry!P58+'Comm Studies'!P57+Economics!P60+English!P58+Geography!P61+Geology!P55+Hist!P65+JMC!P56+Math!P61+'Modern Language'!P66+'Music Theatre Dance'!P75+Philosophy!P53+Physics!P58+'Political Science'!P60+Psych!P59+SASW!P73+Stats!P60+'Gender,Women &amp;Sexuality Studies'!P57</f>
        <v>29</v>
      </c>
      <c r="Q54" s="1139">
        <f t="shared" si="10"/>
        <v>5.1056338028169015E-2</v>
      </c>
      <c r="R54" s="1129">
        <f>'Dean''s Office'!R127+'Amer Ethnic Studies'!R54+Art!R56+Biochemistry!R58+Biology!R75+Chemistry!R58+'Comm Studies'!R57+Economics!R60+English!R58+Geography!R61+Geology!R55+Hist!R65+JMC!R56+Math!R61+'Modern Language'!R66+'Music Theatre Dance'!R75+Philosophy!R53+Physics!R58+'Political Science'!R60+Psych!R59+SASW!R73+Stats!R60+'Gender,Women &amp;Sexuality Studies'!R57</f>
        <v>33</v>
      </c>
      <c r="S54" s="1139">
        <f t="shared" si="11"/>
        <v>5.7192374350086658E-2</v>
      </c>
      <c r="T54" s="1129">
        <f>'Dean''s Office'!T127+'Amer Ethnic Studies'!T54+Art!T56+Biochemistry!T58+Biology!T75+Chemistry!T58+'Comm Studies'!T57+Economics!T60+English!T58+Geography!T61+Geology!T55+Hist!T65+JMC!T56+Math!T61+'Modern Language'!T66+'Music Theatre Dance'!T75+Philosophy!T53+Physics!T58+'Political Science'!T60+Psych!T59+SASW!T73+Stats!T60+'Gender,Women &amp;Sexuality Studies'!T57</f>
        <v>0</v>
      </c>
      <c r="U54" s="1140">
        <f t="shared" si="12"/>
        <v>0</v>
      </c>
      <c r="V54" s="85"/>
      <c r="W54" s="85"/>
      <c r="X54" s="85"/>
      <c r="Y54" s="85"/>
    </row>
    <row r="55" spans="1:25" x14ac:dyDescent="0.2">
      <c r="A55" s="207" t="s">
        <v>50</v>
      </c>
      <c r="B55" s="1129">
        <f>'Dean''s Office'!B128+'Amer Ethnic Studies'!B55+Art!B57+Biochemistry!B59+Biology!B76+Chemistry!B59+'Comm Studies'!B58+Economics!B61+English!B59+Geography!B62+Geology!B56+Hist!B66+JMC!B57+Math!B62+'Modern Language'!B67+'Music Theatre Dance'!B76+Philosophy!B54+Physics!B59+'Political Science'!B61+Psych!B60+SASW!B74+Stats!B61+'Gender,Women &amp;Sexuality Studies'!B58</f>
        <v>0</v>
      </c>
      <c r="C55" s="1139">
        <f t="shared" si="3"/>
        <v>0</v>
      </c>
      <c r="D55" s="1129">
        <f>'Dean''s Office'!D128+'Amer Ethnic Studies'!D55+Art!D57+Biochemistry!D59+Biology!D76+Chemistry!D59+'Comm Studies'!D58+Economics!D61+English!D59+Geography!D62+Geology!D56+Hist!D66+JMC!D57+Math!D62+'Modern Language'!D67+'Music Theatre Dance'!D76+Philosophy!D54+Physics!D59+'Political Science'!D61+Psych!D60+SASW!D74+Stats!D61+'Gender,Women &amp;Sexuality Studies'!D58</f>
        <v>0</v>
      </c>
      <c r="E55" s="1139">
        <f t="shared" si="4"/>
        <v>0</v>
      </c>
      <c r="F55" s="1129">
        <f>'Dean''s Office'!F128+'Amer Ethnic Studies'!F55+Art!F57+Biochemistry!F59+Biology!F76+Chemistry!F59+'Comm Studies'!F58+Economics!F61+English!F59+Geography!F62+Geology!F56+Hist!F66+JMC!F57+Math!F62+'Modern Language'!F67+'Music Theatre Dance'!F76+Philosophy!F54+Physics!F59+'Political Science'!F61+Psych!F60+SASW!F74+Stats!F61+'Gender,Women &amp;Sexuality Studies'!F58</f>
        <v>0</v>
      </c>
      <c r="G55" s="1139">
        <f t="shared" si="5"/>
        <v>0</v>
      </c>
      <c r="H55" s="1129">
        <f>'Dean''s Office'!H128+'Amer Ethnic Studies'!H55+Art!H57+Biochemistry!H59+Biology!H76+Chemistry!H59+'Comm Studies'!H58+Economics!H61+English!H59+Geography!H62+Geology!H56+Hist!H66+JMC!H57+Math!H62+'Modern Language'!H67+'Music Theatre Dance'!H76+Philosophy!H54+Physics!H59+'Political Science'!H61+Psych!H60+SASW!H74+Stats!H61+'Gender,Women &amp;Sexuality Studies'!H58</f>
        <v>1</v>
      </c>
      <c r="I55" s="1139">
        <f t="shared" si="6"/>
        <v>2.242152466367713E-3</v>
      </c>
      <c r="J55" s="1129">
        <f>'Dean''s Office'!J128+'Amer Ethnic Studies'!J55+Art!J57+Biochemistry!J59+Biology!J76+Chemistry!J59+'Comm Studies'!J58+Economics!J61+English!J59+Geography!J62+Geology!J56+Hist!J66+JMC!J57+Math!J62+'Modern Language'!J67+'Music Theatre Dance'!J76+Philosophy!J54+Physics!J59+'Political Science'!J61+Psych!J60+SASW!J74+Stats!J61+'Gender,Women &amp;Sexuality Studies'!J58</f>
        <v>1</v>
      </c>
      <c r="K55" s="1139">
        <f t="shared" si="7"/>
        <v>2.1834061135371178E-3</v>
      </c>
      <c r="L55" s="1129">
        <f>'Dean''s Office'!L128+'Amer Ethnic Studies'!L55+Art!L57+Biochemistry!L59+Biology!L76+Chemistry!L59+'Comm Studies'!L58+Economics!L61+English!L59+Geography!L62+Geology!L56+Hist!L66+JMC!L57+Math!L62+'Modern Language'!L67+'Music Theatre Dance'!L76+Philosophy!L54+Physics!L59+'Political Science'!L61+Psych!L60+SASW!L74+Stats!L61+'Gender,Women &amp;Sexuality Studies'!L58</f>
        <v>1</v>
      </c>
      <c r="M55" s="1139">
        <f t="shared" si="8"/>
        <v>1.8115942028985507E-3</v>
      </c>
      <c r="N55" s="1129">
        <f>'Dean''s Office'!N128+'Amer Ethnic Studies'!N55+Art!N57+Biochemistry!N59+Biology!N76+Chemistry!N59+'Comm Studies'!N58+Economics!N61+English!N59+Geography!N62+Geology!N56+Hist!N66+JMC!N57+Math!N62+'Modern Language'!N67+'Music Theatre Dance'!N76+Philosophy!N54+Physics!N59+'Political Science'!N61+Psych!N60+SASW!N74+Stats!N61+'Gender,Women &amp;Sexuality Studies'!N58</f>
        <v>2</v>
      </c>
      <c r="O55" s="1139">
        <f t="shared" si="9"/>
        <v>3.6036036036036037E-3</v>
      </c>
      <c r="P55" s="1129">
        <f>'Dean''s Office'!P128+'Amer Ethnic Studies'!P55+Art!P57+Biochemistry!P59+Biology!P76+Chemistry!P59+'Comm Studies'!P58+Economics!P61+English!P59+Geography!P62+Geology!P56+Hist!P66+JMC!P57+Math!P62+'Modern Language'!P67+'Music Theatre Dance'!P76+Philosophy!P54+Physics!P59+'Political Science'!P61+Psych!P60+SASW!P74+Stats!P61+'Gender,Women &amp;Sexuality Studies'!P58</f>
        <v>2</v>
      </c>
      <c r="Q55" s="1139">
        <f t="shared" si="10"/>
        <v>3.5211267605633804E-3</v>
      </c>
      <c r="R55" s="1129">
        <f>'Dean''s Office'!R128+'Amer Ethnic Studies'!R55+Art!R57+Biochemistry!R59+Biology!R76+Chemistry!R59+'Comm Studies'!R58+Economics!R61+English!R59+Geography!R62+Geology!R56+Hist!R66+JMC!R57+Math!R62+'Modern Language'!R67+'Music Theatre Dance'!R76+Philosophy!R54+Physics!R59+'Political Science'!R61+Psych!R60+SASW!R74+Stats!R61+'Gender,Women &amp;Sexuality Studies'!R58</f>
        <v>0</v>
      </c>
      <c r="S55" s="1139">
        <f t="shared" si="11"/>
        <v>0</v>
      </c>
      <c r="T55" s="1129">
        <f>'Dean''s Office'!T128+'Amer Ethnic Studies'!T55+Art!T57+Biochemistry!T59+Biology!T76+Chemistry!T59+'Comm Studies'!T58+Economics!T61+English!T59+Geography!T62+Geology!T56+Hist!T66+JMC!T57+Math!T62+'Modern Language'!T67+'Music Theatre Dance'!T76+Philosophy!T54+Physics!T59+'Political Science'!T61+Psych!T60+SASW!T74+Stats!T61+'Gender,Women &amp;Sexuality Studies'!T58</f>
        <v>0</v>
      </c>
      <c r="U55" s="1140">
        <f t="shared" si="12"/>
        <v>0</v>
      </c>
      <c r="V55" s="85"/>
      <c r="W55" s="85"/>
      <c r="X55" s="85"/>
      <c r="Y55" s="85"/>
    </row>
    <row r="56" spans="1:25" x14ac:dyDescent="0.2">
      <c r="A56" s="207" t="s">
        <v>51</v>
      </c>
      <c r="B56" s="1129">
        <f>'Dean''s Office'!B129+'Amer Ethnic Studies'!B56+Art!B58+Biochemistry!B60+Biology!B77+Chemistry!B60+'Comm Studies'!B59+Economics!B62+English!B60+Geography!B63+Geology!B57+Hist!B67+JMC!B58+Math!B63+'Modern Language'!B68+'Music Theatre Dance'!B77+Philosophy!B55+Physics!B60+'Political Science'!B62+Psych!B61+SASW!B75+Stats!B62+'Gender,Women &amp;Sexuality Studies'!B59</f>
        <v>39</v>
      </c>
      <c r="C56" s="1139">
        <f t="shared" si="3"/>
        <v>8.4233261339092869E-2</v>
      </c>
      <c r="D56" s="1129">
        <f>'Dean''s Office'!D129+'Amer Ethnic Studies'!D56+Art!D58+Biochemistry!D60+Biology!D77+Chemistry!D60+'Comm Studies'!D59+Economics!D62+English!D60+Geography!D63+Geology!D57+Hist!D67+JMC!D58+Math!D63+'Modern Language'!D68+'Music Theatre Dance'!D77+Philosophy!D55+Physics!D60+'Political Science'!D62+Psych!D61+SASW!D75+Stats!D62+'Gender,Women &amp;Sexuality Studies'!D59</f>
        <v>35</v>
      </c>
      <c r="E56" s="1139">
        <f t="shared" si="4"/>
        <v>7.5593952483801297E-2</v>
      </c>
      <c r="F56" s="1129">
        <f>'Dean''s Office'!F129+'Amer Ethnic Studies'!F56+Art!F58+Biochemistry!F60+Biology!F77+Chemistry!F60+'Comm Studies'!F59+Economics!F62+English!F60+Geography!F63+Geology!F57+Hist!F67+JMC!F58+Math!F63+'Modern Language'!F68+'Music Theatre Dance'!F77+Philosophy!F55+Physics!F60+'Political Science'!F62+Psych!F61+SASW!F75+Stats!F62+'Gender,Women &amp;Sexuality Studies'!F59</f>
        <v>39</v>
      </c>
      <c r="G56" s="1139">
        <f t="shared" si="5"/>
        <v>8.9041095890410954E-2</v>
      </c>
      <c r="H56" s="1129">
        <f>'Dean''s Office'!H129+'Amer Ethnic Studies'!H56+Art!H58+Biochemistry!H60+Biology!H77+Chemistry!H60+'Comm Studies'!H59+Economics!H62+English!H60+Geography!H63+Geology!H57+Hist!H67+JMC!H58+Math!H63+'Modern Language'!H68+'Music Theatre Dance'!H77+Philosophy!H55+Physics!H60+'Political Science'!H62+Psych!H61+SASW!H75+Stats!H62+'Gender,Women &amp;Sexuality Studies'!H59</f>
        <v>43</v>
      </c>
      <c r="I56" s="1139">
        <f t="shared" si="6"/>
        <v>9.641255605381166E-2</v>
      </c>
      <c r="J56" s="1129">
        <f>'Dean''s Office'!J129+'Amer Ethnic Studies'!J56+Art!J58+Biochemistry!J60+Biology!J77+Chemistry!J60+'Comm Studies'!J59+Economics!J62+English!J60+Geography!J63+Geology!J57+Hist!J67+JMC!J58+Math!J63+'Modern Language'!J68+'Music Theatre Dance'!J77+Philosophy!J55+Physics!J60+'Political Science'!J62+Psych!J61+SASW!J75+Stats!J62+'Gender,Women &amp;Sexuality Studies'!J59</f>
        <v>41</v>
      </c>
      <c r="K56" s="1139">
        <f t="shared" si="7"/>
        <v>8.9519650655021835E-2</v>
      </c>
      <c r="L56" s="1129">
        <f>'Dean''s Office'!L129+'Amer Ethnic Studies'!L56+Art!L58+Biochemistry!L60+Biology!L77+Chemistry!L60+'Comm Studies'!L59+Economics!L62+English!L60+Geography!L63+Geology!L57+Hist!L67+JMC!L58+Math!L63+'Modern Language'!L68+'Music Theatre Dance'!L77+Philosophy!L55+Physics!L60+'Political Science'!L62+Psych!L61+SASW!L75+Stats!L62+'Gender,Women &amp;Sexuality Studies'!L59</f>
        <v>49</v>
      </c>
      <c r="M56" s="1139">
        <f t="shared" si="8"/>
        <v>8.8768115942028991E-2</v>
      </c>
      <c r="N56" s="1129">
        <f>'Dean''s Office'!N129+'Amer Ethnic Studies'!N56+Art!N58+Biochemistry!N60+Biology!N77+Chemistry!N60+'Comm Studies'!N59+Economics!N62+English!N60+Geography!N63+Geology!N57+Hist!N67+JMC!N58+Math!N63+'Modern Language'!N68+'Music Theatre Dance'!N77+Philosophy!N55+Physics!N60+'Political Science'!N62+Psych!N61+SASW!N75+Stats!N62+'Gender,Women &amp;Sexuality Studies'!N59</f>
        <v>42</v>
      </c>
      <c r="O56" s="1139">
        <f t="shared" si="9"/>
        <v>7.567567567567568E-2</v>
      </c>
      <c r="P56" s="1129">
        <f>'Dean''s Office'!P129+'Amer Ethnic Studies'!P56+Art!P58+Biochemistry!P60+Biology!P77+Chemistry!P60+'Comm Studies'!P59+Economics!P62+English!P60+Geography!P63+Geology!P57+Hist!P67+JMC!P58+Math!P63+'Modern Language'!P68+'Music Theatre Dance'!P77+Philosophy!P55+Physics!P60+'Political Science'!P62+Psych!P61+SASW!P75+Stats!P62+'Gender,Women &amp;Sexuality Studies'!P59</f>
        <v>43</v>
      </c>
      <c r="Q56" s="1139">
        <f t="shared" si="10"/>
        <v>7.5704225352112672E-2</v>
      </c>
      <c r="R56" s="1129">
        <f>'Dean''s Office'!R129+'Amer Ethnic Studies'!R56+Art!R58+Biochemistry!R60+Biology!R77+Chemistry!R60+'Comm Studies'!R59+Economics!R62+English!R60+Geography!R63+Geology!R57+Hist!R67+JMC!R58+Math!R63+'Modern Language'!R68+'Music Theatre Dance'!R77+Philosophy!R55+Physics!R60+'Political Science'!R62+Psych!R61+SASW!R75+Stats!R62+'Gender,Women &amp;Sexuality Studies'!R59</f>
        <v>42</v>
      </c>
      <c r="S56" s="1139">
        <f t="shared" si="11"/>
        <v>7.2790294627383012E-2</v>
      </c>
      <c r="T56" s="1129">
        <f>'Dean''s Office'!T129+'Amer Ethnic Studies'!T56+Art!T58+Biochemistry!T60+Biology!T77+Chemistry!T60+'Comm Studies'!T59+Economics!T62+English!T60+Geography!T63+Geology!T57+Hist!T67+JMC!T58+Math!T63+'Modern Language'!T68+'Music Theatre Dance'!T77+Philosophy!T55+Physics!T60+'Political Science'!T62+Psych!T61+SASW!T75+Stats!T62+'Gender,Women &amp;Sexuality Studies'!T59</f>
        <v>0</v>
      </c>
      <c r="U56" s="1140">
        <f t="shared" si="12"/>
        <v>0</v>
      </c>
      <c r="V56" s="85"/>
      <c r="W56" s="85"/>
      <c r="X56" s="85"/>
      <c r="Y56" s="85"/>
    </row>
    <row r="57" spans="1:25" x14ac:dyDescent="0.2">
      <c r="A57" s="207" t="s">
        <v>52</v>
      </c>
      <c r="B57" s="1129">
        <f>'Dean''s Office'!B130+'Amer Ethnic Studies'!B57+Art!B59+Biochemistry!B61+Biology!B78+Chemistry!B61+'Comm Studies'!B60+Economics!B63+English!B61+Geography!B64+Geology!B58+Hist!B68+JMC!B59+Math!B64+'Modern Language'!B69+'Music Theatre Dance'!B78+Philosophy!B56+Physics!B61+'Political Science'!B63+Psych!B62+SASW!B76+Stats!B63+'Gender,Women &amp;Sexuality Studies'!B60</f>
        <v>26</v>
      </c>
      <c r="C57" s="1139">
        <f t="shared" si="3"/>
        <v>5.6155507559395246E-2</v>
      </c>
      <c r="D57" s="1129">
        <f>'Dean''s Office'!D130+'Amer Ethnic Studies'!D57+Art!D59+Biochemistry!D61+Biology!D78+Chemistry!D61+'Comm Studies'!D60+Economics!D63+English!D61+Geography!D64+Geology!D58+Hist!D68+JMC!D59+Math!D64+'Modern Language'!D69+'Music Theatre Dance'!D78+Philosophy!D56+Physics!D61+'Political Science'!D63+Psych!D62+SASW!D76+Stats!D63+'Gender,Women &amp;Sexuality Studies'!D60</f>
        <v>31</v>
      </c>
      <c r="E57" s="1139">
        <f t="shared" si="4"/>
        <v>6.6954643628509725E-2</v>
      </c>
      <c r="F57" s="1129">
        <f>'Dean''s Office'!F130+'Amer Ethnic Studies'!F57+Art!F59+Biochemistry!F61+Biology!F78+Chemistry!F61+'Comm Studies'!F60+Economics!F63+English!F61+Geography!F64+Geology!F58+Hist!F68+JMC!F59+Math!F64+'Modern Language'!F69+'Music Theatre Dance'!F78+Philosophy!F56+Physics!F61+'Political Science'!F63+Psych!F62+SASW!F76+Stats!F63+'Gender,Women &amp;Sexuality Studies'!F60</f>
        <v>20</v>
      </c>
      <c r="G57" s="1139">
        <f t="shared" si="5"/>
        <v>4.5662100456621002E-2</v>
      </c>
      <c r="H57" s="1129">
        <f>'Dean''s Office'!H130+'Amer Ethnic Studies'!H57+Art!H59+Biochemistry!H61+Biology!H78+Chemistry!H61+'Comm Studies'!H60+Economics!H63+English!H61+Geography!H64+Geology!H58+Hist!H68+JMC!H59+Math!H64+'Modern Language'!H69+'Music Theatre Dance'!H78+Philosophy!H56+Physics!H61+'Political Science'!H63+Psych!H62+SASW!H76+Stats!H63+'Gender,Women &amp;Sexuality Studies'!H60</f>
        <v>18</v>
      </c>
      <c r="I57" s="1139">
        <f t="shared" si="6"/>
        <v>4.0358744394618833E-2</v>
      </c>
      <c r="J57" s="1129">
        <f>'Dean''s Office'!J130+'Amer Ethnic Studies'!J57+Art!J59+Biochemistry!J61+Biology!J78+Chemistry!J61+'Comm Studies'!J60+Economics!J63+English!J61+Geography!J64+Geology!J58+Hist!J68+JMC!J59+Math!J64+'Modern Language'!J69+'Music Theatre Dance'!J78+Philosophy!J56+Physics!J61+'Political Science'!J63+Psych!J62+SASW!J76+Stats!J63+'Gender,Women &amp;Sexuality Studies'!J60</f>
        <v>20</v>
      </c>
      <c r="K57" s="1139">
        <f t="shared" si="7"/>
        <v>4.3668122270742356E-2</v>
      </c>
      <c r="L57" s="1129">
        <f>'Dean''s Office'!L130+'Amer Ethnic Studies'!L57+Art!L59+Biochemistry!L61+Biology!L78+Chemistry!L61+'Comm Studies'!L60+Economics!L63+English!L61+Geography!L64+Geology!L58+Hist!L68+JMC!L59+Math!L64+'Modern Language'!L69+'Music Theatre Dance'!L78+Philosophy!L56+Physics!L61+'Political Science'!L63+Psych!L62+SASW!L76+Stats!L63+'Gender,Women &amp;Sexuality Studies'!L60</f>
        <v>28</v>
      </c>
      <c r="M57" s="1139">
        <f t="shared" si="8"/>
        <v>5.0724637681159424E-2</v>
      </c>
      <c r="N57" s="1129">
        <f>'Dean''s Office'!N130+'Amer Ethnic Studies'!N57+Art!N59+Biochemistry!N61+Biology!N78+Chemistry!N61+'Comm Studies'!N60+Economics!N63+English!N61+Geography!N64+Geology!N58+Hist!N68+JMC!N59+Math!N64+'Modern Language'!N69+'Music Theatre Dance'!N78+Philosophy!N56+Physics!N61+'Political Science'!N63+Psych!N62+SASW!N76+Stats!N63+'Gender,Women &amp;Sexuality Studies'!N60</f>
        <v>31</v>
      </c>
      <c r="O57" s="1139">
        <f t="shared" si="9"/>
        <v>5.5855855855855854E-2</v>
      </c>
      <c r="P57" s="1129">
        <f>'Dean''s Office'!P130+'Amer Ethnic Studies'!P57+Art!P59+Biochemistry!P61+Biology!P78+Chemistry!P61+'Comm Studies'!P60+Economics!P63+English!P61+Geography!P64+Geology!P58+Hist!P68+JMC!P59+Math!P64+'Modern Language'!P69+'Music Theatre Dance'!P78+Philosophy!P56+Physics!P61+'Political Science'!P63+Psych!P62+SASW!P76+Stats!P63+'Gender,Women &amp;Sexuality Studies'!P60</f>
        <v>30</v>
      </c>
      <c r="Q57" s="1139">
        <f t="shared" si="10"/>
        <v>5.2816901408450703E-2</v>
      </c>
      <c r="R57" s="1129">
        <f>'Dean''s Office'!R130+'Amer Ethnic Studies'!R57+Art!R59+Biochemistry!R61+Biology!R78+Chemistry!R61+'Comm Studies'!R60+Economics!R63+English!R61+Geography!R64+Geology!R58+Hist!R68+JMC!R59+Math!R64+'Modern Language'!R69+'Music Theatre Dance'!R78+Philosophy!R56+Physics!R61+'Political Science'!R63+Psych!R62+SASW!R76+Stats!R63+'Gender,Women &amp;Sexuality Studies'!R60</f>
        <v>35</v>
      </c>
      <c r="S57" s="1139">
        <f t="shared" si="11"/>
        <v>6.0658578856152515E-2</v>
      </c>
      <c r="T57" s="1129">
        <f>'Dean''s Office'!T130+'Amer Ethnic Studies'!T57+Art!T59+Biochemistry!T61+Biology!T78+Chemistry!T61+'Comm Studies'!T60+Economics!T63+English!T61+Geography!T64+Geology!T58+Hist!T68+JMC!T59+Math!T64+'Modern Language'!T69+'Music Theatre Dance'!T78+Philosophy!T56+Physics!T61+'Political Science'!T63+Psych!T62+SASW!T76+Stats!T63+'Gender,Women &amp;Sexuality Studies'!T60</f>
        <v>0</v>
      </c>
      <c r="U57" s="1140">
        <f t="shared" si="12"/>
        <v>0</v>
      </c>
      <c r="V57" s="85"/>
      <c r="W57" s="85"/>
      <c r="X57" s="85"/>
      <c r="Y57" s="85"/>
    </row>
    <row r="58" spans="1:25" x14ac:dyDescent="0.2">
      <c r="A58" s="207" t="s">
        <v>53</v>
      </c>
      <c r="B58" s="1129">
        <f>'Dean''s Office'!B131+'Amer Ethnic Studies'!B58+Art!B60+Biochemistry!B62+Biology!B79+Chemistry!B62+'Comm Studies'!B61+Economics!B64+English!B62+Geography!B65+Geology!B59+Hist!B69+JMC!B60+Math!B65+'Modern Language'!B70+'Music Theatre Dance'!B79+Philosophy!B57+Physics!B62+'Political Science'!B64+Psych!B63+SASW!B77+Stats!B64+'Gender,Women &amp;Sexuality Studies'!B61</f>
        <v>0</v>
      </c>
      <c r="C58" s="1139">
        <f t="shared" si="3"/>
        <v>0</v>
      </c>
      <c r="D58" s="1129">
        <f>'Dean''s Office'!D131+'Amer Ethnic Studies'!D58+Art!D60+Biochemistry!D62+Biology!D79+Chemistry!D62+'Comm Studies'!D61+Economics!D64+English!D62+Geography!D65+Geology!D59+Hist!D69+JMC!D60+Math!D65+'Modern Language'!D70+'Music Theatre Dance'!D79+Philosophy!D57+Physics!D62+'Political Science'!D64+Psych!D63+SASW!D77+Stats!D64+'Gender,Women &amp;Sexuality Studies'!D61</f>
        <v>0</v>
      </c>
      <c r="E58" s="1139">
        <f t="shared" si="4"/>
        <v>0</v>
      </c>
      <c r="F58" s="1129">
        <f>'Dean''s Office'!F131+'Amer Ethnic Studies'!F58+Art!F60+Biochemistry!F62+Biology!F79+Chemistry!F62+'Comm Studies'!F61+Economics!F64+English!F62+Geography!F65+Geology!F59+Hist!F69+JMC!F60+Math!F65+'Modern Language'!F70+'Music Theatre Dance'!F79+Philosophy!F57+Physics!F62+'Political Science'!F64+Psych!F63+SASW!F77+Stats!F64+'Gender,Women &amp;Sexuality Studies'!F61</f>
        <v>0</v>
      </c>
      <c r="G58" s="1139">
        <f t="shared" si="5"/>
        <v>0</v>
      </c>
      <c r="H58" s="1129">
        <f>'Dean''s Office'!H131+'Amer Ethnic Studies'!H58+Art!H60+Biochemistry!H62+Biology!H79+Chemistry!H62+'Comm Studies'!H61+Economics!H64+English!H62+Geography!H65+Geology!H59+Hist!H69+JMC!H60+Math!H65+'Modern Language'!H70+'Music Theatre Dance'!H79+Philosophy!H57+Physics!H62+'Political Science'!H64+Psych!H63+SASW!H77+Stats!H64+'Gender,Women &amp;Sexuality Studies'!H61</f>
        <v>2</v>
      </c>
      <c r="I58" s="1139">
        <f t="shared" si="6"/>
        <v>4.4843049327354259E-3</v>
      </c>
      <c r="J58" s="1129">
        <f>'Dean''s Office'!J131+'Amer Ethnic Studies'!J58+Art!J60+Biochemistry!J62+Biology!J79+Chemistry!J62+'Comm Studies'!J61+Economics!J64+English!J62+Geography!J65+Geology!J59+Hist!J69+JMC!J60+Math!J65+'Modern Language'!J70+'Music Theatre Dance'!J79+Philosophy!J57+Physics!J62+'Political Science'!J64+Psych!J63+SASW!J77+Stats!J64+'Gender,Women &amp;Sexuality Studies'!J61</f>
        <v>6</v>
      </c>
      <c r="K58" s="1139">
        <f t="shared" si="7"/>
        <v>1.3100436681222707E-2</v>
      </c>
      <c r="L58" s="1129">
        <f>'Dean''s Office'!L131+'Amer Ethnic Studies'!L58+Art!L60+Biochemistry!L62+Biology!L79+Chemistry!L62+'Comm Studies'!L61+Economics!L64+English!L62+Geography!L65+Geology!L59+Hist!L69+JMC!L60+Math!L65+'Modern Language'!L70+'Music Theatre Dance'!L79+Philosophy!L57+Physics!L62+'Political Science'!L64+Psych!L63+SASW!L77+Stats!L64+'Gender,Women &amp;Sexuality Studies'!L61</f>
        <v>5</v>
      </c>
      <c r="M58" s="1139">
        <f t="shared" si="8"/>
        <v>9.057971014492754E-3</v>
      </c>
      <c r="N58" s="1129">
        <f>'Dean''s Office'!N131+'Amer Ethnic Studies'!N58+Art!N60+Biochemistry!N62+Biology!N79+Chemistry!N62+'Comm Studies'!N61+Economics!N64+English!N62+Geography!N65+Geology!N59+Hist!N69+JMC!N60+Math!N65+'Modern Language'!N70+'Music Theatre Dance'!N79+Philosophy!N57+Physics!N62+'Political Science'!N64+Psych!N63+SASW!N77+Stats!N64+'Gender,Women &amp;Sexuality Studies'!N61</f>
        <v>4</v>
      </c>
      <c r="O58" s="1139">
        <f t="shared" si="9"/>
        <v>7.2072072072072073E-3</v>
      </c>
      <c r="P58" s="1129">
        <f>'Dean''s Office'!P131+'Amer Ethnic Studies'!P58+Art!P60+Biochemistry!P62+Biology!P79+Chemistry!P62+'Comm Studies'!P61+Economics!P64+English!P62+Geography!P65+Geology!P59+Hist!P69+JMC!P60+Math!P65+'Modern Language'!P70+'Music Theatre Dance'!P79+Philosophy!P57+Physics!P62+'Political Science'!P64+Psych!P63+SASW!P77+Stats!P64+'Gender,Women &amp;Sexuality Studies'!P61</f>
        <v>5</v>
      </c>
      <c r="Q58" s="1139">
        <f t="shared" si="10"/>
        <v>8.8028169014084511E-3</v>
      </c>
      <c r="R58" s="1129">
        <f>'Dean''s Office'!R131+'Amer Ethnic Studies'!R58+Art!R60+Biochemistry!R62+Biology!R79+Chemistry!R62+'Comm Studies'!R61+Economics!R64+English!R62+Geography!R65+Geology!R59+Hist!R69+JMC!R60+Math!R65+'Modern Language'!R70+'Music Theatre Dance'!R79+Philosophy!R57+Physics!R62+'Political Science'!R64+Psych!R63+SASW!R77+Stats!R64+'Gender,Women &amp;Sexuality Studies'!R61</f>
        <v>4</v>
      </c>
      <c r="S58" s="1139">
        <f t="shared" si="11"/>
        <v>6.9324090121317154E-3</v>
      </c>
      <c r="T58" s="1129">
        <f>'Dean''s Office'!T131+'Amer Ethnic Studies'!T58+Art!T60+Biochemistry!T62+Biology!T79+Chemistry!T62+'Comm Studies'!T61+Economics!T64+English!T62+Geography!T65+Geology!T59+Hist!T69+JMC!T60+Math!T65+'Modern Language'!T70+'Music Theatre Dance'!T79+Philosophy!T57+Physics!T62+'Political Science'!T64+Psych!T63+SASW!T77+Stats!T64+'Gender,Women &amp;Sexuality Studies'!T61</f>
        <v>0</v>
      </c>
      <c r="U58" s="1140">
        <f t="shared" si="12"/>
        <v>0</v>
      </c>
      <c r="V58" s="85"/>
      <c r="W58" s="85"/>
      <c r="X58" s="85"/>
      <c r="Y58" s="85"/>
    </row>
    <row r="59" spans="1:25" ht="13.5" thickBot="1" x14ac:dyDescent="0.25">
      <c r="A59" s="207" t="s">
        <v>54</v>
      </c>
      <c r="B59" s="1134">
        <f>'Dean''s Office'!B132+'Amer Ethnic Studies'!B59+Art!B61+Biochemistry!B63+Biology!B80+Chemistry!B63+'Comm Studies'!B62+Economics!B65+English!B63+Geography!B66+Geology!B60+Hist!B70+JMC!B61+Math!B66+'Modern Language'!B71+'Music Theatre Dance'!B80+Philosophy!B58+Physics!B63+'Political Science'!B65+Psych!B64+SASW!B78+Stats!B65+'Gender,Women &amp;Sexuality Studies'!B62</f>
        <v>3</v>
      </c>
      <c r="C59" s="1141">
        <f t="shared" si="3"/>
        <v>6.4794816414686825E-3</v>
      </c>
      <c r="D59" s="1134">
        <f>'Dean''s Office'!D132+'Amer Ethnic Studies'!D59+Art!D61+Biochemistry!D63+Biology!D80+Chemistry!D63+'Comm Studies'!D62+Economics!D65+English!D63+Geography!D66+Geology!D60+Hist!D70+JMC!D61+Math!D66+'Modern Language'!D71+'Music Theatre Dance'!D80+Philosophy!D58+Physics!D63+'Political Science'!D65+Psych!D64+SASW!D78+Stats!D65+'Gender,Women &amp;Sexuality Studies'!D62</f>
        <v>4</v>
      </c>
      <c r="E59" s="1141">
        <f t="shared" si="4"/>
        <v>8.6393088552915772E-3</v>
      </c>
      <c r="F59" s="1134">
        <f>'Dean''s Office'!F132+'Amer Ethnic Studies'!F59+Art!F61+Biochemistry!F63+Biology!F80+Chemistry!F63+'Comm Studies'!F62+Economics!F65+English!F63+Geography!F66+Geology!F60+Hist!F70+JMC!F61+Math!F66+'Modern Language'!F71+'Music Theatre Dance'!F80+Philosophy!F58+Physics!F63+'Political Science'!F65+Psych!F64+SASW!F78+Stats!F65+'Gender,Women &amp;Sexuality Studies'!F62</f>
        <v>4</v>
      </c>
      <c r="G59" s="1141">
        <f t="shared" si="5"/>
        <v>9.1324200913242004E-3</v>
      </c>
      <c r="H59" s="1134">
        <f>'Dean''s Office'!H132+'Amer Ethnic Studies'!H59+Art!H61+Biochemistry!H63+Biology!H80+Chemistry!H63+'Comm Studies'!H62+Economics!H65+English!H63+Geography!H66+Geology!H60+Hist!H70+JMC!H61+Math!H66+'Modern Language'!H71+'Music Theatre Dance'!H80+Philosophy!H58+Physics!H63+'Political Science'!H65+Psych!H64+SASW!H78+Stats!H65+'Gender,Women &amp;Sexuality Studies'!H62</f>
        <v>4</v>
      </c>
      <c r="I59" s="1141">
        <f t="shared" si="6"/>
        <v>8.9686098654708519E-3</v>
      </c>
      <c r="J59" s="1134">
        <f>'Dean''s Office'!J132+'Amer Ethnic Studies'!J59+Art!J61+Biochemistry!J63+Biology!J80+Chemistry!J63+'Comm Studies'!J62+Economics!J65+English!J63+Geography!J66+Geology!J60+Hist!J70+JMC!J61+Math!J66+'Modern Language'!J71+'Music Theatre Dance'!J80+Philosophy!J58+Physics!J63+'Political Science'!J65+Psych!J64+SASW!J78+Stats!J65+'Gender,Women &amp;Sexuality Studies'!J62</f>
        <v>5</v>
      </c>
      <c r="K59" s="1141">
        <f t="shared" si="7"/>
        <v>1.0917030567685589E-2</v>
      </c>
      <c r="L59" s="1134">
        <f>'Dean''s Office'!L132+'Amer Ethnic Studies'!L59+Art!L61+Biochemistry!L63+Biology!L80+Chemistry!L63+'Comm Studies'!L62+Economics!L65+English!L63+Geography!L66+Geology!L60+Hist!L70+JMC!L61+Math!L66+'Modern Language'!L71+'Music Theatre Dance'!L80+Philosophy!L58+Physics!L63+'Political Science'!L65+Psych!L64+SASW!L78+Stats!L65+'Gender,Women &amp;Sexuality Studies'!L62</f>
        <v>10</v>
      </c>
      <c r="M59" s="1141">
        <f t="shared" si="8"/>
        <v>1.8115942028985508E-2</v>
      </c>
      <c r="N59" s="1134">
        <f>'Dean''s Office'!N132+'Amer Ethnic Studies'!N59+Art!N61+Biochemistry!N63+Biology!N80+Chemistry!N63+'Comm Studies'!N62+Economics!N65+English!N63+Geography!N66+Geology!N60+Hist!N70+JMC!N61+Math!N66+'Modern Language'!N71+'Music Theatre Dance'!N80+Philosophy!N58+Physics!N63+'Political Science'!N65+Psych!N64+SASW!N78+Stats!N65+'Gender,Women &amp;Sexuality Studies'!N62</f>
        <v>13</v>
      </c>
      <c r="O59" s="1141">
        <f t="shared" si="9"/>
        <v>2.3423423423423424E-2</v>
      </c>
      <c r="P59" s="1134">
        <f>'Dean''s Office'!P132+'Amer Ethnic Studies'!P59+Art!P61+Biochemistry!P63+Biology!P80+Chemistry!P63+'Comm Studies'!P62+Economics!P65+English!P63+Geography!P66+Geology!P60+Hist!P70+JMC!P61+Math!P66+'Modern Language'!P71+'Music Theatre Dance'!P80+Philosophy!P58+Physics!P63+'Political Science'!P65+Psych!P64+SASW!P78+Stats!P65+'Gender,Women &amp;Sexuality Studies'!P62</f>
        <v>18</v>
      </c>
      <c r="Q59" s="1141">
        <f t="shared" si="10"/>
        <v>3.1690140845070422E-2</v>
      </c>
      <c r="R59" s="1134">
        <f>'Dean''s Office'!R132+'Amer Ethnic Studies'!R59+Art!R61+Biochemistry!R63+Biology!R80+Chemistry!R63+'Comm Studies'!R62+Economics!R65+English!R63+Geography!R66+Geology!R60+Hist!R70+JMC!R61+Math!R66+'Modern Language'!R71+'Music Theatre Dance'!R80+Philosophy!R58+Physics!R63+'Political Science'!R65+Psych!R64+SASW!R78+Stats!R65+'Gender,Women &amp;Sexuality Studies'!R62</f>
        <v>17</v>
      </c>
      <c r="S59" s="1141">
        <f t="shared" si="11"/>
        <v>2.9462738301559793E-2</v>
      </c>
      <c r="T59" s="1134">
        <f>'Dean''s Office'!T132+'Amer Ethnic Studies'!T59+Art!T61+Biochemistry!T63+Biology!T80+Chemistry!T63+'Comm Studies'!T62+Economics!T65+English!T63+Geography!T66+Geology!T60+Hist!T70+JMC!T61+Math!T66+'Modern Language'!T71+'Music Theatre Dance'!T80+Philosophy!T58+Physics!T63+'Political Science'!T65+Psych!T64+SASW!T78+Stats!T65+'Gender,Women &amp;Sexuality Studies'!T62</f>
        <v>0</v>
      </c>
      <c r="U59" s="1142">
        <f t="shared" si="12"/>
        <v>0</v>
      </c>
      <c r="V59" s="85"/>
      <c r="W59" s="85"/>
      <c r="X59" s="85"/>
      <c r="Y59" s="85"/>
    </row>
    <row r="60" spans="1:25" x14ac:dyDescent="0.2">
      <c r="A60" s="1124" t="s">
        <v>55</v>
      </c>
      <c r="B60" s="1143"/>
      <c r="C60" s="1144"/>
      <c r="D60" s="1143"/>
      <c r="E60" s="1144"/>
      <c r="F60" s="1143"/>
      <c r="G60" s="1144"/>
      <c r="H60" s="1143"/>
      <c r="I60" s="1144"/>
      <c r="J60" s="1143"/>
      <c r="K60" s="1144"/>
      <c r="L60" s="1143"/>
      <c r="M60" s="1144"/>
      <c r="N60" s="1143"/>
      <c r="O60" s="1144"/>
      <c r="P60" s="1143"/>
      <c r="Q60" s="1144"/>
      <c r="R60" s="1143"/>
      <c r="S60" s="1144"/>
      <c r="T60" s="1143"/>
      <c r="U60" s="1109"/>
      <c r="V60" s="85"/>
      <c r="W60" s="85"/>
      <c r="X60" s="85"/>
      <c r="Y60" s="85"/>
    </row>
    <row r="61" spans="1:25" x14ac:dyDescent="0.2">
      <c r="A61" s="200" t="s">
        <v>56</v>
      </c>
      <c r="B61" s="1129">
        <f>'Dean''s Office'!B134+'Amer Ethnic Studies'!B61+Art!B63+Biochemistry!B65+Biology!B82+Chemistry!B65+'Comm Studies'!B64+Economics!B67+English!B65+Geography!B68+Geology!B62+Hist!B72+JMC!B63+Math!B68+'Modern Language'!B73+'Music Theatre Dance'!B82+Philosophy!B60+Physics!B65+'Political Science'!B67+Psych!B66+SASW!B80+Stats!B67+'Gender,Women &amp;Sexuality Studies'!B64</f>
        <v>290</v>
      </c>
      <c r="C61" s="1139">
        <f t="shared" ref="C61:C62" si="13">B61/$E$49</f>
        <v>0.62634989200863933</v>
      </c>
      <c r="D61" s="1129">
        <f>'Dean''s Office'!D134+'Amer Ethnic Studies'!D61+Art!D63+Biochemistry!D65+Biology!D82+Chemistry!D65+'Comm Studies'!D64+Economics!D67+English!D65+Geography!D68+Geology!D62+Hist!D72+JMC!D63+Math!D68+'Modern Language'!D73+'Music Theatre Dance'!D82+Philosophy!D60+Physics!D65+'Political Science'!D67+Psych!D66+SASW!D80+Stats!D67+'Gender,Women &amp;Sexuality Studies'!D64</f>
        <v>294</v>
      </c>
      <c r="E61" s="1139">
        <f t="shared" si="4"/>
        <v>0.63498920086393085</v>
      </c>
      <c r="F61" s="1129">
        <f>'Dean''s Office'!F134+'Amer Ethnic Studies'!F61+Art!F63+Biochemistry!F65+Biology!F82+Chemistry!F65+'Comm Studies'!F64+Economics!F67+English!F65+Geography!F68+Geology!F62+Hist!F72+JMC!F63+Math!F68+'Modern Language'!F73+'Music Theatre Dance'!F82+Philosophy!F60+Physics!F65+'Political Science'!F67+Psych!F66+SASW!F80+Stats!F67+'Gender,Women &amp;Sexuality Studies'!F64</f>
        <v>275</v>
      </c>
      <c r="G61" s="1139">
        <f t="shared" si="5"/>
        <v>0.62785388127853881</v>
      </c>
      <c r="H61" s="1129">
        <f>'Dean''s Office'!H134+'Amer Ethnic Studies'!H61+Art!H63+Biochemistry!H65+Biology!H82+Chemistry!H65+'Comm Studies'!H64+Economics!H67+English!H65+Geography!H68+Geology!H62+Hist!H72+JMC!H63+Math!H68+'Modern Language'!H73+'Music Theatre Dance'!H82+Philosophy!H60+Physics!H65+'Political Science'!H67+Psych!H66+SASW!H80+Stats!H67+'Gender,Women &amp;Sexuality Studies'!H64</f>
        <v>279</v>
      </c>
      <c r="I61" s="1139">
        <f t="shared" si="6"/>
        <v>0.62556053811659196</v>
      </c>
      <c r="J61" s="1129">
        <f>'Dean''s Office'!J134+'Amer Ethnic Studies'!J61+Art!J63+Biochemistry!J65+Biology!J82+Chemistry!J65+'Comm Studies'!J64+Economics!J67+English!J65+Geography!J68+Geology!J62+Hist!J72+JMC!J63+Math!J68+'Modern Language'!J73+'Music Theatre Dance'!J82+Philosophy!J60+Physics!J65+'Political Science'!J67+Psych!J66+SASW!J80+Stats!J67+'Gender,Women &amp;Sexuality Studies'!J64</f>
        <v>294</v>
      </c>
      <c r="K61" s="1139">
        <f t="shared" si="7"/>
        <v>0.64192139737991272</v>
      </c>
      <c r="L61" s="1129">
        <f>'Dean''s Office'!L134+'Amer Ethnic Studies'!L61+Art!L63+Biochemistry!L65+Biology!L82+Chemistry!L65+'Comm Studies'!L64+Economics!L67+English!L65+Geography!L68+Geology!L62+Hist!L72+JMC!L63+Math!L68+'Modern Language'!L73+'Music Theatre Dance'!L82+Philosophy!L60+Physics!L65+'Political Science'!L67+Psych!L66+SASW!L80+Stats!L67+'Gender,Women &amp;Sexuality Studies'!L64</f>
        <v>346</v>
      </c>
      <c r="M61" s="1139">
        <f t="shared" si="8"/>
        <v>0.62681159420289856</v>
      </c>
      <c r="N61" s="1129">
        <f>'Dean''s Office'!N134+'Amer Ethnic Studies'!N61+Art!N63+Biochemistry!N65+Biology!N82+Chemistry!N65+'Comm Studies'!N64+Economics!N67+English!N65+Geography!N68+Geology!N62+Hist!N72+JMC!N63+Math!N68+'Modern Language'!N73+'Music Theatre Dance'!N82+Philosophy!N60+Physics!N65+'Political Science'!N67+Psych!N66+SASW!N80+Stats!N67+'Gender,Women &amp;Sexuality Studies'!N64</f>
        <v>337</v>
      </c>
      <c r="O61" s="1139">
        <f t="shared" si="9"/>
        <v>0.60720720720720722</v>
      </c>
      <c r="P61" s="1129">
        <f>'Dean''s Office'!P134+'Amer Ethnic Studies'!P61+Art!P63+Biochemistry!P65+Biology!P82+Chemistry!P65+'Comm Studies'!P64+Economics!P67+English!P65+Geography!P68+Geology!P62+Hist!P72+JMC!P63+Math!P68+'Modern Language'!P73+'Music Theatre Dance'!P82+Philosophy!P60+Physics!P65+'Political Science'!P67+Psych!P66+SASW!P80+Stats!P67+'Gender,Women &amp;Sexuality Studies'!P64</f>
        <v>343</v>
      </c>
      <c r="Q61" s="1139">
        <f t="shared" si="10"/>
        <v>0.60387323943661975</v>
      </c>
      <c r="R61" s="1129">
        <f>'Dean''s Office'!R134+'Amer Ethnic Studies'!R61+Art!R63+Biochemistry!R65+Biology!R82+Chemistry!R65+'Comm Studies'!R64+Economics!R67+English!R65+Geography!R68+Geology!R62+Hist!R72+JMC!R63+Math!R68+'Modern Language'!R73+'Music Theatre Dance'!R82+Philosophy!R60+Physics!R65+'Political Science'!R67+Psych!R66+SASW!R80+Stats!R67+'Gender,Women &amp;Sexuality Studies'!R64</f>
        <v>342</v>
      </c>
      <c r="S61" s="1139">
        <f t="shared" si="11"/>
        <v>0.59272097053726169</v>
      </c>
      <c r="T61" s="1129">
        <f>'Dean''s Office'!T134+'Amer Ethnic Studies'!T61+Art!T63+Biochemistry!T65+Biology!T82+Chemistry!T65+'Comm Studies'!T64+Economics!T67+English!T65+Geography!T68+Geology!T62+Hist!T72+JMC!T63+Math!T68+'Modern Language'!T73+'Music Theatre Dance'!T82+Philosophy!T60+Physics!T65+'Political Science'!T67+Psych!T66+SASW!T80+Stats!T67+'Gender,Women &amp;Sexuality Studies'!T64</f>
        <v>0</v>
      </c>
      <c r="U61" s="1140">
        <f t="shared" ref="U61:U62" si="14">T61/$S$49</f>
        <v>0</v>
      </c>
      <c r="V61" s="85"/>
      <c r="W61" s="85"/>
      <c r="X61" s="85"/>
      <c r="Y61" s="85"/>
    </row>
    <row r="62" spans="1:25" ht="13.5" thickBot="1" x14ac:dyDescent="0.25">
      <c r="A62" s="207" t="s">
        <v>57</v>
      </c>
      <c r="B62" s="1134">
        <f>'Dean''s Office'!B135+'Amer Ethnic Studies'!B62+Art!B64+Biochemistry!B66+Biology!B83+Chemistry!B66+'Comm Studies'!B65+Economics!B68+English!B66+Geography!B69+Geology!B63+Hist!B73+JMC!B64+Math!B69+'Modern Language'!B74+'Music Theatre Dance'!B83+Philosophy!B61+Physics!B66+'Political Science'!B68+Psych!B67+SASW!B81+Stats!B68+'Gender,Women &amp;Sexuality Studies'!B65</f>
        <v>169</v>
      </c>
      <c r="C62" s="1141">
        <f t="shared" si="13"/>
        <v>0.3650107991360691</v>
      </c>
      <c r="D62" s="1134">
        <f>'Dean''s Office'!D135+'Amer Ethnic Studies'!D62+Art!D64+Biochemistry!D66+Biology!D83+Chemistry!D66+'Comm Studies'!D65+Economics!D68+English!D66+Geography!D69+Geology!D63+Hist!D73+JMC!D64+Math!D69+'Modern Language'!D74+'Music Theatre Dance'!D83+Philosophy!D61+Physics!D66+'Political Science'!D68+Psych!D67+SASW!D81+Stats!D68+'Gender,Women &amp;Sexuality Studies'!D65</f>
        <v>169</v>
      </c>
      <c r="E62" s="1141">
        <f t="shared" si="4"/>
        <v>0.3650107991360691</v>
      </c>
      <c r="F62" s="1134">
        <f>'Dean''s Office'!F135+'Amer Ethnic Studies'!F62+Art!F64+Biochemistry!F66+Biology!F83+Chemistry!F66+'Comm Studies'!F65+Economics!F68+English!F66+Geography!F69+Geology!F63+Hist!F73+JMC!F64+Math!F69+'Modern Language'!F74+'Music Theatre Dance'!F83+Philosophy!F61+Physics!F66+'Political Science'!F68+Psych!F67+SASW!F81+Stats!F68+'Gender,Women &amp;Sexuality Studies'!F65</f>
        <v>162</v>
      </c>
      <c r="G62" s="1141">
        <f t="shared" si="5"/>
        <v>0.36986301369863012</v>
      </c>
      <c r="H62" s="1134">
        <f>'Dean''s Office'!H135+'Amer Ethnic Studies'!H62+Art!H64+Biochemistry!H66+Biology!H83+Chemistry!H66+'Comm Studies'!H65+Economics!H68+English!H66+Geography!H69+Geology!H63+Hist!H73+JMC!H64+Math!H69+'Modern Language'!H74+'Music Theatre Dance'!H83+Philosophy!H61+Physics!H66+'Political Science'!H68+Psych!H67+SASW!H81+Stats!H68+'Gender,Women &amp;Sexuality Studies'!H65</f>
        <v>167</v>
      </c>
      <c r="I62" s="1141">
        <f t="shared" si="6"/>
        <v>0.3744394618834081</v>
      </c>
      <c r="J62" s="1134">
        <f>'Dean''s Office'!J135+'Amer Ethnic Studies'!J62+Art!J64+Biochemistry!J66+Biology!J83+Chemistry!J66+'Comm Studies'!J65+Economics!J68+English!J66+Geography!J69+Geology!J63+Hist!J73+JMC!J64+Math!J69+'Modern Language'!J74+'Music Theatre Dance'!J83+Philosophy!J61+Physics!J66+'Political Science'!J68+Psych!J67+SASW!J81+Stats!J68+'Gender,Women &amp;Sexuality Studies'!J65</f>
        <v>164</v>
      </c>
      <c r="K62" s="1141">
        <f t="shared" si="7"/>
        <v>0.35807860262008734</v>
      </c>
      <c r="L62" s="1134">
        <f>'Dean''s Office'!L135+'Amer Ethnic Studies'!L62+Art!L64+Biochemistry!L66+Biology!L83+Chemistry!L66+'Comm Studies'!L65+Economics!L68+English!L66+Geography!L69+Geology!L63+Hist!L73+JMC!L64+Math!L69+'Modern Language'!L74+'Music Theatre Dance'!L83+Philosophy!L61+Physics!L66+'Political Science'!L68+Psych!L67+SASW!L81+Stats!L68+'Gender,Women &amp;Sexuality Studies'!L65</f>
        <v>206</v>
      </c>
      <c r="M62" s="1141">
        <f t="shared" si="8"/>
        <v>0.37318840579710144</v>
      </c>
      <c r="N62" s="1134">
        <f>'Dean''s Office'!N135+'Amer Ethnic Studies'!N62+Art!N64+Biochemistry!N66+Biology!N83+Chemistry!N66+'Comm Studies'!N65+Economics!N68+English!N66+Geography!N69+Geology!N63+Hist!N73+JMC!N64+Math!N69+'Modern Language'!N74+'Music Theatre Dance'!N83+Philosophy!N61+Physics!N66+'Political Science'!N68+Psych!N67+SASW!N81+Stats!N68+'Gender,Women &amp;Sexuality Studies'!N65</f>
        <v>218</v>
      </c>
      <c r="O62" s="1141">
        <f t="shared" si="9"/>
        <v>0.39279279279279278</v>
      </c>
      <c r="P62" s="1134">
        <f>'Dean''s Office'!P135+'Amer Ethnic Studies'!P62+Art!P64+Biochemistry!P66+Biology!P83+Chemistry!P66+'Comm Studies'!P65+Economics!P68+English!P66+Geography!P69+Geology!P63+Hist!P73+JMC!P64+Math!P69+'Modern Language'!P74+'Music Theatre Dance'!P83+Philosophy!P61+Physics!P66+'Political Science'!P68+Psych!P67+SASW!P81+Stats!P68+'Gender,Women &amp;Sexuality Studies'!P65</f>
        <v>225</v>
      </c>
      <c r="Q62" s="1141">
        <f t="shared" si="10"/>
        <v>0.39612676056338031</v>
      </c>
      <c r="R62" s="1134">
        <f>'Dean''s Office'!R135+'Amer Ethnic Studies'!R62+Art!R64+Biochemistry!R66+Biology!R83+Chemistry!R66+'Comm Studies'!R65+Economics!R68+English!R66+Geography!R69+Geology!R63+Hist!R73+JMC!R64+Math!R69+'Modern Language'!R74+'Music Theatre Dance'!R83+Philosophy!R61+Physics!R66+'Political Science'!R68+Psych!R67+SASW!R81+Stats!R68+'Gender,Women &amp;Sexuality Studies'!R65</f>
        <v>235</v>
      </c>
      <c r="S62" s="1141">
        <f t="shared" si="11"/>
        <v>0.40727902946273831</v>
      </c>
      <c r="T62" s="1134">
        <f>'Dean''s Office'!T135+'Amer Ethnic Studies'!T62+Art!T64+Biochemistry!T66+Biology!T83+Chemistry!T66+'Comm Studies'!T65+Economics!T68+English!T66+Geography!T69+Geology!T63+Hist!T73+JMC!T64+Math!T69+'Modern Language'!T74+'Music Theatre Dance'!T83+Philosophy!T61+Physics!T66+'Political Science'!T68+Psych!T67+SASW!T81+Stats!T68+'Gender,Women &amp;Sexuality Studies'!T65</f>
        <v>0</v>
      </c>
      <c r="U62" s="1142">
        <f t="shared" si="14"/>
        <v>0</v>
      </c>
      <c r="V62" s="85"/>
      <c r="W62" s="85"/>
      <c r="X62" s="85"/>
      <c r="Y62" s="85"/>
    </row>
    <row r="63" spans="1:25" x14ac:dyDescent="0.2">
      <c r="A63" s="1124" t="s">
        <v>58</v>
      </c>
      <c r="B63" s="1143"/>
      <c r="C63" s="1144"/>
      <c r="D63" s="1143"/>
      <c r="E63" s="1144"/>
      <c r="F63" s="1143"/>
      <c r="G63" s="1144"/>
      <c r="H63" s="1143"/>
      <c r="I63" s="1144"/>
      <c r="J63" s="1143"/>
      <c r="K63" s="1144"/>
      <c r="L63" s="1143"/>
      <c r="M63" s="1144"/>
      <c r="N63" s="1143"/>
      <c r="O63" s="1144"/>
      <c r="P63" s="1143"/>
      <c r="Q63" s="1144"/>
      <c r="R63" s="1143"/>
      <c r="S63" s="1144"/>
      <c r="T63" s="1143"/>
      <c r="U63" s="1109"/>
      <c r="V63" s="85"/>
      <c r="W63" s="85"/>
      <c r="X63" s="85"/>
      <c r="Y63" s="85"/>
    </row>
    <row r="64" spans="1:25" x14ac:dyDescent="0.2">
      <c r="A64" s="200" t="s">
        <v>59</v>
      </c>
      <c r="B64" s="1129">
        <f>'Dean''s Office'!B137+'Amer Ethnic Studies'!B64+Art!B66+Biochemistry!B68+Biology!B85+Chemistry!B68+'Comm Studies'!B67+Economics!B70+English!B68+Geography!B71+Geology!B65+Hist!B75+JMC!B66+Math!B71+'Modern Language'!B76+'Music Theatre Dance'!B85+Philosophy!B63+Physics!B68+'Political Science'!B70+Psych!B69+SASW!B83+Stats!B70+'Gender,Women &amp;Sexuality Studies'!B67</f>
        <v>234</v>
      </c>
      <c r="C64" s="1139">
        <f t="shared" ref="C64:C66" si="15">B64/$E$49</f>
        <v>0.50539956803455721</v>
      </c>
      <c r="D64" s="1129">
        <f>'Dean''s Office'!D137+'Amer Ethnic Studies'!D64+Art!D66+Biochemistry!D68+Biology!D85+Chemistry!D68+'Comm Studies'!D67+Economics!D70+English!D68+Geography!D71+Geology!D65+Hist!D75+JMC!D66+Math!D71+'Modern Language'!D76+'Music Theatre Dance'!D85+Philosophy!D63+Physics!D68+'Political Science'!D70+Psych!D69+SASW!D83+Stats!D70+'Gender,Women &amp;Sexuality Studies'!D67</f>
        <v>236</v>
      </c>
      <c r="E64" s="1139">
        <f t="shared" si="4"/>
        <v>0.50971922246220303</v>
      </c>
      <c r="F64" s="1129">
        <f>'Dean''s Office'!F137+'Amer Ethnic Studies'!F64+Art!F66+Biochemistry!F68+Biology!F85+Chemistry!F68+'Comm Studies'!F67+Economics!F70+English!F68+Geography!F71+Geology!F65+Hist!F75+JMC!F66+Math!F71+'Modern Language'!F76+'Music Theatre Dance'!F85+Philosophy!F63+Physics!F68+'Political Science'!F70+Psych!F69+SASW!F83+Stats!F70+'Gender,Women &amp;Sexuality Studies'!F67</f>
        <v>234</v>
      </c>
      <c r="G64" s="1139">
        <f t="shared" si="5"/>
        <v>0.53424657534246578</v>
      </c>
      <c r="H64" s="1129">
        <f>'Dean''s Office'!H137+'Amer Ethnic Studies'!H64+Art!H66+Biochemistry!H68+Biology!H85+Chemistry!H68+'Comm Studies'!H67+Economics!H70+English!H68+Geography!H71+Geology!H65+Hist!H75+JMC!H66+Math!H71+'Modern Language'!H76+'Music Theatre Dance'!H85+Philosophy!H63+Physics!H68+'Political Science'!H70+Psych!H69+SASW!H83+Stats!H70+'Gender,Women &amp;Sexuality Studies'!H67</f>
        <v>243</v>
      </c>
      <c r="I64" s="1139">
        <f t="shared" si="6"/>
        <v>0.54484304932735428</v>
      </c>
      <c r="J64" s="1129">
        <f>'Dean''s Office'!J137+'Amer Ethnic Studies'!J64+Art!J66+Biochemistry!J68+Biology!J85+Chemistry!J68+'Comm Studies'!J67+Economics!J70+English!J68+Geography!J71+Geology!J65+Hist!J75+JMC!J66+Math!J71+'Modern Language'!J76+'Music Theatre Dance'!J85+Philosophy!J63+Physics!J68+'Political Science'!J70+Psych!J69+SASW!J83+Stats!J70+'Gender,Women &amp;Sexuality Studies'!J67</f>
        <v>238</v>
      </c>
      <c r="K64" s="1139">
        <f t="shared" si="7"/>
        <v>0.51965065502183405</v>
      </c>
      <c r="L64" s="1129">
        <f>'Dean''s Office'!L137+'Amer Ethnic Studies'!L64+Art!L66+Biochemistry!L68+Biology!L85+Chemistry!L68+'Comm Studies'!L67+Economics!L70+English!L68+Geography!L71+Geology!L65+Hist!L75+JMC!L66+Math!L71+'Modern Language'!L76+'Music Theatre Dance'!L85+Philosophy!L63+Physics!L68+'Political Science'!L70+Psych!L69+SASW!L83+Stats!L70+'Gender,Women &amp;Sexuality Studies'!L67</f>
        <v>283</v>
      </c>
      <c r="M64" s="1139">
        <f t="shared" si="8"/>
        <v>0.5126811594202898</v>
      </c>
      <c r="N64" s="1129">
        <f>'Dean''s Office'!N137+'Amer Ethnic Studies'!N64+Art!N66+Biochemistry!N68+Biology!N85+Chemistry!N68+'Comm Studies'!N67+Economics!N70+English!N68+Geography!N71+Geology!N65+Hist!N75+JMC!N66+Math!N71+'Modern Language'!N76+'Music Theatre Dance'!N85+Philosophy!N63+Physics!N68+'Political Science'!N70+Psych!N69+SASW!N83+Stats!N70+'Gender,Women &amp;Sexuality Studies'!N67</f>
        <v>287</v>
      </c>
      <c r="O64" s="1139">
        <f t="shared" si="9"/>
        <v>0.51711711711711716</v>
      </c>
      <c r="P64" s="1129">
        <f>'Dean''s Office'!P137+'Amer Ethnic Studies'!P64+Art!P66+Biochemistry!P68+Biology!P85+Chemistry!P68+'Comm Studies'!P67+Economics!P70+English!P68+Geography!P71+Geology!P65+Hist!P75+JMC!P66+Math!P71+'Modern Language'!P76+'Music Theatre Dance'!P85+Philosophy!P63+Physics!P68+'Political Science'!P70+Psych!P69+SASW!P83+Stats!P70+'Gender,Women &amp;Sexuality Studies'!P67</f>
        <v>284</v>
      </c>
      <c r="Q64" s="1139">
        <f t="shared" si="10"/>
        <v>0.5</v>
      </c>
      <c r="R64" s="1129">
        <f>'Dean''s Office'!R137+'Amer Ethnic Studies'!R64+Art!R66+Biochemistry!R68+Biology!R85+Chemistry!R68+'Comm Studies'!R67+Economics!R70+English!R68+Geography!R71+Geology!R65+Hist!R75+JMC!R66+Math!R71+'Modern Language'!R76+'Music Theatre Dance'!R85+Philosophy!R63+Physics!R68+'Political Science'!R70+Psych!R69+SASW!R83+Stats!R70+'Gender,Women &amp;Sexuality Studies'!R67</f>
        <v>284</v>
      </c>
      <c r="S64" s="1139">
        <f t="shared" si="11"/>
        <v>0.49220103986135183</v>
      </c>
      <c r="T64" s="1129">
        <f>'Dean''s Office'!T137+'Amer Ethnic Studies'!T64+Art!T66+Biochemistry!T68+Biology!T85+Chemistry!T68+'Comm Studies'!T67+Economics!T70+English!T68+Geography!T71+Geology!T65+Hist!T75+JMC!T66+Math!T71+'Modern Language'!T76+'Music Theatre Dance'!T85+Philosophy!T63+Physics!T68+'Political Science'!T70+Psych!T69+SASW!T83+Stats!T70+'Gender,Women &amp;Sexuality Studies'!T67</f>
        <v>0</v>
      </c>
      <c r="U64" s="1140">
        <f t="shared" ref="U64:U66" si="16">T64/$S$49</f>
        <v>0</v>
      </c>
      <c r="V64" s="85"/>
      <c r="W64" s="85"/>
      <c r="X64" s="85"/>
      <c r="Y64" s="85"/>
    </row>
    <row r="65" spans="1:25" x14ac:dyDescent="0.2">
      <c r="A65" s="200" t="s">
        <v>60</v>
      </c>
      <c r="B65" s="1129">
        <f>'Dean''s Office'!B138+'Amer Ethnic Studies'!B65+Art!B67+Biochemistry!B69+Biology!B86+Chemistry!B69+'Comm Studies'!B68+Economics!B71+English!B69+Geography!B72+Geology!B66+Hist!B76+JMC!B67+Math!B72+'Modern Language'!B77+'Music Theatre Dance'!B86+Philosophy!B64+Physics!B69+'Political Science'!B71+Psych!B70+SASW!B84+Stats!B71+'Gender,Women &amp;Sexuality Studies'!B68</f>
        <v>96</v>
      </c>
      <c r="C65" s="1139">
        <f t="shared" si="15"/>
        <v>0.20734341252699784</v>
      </c>
      <c r="D65" s="1129">
        <f>'Dean''s Office'!D138+'Amer Ethnic Studies'!D65+Art!D67+Biochemistry!D69+Biology!D86+Chemistry!D69+'Comm Studies'!D68+Economics!D71+English!D69+Geography!D72+Geology!D66+Hist!D76+JMC!D67+Math!D72+'Modern Language'!D77+'Music Theatre Dance'!D86+Philosophy!D64+Physics!D69+'Political Science'!D71+Psych!D70+SASW!D84+Stats!D71+'Gender,Women &amp;Sexuality Studies'!D68</f>
        <v>112</v>
      </c>
      <c r="E65" s="1139">
        <f t="shared" si="4"/>
        <v>0.24190064794816415</v>
      </c>
      <c r="F65" s="1129">
        <f>'Dean''s Office'!F138+'Amer Ethnic Studies'!F65+Art!F67+Biochemistry!F69+Biology!F86+Chemistry!F69+'Comm Studies'!F68+Economics!F71+English!F69+Geography!F72+Geology!F66+Hist!F76+JMC!F67+Math!F72+'Modern Language'!F77+'Music Theatre Dance'!F86+Philosophy!F64+Physics!F69+'Political Science'!F71+Psych!F70+SASW!F84+Stats!F71+'Gender,Women &amp;Sexuality Studies'!F68</f>
        <v>101</v>
      </c>
      <c r="G65" s="1139">
        <f t="shared" si="5"/>
        <v>0.23059360730593606</v>
      </c>
      <c r="H65" s="1129">
        <f>'Dean''s Office'!H138+'Amer Ethnic Studies'!H65+Art!H67+Biochemistry!H69+Biology!H86+Chemistry!H69+'Comm Studies'!H68+Economics!H71+English!H69+Geography!H72+Geology!H66+Hist!H76+JMC!H67+Math!H72+'Modern Language'!H77+'Music Theatre Dance'!H86+Philosophy!H64+Physics!H69+'Political Science'!H71+Psych!H70+SASW!H84+Stats!H71+'Gender,Women &amp;Sexuality Studies'!H68</f>
        <v>92</v>
      </c>
      <c r="I65" s="1139">
        <f t="shared" si="6"/>
        <v>0.20627802690582961</v>
      </c>
      <c r="J65" s="1129">
        <f>'Dean''s Office'!J138+'Amer Ethnic Studies'!J65+Art!J67+Biochemistry!J69+Biology!J86+Chemistry!J69+'Comm Studies'!J68+Economics!J71+English!J69+Geography!J72+Geology!J66+Hist!J76+JMC!J67+Math!J72+'Modern Language'!J77+'Music Theatre Dance'!J86+Philosophy!J64+Physics!J69+'Political Science'!J71+Psych!J70+SASW!J84+Stats!J71+'Gender,Women &amp;Sexuality Studies'!J68</f>
        <v>108</v>
      </c>
      <c r="K65" s="1139">
        <f t="shared" si="7"/>
        <v>0.23580786026200873</v>
      </c>
      <c r="L65" s="1129">
        <f>'Dean''s Office'!L138+'Amer Ethnic Studies'!L65+Art!L67+Biochemistry!L69+Biology!L86+Chemistry!L69+'Comm Studies'!L68+Economics!L71+English!L69+Geography!L72+Geology!L66+Hist!L76+JMC!L67+Math!L72+'Modern Language'!L77+'Music Theatre Dance'!L86+Philosophy!L64+Physics!L69+'Political Science'!L71+Psych!L70+SASW!L84+Stats!L71+'Gender,Women &amp;Sexuality Studies'!L68</f>
        <v>109</v>
      </c>
      <c r="M65" s="1139">
        <f t="shared" si="8"/>
        <v>0.19746376811594202</v>
      </c>
      <c r="N65" s="1129">
        <f>'Dean''s Office'!N138+'Amer Ethnic Studies'!N65+Art!N67+Biochemistry!N69+Biology!N86+Chemistry!N69+'Comm Studies'!N68+Economics!N71+English!N69+Geography!N72+Geology!N66+Hist!N76+JMC!N67+Math!N72+'Modern Language'!N77+'Music Theatre Dance'!N86+Philosophy!N64+Physics!N69+'Political Science'!N71+Psych!N70+SASW!N84+Stats!N71+'Gender,Women &amp;Sexuality Studies'!N68</f>
        <v>112</v>
      </c>
      <c r="O65" s="1139">
        <f t="shared" si="9"/>
        <v>0.20180180180180179</v>
      </c>
      <c r="P65" s="1129">
        <f>'Dean''s Office'!P138+'Amer Ethnic Studies'!P65+Art!P67+Biochemistry!P69+Biology!P86+Chemistry!P69+'Comm Studies'!P68+Economics!P71+English!P69+Geography!P72+Geology!P66+Hist!P76+JMC!P67+Math!P72+'Modern Language'!P77+'Music Theatre Dance'!P86+Philosophy!P64+Physics!P69+'Political Science'!P71+Psych!P70+SASW!P84+Stats!P71+'Gender,Women &amp;Sexuality Studies'!P68</f>
        <v>125</v>
      </c>
      <c r="Q65" s="1139">
        <f t="shared" si="10"/>
        <v>0.22007042253521128</v>
      </c>
      <c r="R65" s="1129">
        <f>'Dean''s Office'!R138+'Amer Ethnic Studies'!R65+Art!R67+Biochemistry!R69+Biology!R86+Chemistry!R69+'Comm Studies'!R68+Economics!R71+English!R69+Geography!R72+Geology!R66+Hist!R76+JMC!R67+Math!R72+'Modern Language'!R77+'Music Theatre Dance'!R86+Philosophy!R64+Physics!R69+'Political Science'!R71+Psych!R70+SASW!R84+Stats!R71+'Gender,Women &amp;Sexuality Studies'!R68</f>
        <v>129</v>
      </c>
      <c r="S65" s="1139">
        <f t="shared" si="11"/>
        <v>0.22357019064124783</v>
      </c>
      <c r="T65" s="1129">
        <f>'Dean''s Office'!T138+'Amer Ethnic Studies'!T65+Art!T67+Biochemistry!T69+Biology!T86+Chemistry!T69+'Comm Studies'!T68+Economics!T71+English!T69+Geography!T72+Geology!T66+Hist!T76+JMC!T67+Math!T72+'Modern Language'!T77+'Music Theatre Dance'!T86+Philosophy!T64+Physics!T69+'Political Science'!T71+Psych!T70+SASW!T84+Stats!T71+'Gender,Women &amp;Sexuality Studies'!T68</f>
        <v>0</v>
      </c>
      <c r="U65" s="1140">
        <f t="shared" si="16"/>
        <v>0</v>
      </c>
      <c r="V65" s="85"/>
      <c r="W65" s="85"/>
      <c r="X65" s="85"/>
      <c r="Y65" s="85"/>
    </row>
    <row r="66" spans="1:25" ht="13.5" thickBot="1" x14ac:dyDescent="0.25">
      <c r="A66" s="207" t="s">
        <v>61</v>
      </c>
      <c r="B66" s="1134">
        <f>'Dean''s Office'!B139+'Amer Ethnic Studies'!B66+Art!B68+Biochemistry!B70+Biology!B87+Chemistry!B70+'Comm Studies'!B69+Economics!B72+English!B70+Geography!B73+Geology!B67+Hist!B77+JMC!B68+Math!B73+'Modern Language'!B78+'Music Theatre Dance'!B87+Philosophy!B65+Physics!B70+'Political Science'!B72+Psych!B71+SASW!B85+Stats!B72+'Gender,Women &amp;Sexuality Studies'!B69</f>
        <v>127</v>
      </c>
      <c r="C66" s="1141">
        <f t="shared" si="15"/>
        <v>0.27429805615550756</v>
      </c>
      <c r="D66" s="1134">
        <f>'Dean''s Office'!D139+'Amer Ethnic Studies'!D66+Art!D68+Biochemistry!D70+Biology!D87+Chemistry!D70+'Comm Studies'!D69+Economics!D72+English!D70+Geography!D73+Geology!D67+Hist!D77+JMC!D68+Math!D73+'Modern Language'!D78+'Music Theatre Dance'!D87+Philosophy!D65+Physics!D70+'Political Science'!D72+Psych!D71+SASW!D85+Stats!D72+'Gender,Women &amp;Sexuality Studies'!D69</f>
        <v>115</v>
      </c>
      <c r="E66" s="1141">
        <f t="shared" si="4"/>
        <v>0.24838012958963282</v>
      </c>
      <c r="F66" s="1134">
        <f>'Dean''s Office'!F139+'Amer Ethnic Studies'!F66+Art!F68+Biochemistry!F70+Biology!F87+Chemistry!F70+'Comm Studies'!F69+Economics!F72+English!F70+Geography!F73+Geology!F67+Hist!F77+JMC!F68+Math!F73+'Modern Language'!F78+'Music Theatre Dance'!F87+Philosophy!F65+Physics!F70+'Political Science'!F72+Psych!F71+SASW!F85+Stats!F72+'Gender,Women &amp;Sexuality Studies'!F69</f>
        <v>103</v>
      </c>
      <c r="G66" s="1141">
        <f t="shared" si="5"/>
        <v>0.23515981735159816</v>
      </c>
      <c r="H66" s="1134">
        <f>'Dean''s Office'!H139+'Amer Ethnic Studies'!H66+Art!H68+Biochemistry!H70+Biology!H87+Chemistry!H70+'Comm Studies'!H69+Economics!H72+English!H70+Geography!H73+Geology!H67+Hist!H77+JMC!H68+Math!H73+'Modern Language'!H78+'Music Theatre Dance'!H87+Philosophy!H65+Physics!H70+'Political Science'!H72+Psych!H71+SASW!H85+Stats!H72+'Gender,Women &amp;Sexuality Studies'!H69</f>
        <v>111</v>
      </c>
      <c r="I66" s="1141">
        <f t="shared" si="6"/>
        <v>0.24887892376681614</v>
      </c>
      <c r="J66" s="1134">
        <f>'Dean''s Office'!J139+'Amer Ethnic Studies'!J66+Art!J68+Biochemistry!J70+Biology!J87+Chemistry!J70+'Comm Studies'!J69+Economics!J72+English!J70+Geography!J73+Geology!J67+Hist!J77+JMC!J68+Math!J73+'Modern Language'!J78+'Music Theatre Dance'!J87+Philosophy!J65+Physics!J70+'Political Science'!J72+Psych!J71+SASW!J85+Stats!J72+'Gender,Women &amp;Sexuality Studies'!J69</f>
        <v>112</v>
      </c>
      <c r="K66" s="1141">
        <f t="shared" si="7"/>
        <v>0.24454148471615719</v>
      </c>
      <c r="L66" s="1134">
        <f>'Dean''s Office'!L139+'Amer Ethnic Studies'!L66+Art!L68+Biochemistry!L70+Biology!L87+Chemistry!L70+'Comm Studies'!L69+Economics!L72+English!L70+Geography!L73+Geology!L67+Hist!L77+JMC!L68+Math!L73+'Modern Language'!L78+'Music Theatre Dance'!L87+Philosophy!L65+Physics!L70+'Political Science'!L72+Psych!L71+SASW!L85+Stats!L72+'Gender,Women &amp;Sexuality Studies'!L69</f>
        <v>160</v>
      </c>
      <c r="M66" s="1141">
        <f t="shared" si="8"/>
        <v>0.28985507246376813</v>
      </c>
      <c r="N66" s="1134">
        <f>'Dean''s Office'!N139+'Amer Ethnic Studies'!N66+Art!N68+Biochemistry!N70+Biology!N87+Chemistry!N70+'Comm Studies'!N69+Economics!N72+English!N70+Geography!N73+Geology!N67+Hist!N77+JMC!N68+Math!N73+'Modern Language'!N78+'Music Theatre Dance'!N87+Philosophy!N65+Physics!N70+'Political Science'!N72+Psych!N71+SASW!N85+Stats!N72+'Gender,Women &amp;Sexuality Studies'!N69</f>
        <v>156</v>
      </c>
      <c r="O66" s="1141">
        <f t="shared" si="9"/>
        <v>0.2810810810810811</v>
      </c>
      <c r="P66" s="1134">
        <f>'Dean''s Office'!P139+'Amer Ethnic Studies'!P66+Art!P68+Biochemistry!P70+Biology!P87+Chemistry!P70+'Comm Studies'!P69+Economics!P72+English!P70+Geography!P73+Geology!P67+Hist!P77+JMC!P68+Math!P73+'Modern Language'!P78+'Music Theatre Dance'!P87+Philosophy!P65+Physics!P70+'Political Science'!P72+Psych!P71+SASW!P85+Stats!P72+'Gender,Women &amp;Sexuality Studies'!P69</f>
        <v>159</v>
      </c>
      <c r="Q66" s="1141">
        <f t="shared" si="10"/>
        <v>0.27992957746478875</v>
      </c>
      <c r="R66" s="1134">
        <f>'Dean''s Office'!R139+'Amer Ethnic Studies'!R66+Art!R68+Biochemistry!R70+Biology!R87+Chemistry!R70+'Comm Studies'!R69+Economics!R72+English!R70+Geography!R73+Geology!R67+Hist!R77+JMC!R68+Math!R73+'Modern Language'!R78+'Music Theatre Dance'!R87+Philosophy!R65+Physics!R70+'Political Science'!R72+Psych!R71+SASW!R85+Stats!R72+'Gender,Women &amp;Sexuality Studies'!R69</f>
        <v>164</v>
      </c>
      <c r="S66" s="1141">
        <f t="shared" si="11"/>
        <v>0.28422876949740034</v>
      </c>
      <c r="T66" s="1134">
        <f>'Dean''s Office'!T139+'Amer Ethnic Studies'!T66+Art!T68+Biochemistry!T70+Biology!T87+Chemistry!T70+'Comm Studies'!T69+Economics!T72+English!T70+Geography!T73+Geology!T67+Hist!T77+JMC!T68+Math!T73+'Modern Language'!T78+'Music Theatre Dance'!T87+Philosophy!T65+Physics!T70+'Political Science'!T72+Psych!T71+SASW!T85+Stats!T72+'Gender,Women &amp;Sexuality Studies'!T69</f>
        <v>0</v>
      </c>
      <c r="U66" s="1142">
        <f t="shared" si="16"/>
        <v>0</v>
      </c>
      <c r="V66" s="85"/>
      <c r="W66" s="85"/>
      <c r="X66" s="85"/>
      <c r="Y66" s="85"/>
    </row>
    <row r="67" spans="1:25" x14ac:dyDescent="0.2">
      <c r="A67" s="1124" t="s">
        <v>62</v>
      </c>
      <c r="B67" s="1143"/>
      <c r="C67" s="1144"/>
      <c r="D67" s="1143"/>
      <c r="E67" s="1144"/>
      <c r="F67" s="1143"/>
      <c r="G67" s="1144"/>
      <c r="H67" s="1143"/>
      <c r="I67" s="1144"/>
      <c r="J67" s="1143"/>
      <c r="K67" s="1144"/>
      <c r="L67" s="1143"/>
      <c r="M67" s="1144"/>
      <c r="N67" s="1143"/>
      <c r="O67" s="1144"/>
      <c r="P67" s="1143"/>
      <c r="Q67" s="1144"/>
      <c r="R67" s="1143"/>
      <c r="S67" s="1144"/>
      <c r="T67" s="1143"/>
      <c r="U67" s="1109"/>
      <c r="V67" s="85"/>
      <c r="W67" s="85"/>
      <c r="X67" s="85"/>
      <c r="Y67" s="85"/>
    </row>
    <row r="68" spans="1:25" x14ac:dyDescent="0.2">
      <c r="A68" s="200" t="s">
        <v>63</v>
      </c>
      <c r="B68" s="1129">
        <f>'Dean''s Office'!B141+'Amer Ethnic Studies'!B68+Art!B70+Biochemistry!B72+Biology!B89+Chemistry!B72+'Comm Studies'!B71+Economics!B74+English!B72+Geography!B75+Geology!B69+Hist!B79+JMC!B70+Math!B75+'Modern Language'!B80+'Music Theatre Dance'!B89+Philosophy!B67+Physics!B72+'Political Science'!B74+Psych!B73+SASW!B87+Stats!B74+'Gender,Women &amp;Sexuality Studies'!B71</f>
        <v>366</v>
      </c>
      <c r="C68" s="1139">
        <f t="shared" ref="C68:C70" si="17">B68/$E$49</f>
        <v>0.79049676025917925</v>
      </c>
      <c r="D68" s="1129">
        <f>'Dean''s Office'!D141+'Amer Ethnic Studies'!D68+Art!D70+Biochemistry!D72+Biology!D89+Chemistry!D72+'Comm Studies'!D71+Economics!D74+English!D72+Geography!D75+Geology!D69+Hist!D79+JMC!D70+Math!D75+'Modern Language'!D80+'Music Theatre Dance'!D89+Philosophy!D67+Physics!D72+'Political Science'!D74+Psych!D73+SASW!D87+Stats!D74+'Gender,Women &amp;Sexuality Studies'!D71</f>
        <v>376</v>
      </c>
      <c r="E68" s="1139">
        <f t="shared" si="4"/>
        <v>0.81209503239740821</v>
      </c>
      <c r="F68" s="1129">
        <f>'Dean''s Office'!F141+'Amer Ethnic Studies'!F68+Art!F70+Biochemistry!F72+Biology!F89+Chemistry!F72+'Comm Studies'!F71+Economics!F74+English!F72+Geography!F75+Geology!F69+Hist!F79+JMC!F70+Math!F75+'Modern Language'!F80+'Music Theatre Dance'!F89+Philosophy!F67+Physics!F72+'Political Science'!F74+Psych!F73+SASW!F87+Stats!F74+'Gender,Women &amp;Sexuality Studies'!F71</f>
        <v>363</v>
      </c>
      <c r="G68" s="1139">
        <f t="shared" si="5"/>
        <v>0.82876712328767121</v>
      </c>
      <c r="H68" s="1129">
        <f>'Dean''s Office'!H141+'Amer Ethnic Studies'!H68+Art!H70+Biochemistry!H72+Biology!H89+Chemistry!H72+'Comm Studies'!H71+Economics!H74+English!H72+Geography!H75+Geology!H69+Hist!H79+JMC!H70+Math!H75+'Modern Language'!H80+'Music Theatre Dance'!H89+Philosophy!H67+Physics!H72+'Political Science'!H74+Psych!H73+SASW!H87+Stats!H74+'Gender,Women &amp;Sexuality Studies'!H71</f>
        <v>373</v>
      </c>
      <c r="I68" s="1139">
        <f t="shared" si="6"/>
        <v>0.83632286995515692</v>
      </c>
      <c r="J68" s="1129">
        <f>'Dean''s Office'!J141+'Amer Ethnic Studies'!J68+Art!J70+Biochemistry!J72+Biology!J89+Chemistry!J72+'Comm Studies'!J71+Economics!J74+English!J72+Geography!J75+Geology!J69+Hist!J79+JMC!J70+Math!J75+'Modern Language'!J80+'Music Theatre Dance'!J89+Philosophy!J67+Physics!J72+'Political Science'!J74+Psych!J73+SASW!J87+Stats!J74+'Gender,Women &amp;Sexuality Studies'!J71</f>
        <v>382</v>
      </c>
      <c r="K68" s="1139">
        <f t="shared" si="7"/>
        <v>0.83406113537117899</v>
      </c>
      <c r="L68" s="1129">
        <f>'Dean''s Office'!L141+'Amer Ethnic Studies'!L68+Art!L70+Biochemistry!L72+Biology!L89+Chemistry!L72+'Comm Studies'!L71+Economics!L74+English!L72+Geography!L75+Geology!L69+Hist!L79+JMC!L70+Math!L75+'Modern Language'!L80+'Music Theatre Dance'!L89+Philosophy!L67+Physics!L72+'Political Science'!L74+Psych!L73+SASW!L87+Stats!L74+'Gender,Women &amp;Sexuality Studies'!L71</f>
        <v>429</v>
      </c>
      <c r="M68" s="1139">
        <f t="shared" si="8"/>
        <v>0.77717391304347827</v>
      </c>
      <c r="N68" s="1129">
        <f>'Dean''s Office'!N141+'Amer Ethnic Studies'!N68+Art!N70+Biochemistry!N72+Biology!N89+Chemistry!N72+'Comm Studies'!N71+Economics!N74+English!N72+Geography!N75+Geology!N69+Hist!N79+JMC!N70+Math!N75+'Modern Language'!N80+'Music Theatre Dance'!N89+Philosophy!N67+Physics!N72+'Political Science'!N74+Psych!N73+SASW!N87+Stats!N74+'Gender,Women &amp;Sexuality Studies'!N71</f>
        <v>442</v>
      </c>
      <c r="O68" s="1139">
        <f t="shared" si="9"/>
        <v>0.79639639639639637</v>
      </c>
      <c r="P68" s="1129">
        <f>'Dean''s Office'!P141+'Amer Ethnic Studies'!P68+Art!P70+Biochemistry!P72+Biology!P89+Chemistry!P72+'Comm Studies'!P71+Economics!P74+English!P72+Geography!P75+Geology!P69+Hist!P79+JMC!P70+Math!P75+'Modern Language'!P80+'Music Theatre Dance'!P89+Philosophy!P67+Physics!P72+'Political Science'!P74+Psych!P73+SASW!P87+Stats!P74+'Gender,Women &amp;Sexuality Studies'!P71</f>
        <v>445</v>
      </c>
      <c r="Q68" s="1139">
        <f t="shared" si="10"/>
        <v>0.78345070422535212</v>
      </c>
      <c r="R68" s="1129">
        <f>'Dean''s Office'!R141+'Amer Ethnic Studies'!R68+Art!R70+Biochemistry!R72+Biology!R89+Chemistry!R72+'Comm Studies'!R71+Economics!R74+English!R72+Geography!R75+Geology!R69+Hist!R79+JMC!R70+Math!R75+'Modern Language'!R80+'Music Theatre Dance'!R89+Philosophy!R67+Physics!R72+'Political Science'!R74+Psych!R73+SASW!R87+Stats!R74+'Gender,Women &amp;Sexuality Studies'!R71</f>
        <v>469</v>
      </c>
      <c r="S68" s="1139">
        <f t="shared" si="11"/>
        <v>0.8128249566724437</v>
      </c>
      <c r="T68" s="1129">
        <f>'Dean''s Office'!T141+'Amer Ethnic Studies'!T68+Art!T70+Biochemistry!T72+Biology!T89+Chemistry!T72+'Comm Studies'!T71+Economics!T74+English!T72+Geography!T75+Geology!T69+Hist!T79+JMC!T70+Math!T75+'Modern Language'!T80+'Music Theatre Dance'!T89+Philosophy!T67+Physics!T72+'Political Science'!T74+Psych!T73+SASW!T87+Stats!T74+'Gender,Women &amp;Sexuality Studies'!T71</f>
        <v>0</v>
      </c>
      <c r="U68" s="1140">
        <f t="shared" ref="U68:U71" si="18">T68/$S$49</f>
        <v>0</v>
      </c>
      <c r="V68" s="85"/>
      <c r="W68" s="85"/>
      <c r="X68" s="85"/>
      <c r="Y68" s="85"/>
    </row>
    <row r="69" spans="1:25" x14ac:dyDescent="0.2">
      <c r="A69" s="200" t="s">
        <v>64</v>
      </c>
      <c r="B69" s="1129">
        <f>'Dean''s Office'!B142+'Amer Ethnic Studies'!B69+Art!B71+Biochemistry!B73+Biology!B90+Chemistry!B73+'Comm Studies'!B72+Economics!B75+English!B73+Geography!B76+Geology!B70+Hist!B80+JMC!B71+Math!B76+'Modern Language'!B81+'Music Theatre Dance'!B90+Philosophy!B68+Physics!B73+'Political Science'!B75+Psych!B74+SASW!B88+Stats!B75+'Gender,Women &amp;Sexuality Studies'!B72</f>
        <v>79</v>
      </c>
      <c r="C69" s="1139">
        <f t="shared" si="17"/>
        <v>0.17062634989200864</v>
      </c>
      <c r="D69" s="1129">
        <f>'Dean''s Office'!D142+'Amer Ethnic Studies'!D69+Art!D71+Biochemistry!D73+Biology!D90+Chemistry!D73+'Comm Studies'!D72+Economics!D75+English!D73+Geography!D76+Geology!D70+Hist!D80+JMC!D71+Math!D76+'Modern Language'!D81+'Music Theatre Dance'!D90+Philosophy!D68+Physics!D73+'Political Science'!D75+Psych!D74+SASW!D88+Stats!D75+'Gender,Women &amp;Sexuality Studies'!D72</f>
        <v>79</v>
      </c>
      <c r="E69" s="1139">
        <f t="shared" ref="E69:E70" si="19">D69/$E$49</f>
        <v>0.17062634989200864</v>
      </c>
      <c r="F69" s="1129">
        <f>'Dean''s Office'!F142+'Amer Ethnic Studies'!F69+Art!F71+Biochemistry!F73+Biology!F90+Chemistry!F73+'Comm Studies'!F72+Economics!F75+English!F73+Geography!F76+Geology!F70+Hist!F80+JMC!F71+Math!F76+'Modern Language'!F81+'Music Theatre Dance'!F90+Philosophy!F68+Physics!F73+'Political Science'!F75+Psych!F74+SASW!F88+Stats!F75+'Gender,Women &amp;Sexuality Studies'!F72</f>
        <v>72</v>
      </c>
      <c r="G69" s="1139">
        <f t="shared" si="5"/>
        <v>0.16438356164383561</v>
      </c>
      <c r="H69" s="1129">
        <f>'Dean''s Office'!H142+'Amer Ethnic Studies'!H69+Art!H71+Biochemistry!H73+Biology!H90+Chemistry!H73+'Comm Studies'!H72+Economics!H75+English!H73+Geography!H76+Geology!H70+Hist!H80+JMC!H71+Math!H76+'Modern Language'!H81+'Music Theatre Dance'!H90+Philosophy!H68+Physics!H73+'Political Science'!H75+Psych!H74+SASW!H88+Stats!H75+'Gender,Women &amp;Sexuality Studies'!H72</f>
        <v>67</v>
      </c>
      <c r="I69" s="1139">
        <f t="shared" si="6"/>
        <v>0.15022421524663676</v>
      </c>
      <c r="J69" s="1129">
        <f>'Dean''s Office'!J142+'Amer Ethnic Studies'!J69+Art!J71+Biochemistry!J73+Biology!J90+Chemistry!J73+'Comm Studies'!J72+Economics!J75+English!J73+Geography!J76+Geology!J70+Hist!J80+JMC!J71+Math!J76+'Modern Language'!J81+'Music Theatre Dance'!J90+Philosophy!J68+Physics!J73+'Political Science'!J75+Psych!J74+SASW!J88+Stats!J75+'Gender,Women &amp;Sexuality Studies'!J72</f>
        <v>72</v>
      </c>
      <c r="K69" s="1139">
        <f t="shared" si="7"/>
        <v>0.15720524017467249</v>
      </c>
      <c r="L69" s="1129">
        <f>'Dean''s Office'!L142+'Amer Ethnic Studies'!L69+Art!L71+Biochemistry!L73+Biology!L90+Chemistry!L73+'Comm Studies'!L72+Economics!L75+English!L73+Geography!L76+Geology!L70+Hist!L80+JMC!L71+Math!L76+'Modern Language'!L81+'Music Theatre Dance'!L90+Philosophy!L68+Physics!L73+'Political Science'!L75+Psych!L74+SASW!L88+Stats!L75+'Gender,Women &amp;Sexuality Studies'!L72</f>
        <v>114</v>
      </c>
      <c r="M69" s="1139">
        <f t="shared" si="8"/>
        <v>0.20652173913043478</v>
      </c>
      <c r="N69" s="1129">
        <f>'Dean''s Office'!N142+'Amer Ethnic Studies'!N69+Art!N71+Biochemistry!N73+Biology!N90+Chemistry!N73+'Comm Studies'!N72+Economics!N75+English!N73+Geography!N76+Geology!N70+Hist!N80+JMC!N71+Math!N76+'Modern Language'!N81+'Music Theatre Dance'!N90+Philosophy!N68+Physics!N73+'Political Science'!N75+Psych!N74+SASW!N88+Stats!N75+'Gender,Women &amp;Sexuality Studies'!N72</f>
        <v>108</v>
      </c>
      <c r="O69" s="1139">
        <f t="shared" si="9"/>
        <v>0.19459459459459461</v>
      </c>
      <c r="P69" s="1129">
        <f>'Dean''s Office'!P142+'Amer Ethnic Studies'!P69+Art!P71+Biochemistry!P73+Biology!P90+Chemistry!P73+'Comm Studies'!P72+Economics!P75+English!P73+Geography!P76+Geology!P70+Hist!P80+JMC!P71+Math!P76+'Modern Language'!P81+'Music Theatre Dance'!P90+Philosophy!P68+Physics!P73+'Political Science'!P75+Psych!P74+SASW!P88+Stats!P75+'Gender,Women &amp;Sexuality Studies'!P72</f>
        <v>118</v>
      </c>
      <c r="Q69" s="1139">
        <f t="shared" si="10"/>
        <v>0.20774647887323944</v>
      </c>
      <c r="R69" s="1129">
        <f>'Dean''s Office'!R142+'Amer Ethnic Studies'!R69+Art!R71+Biochemistry!R73+Biology!R90+Chemistry!R73+'Comm Studies'!R72+Economics!R75+English!R73+Geography!R76+Geology!R70+Hist!R80+JMC!R71+Math!R76+'Modern Language'!R81+'Music Theatre Dance'!R90+Philosophy!R68+Physics!R73+'Political Science'!R75+Psych!R74+SASW!R88+Stats!R75+'Gender,Women &amp;Sexuality Studies'!R72</f>
        <v>103</v>
      </c>
      <c r="S69" s="1139">
        <f t="shared" si="11"/>
        <v>0.17850953206239167</v>
      </c>
      <c r="T69" s="1129">
        <f>'Dean''s Office'!T142+'Amer Ethnic Studies'!T69+Art!T71+Biochemistry!T73+Biology!T90+Chemistry!T73+'Comm Studies'!T72+Economics!T75+English!T73+Geography!T76+Geology!T70+Hist!T80+JMC!T71+Math!T76+'Modern Language'!T81+'Music Theatre Dance'!T90+Philosophy!T68+Physics!T73+'Political Science'!T75+Psych!T74+SASW!T88+Stats!T75+'Gender,Women &amp;Sexuality Studies'!T72</f>
        <v>0</v>
      </c>
      <c r="U69" s="1140">
        <f t="shared" si="18"/>
        <v>0</v>
      </c>
      <c r="V69" s="85"/>
      <c r="W69" s="85"/>
      <c r="X69" s="85"/>
      <c r="Y69" s="85"/>
    </row>
    <row r="70" spans="1:25" x14ac:dyDescent="0.2">
      <c r="A70" s="200" t="s">
        <v>65</v>
      </c>
      <c r="B70" s="1129">
        <f>'Dean''s Office'!B143+'Amer Ethnic Studies'!B70+Art!B72+Biochemistry!B74+Biology!B91+Chemistry!B74+'Comm Studies'!B73+Economics!B76+English!B74+Geography!B77+Geology!B71+Hist!B81+JMC!B72+Math!B77+'Modern Language'!B82+'Music Theatre Dance'!B91+Philosophy!B69+Physics!B74+'Political Science'!B76+Psych!B75+SASW!B89+Stats!B76+'Gender,Women &amp;Sexuality Studies'!B73</f>
        <v>10</v>
      </c>
      <c r="C70" s="1139">
        <f t="shared" si="17"/>
        <v>2.159827213822894E-2</v>
      </c>
      <c r="D70" s="1129">
        <f>'Dean''s Office'!D143+'Amer Ethnic Studies'!D70+Art!D72+Biochemistry!D74+Biology!D91+Chemistry!D74+'Comm Studies'!D73+Economics!D76+English!D74+Geography!D77+Geology!D71+Hist!D81+JMC!D72+Math!D77+'Modern Language'!D82+'Music Theatre Dance'!D91+Philosophy!D69+Physics!D74+'Political Science'!D76+Psych!D75+SASW!D89+Stats!D76+'Gender,Women &amp;Sexuality Studies'!D73</f>
        <v>8</v>
      </c>
      <c r="E70" s="1139">
        <f t="shared" si="19"/>
        <v>1.7278617710583154E-2</v>
      </c>
      <c r="F70" s="1129">
        <f>'Dean''s Office'!F143+'Amer Ethnic Studies'!F70+Art!F72+Biochemistry!F74+Biology!F91+Chemistry!F74+'Comm Studies'!F73+Economics!F76+English!F74+Geography!F77+Geology!F71+Hist!F81+JMC!F72+Math!F77+'Modern Language'!F82+'Music Theatre Dance'!F91+Philosophy!F69+Physics!F74+'Political Science'!F76+Psych!F75+SASW!F89+Stats!F76+'Gender,Women &amp;Sexuality Studies'!F73</f>
        <v>3</v>
      </c>
      <c r="G70" s="1139">
        <f t="shared" si="5"/>
        <v>6.8493150684931503E-3</v>
      </c>
      <c r="H70" s="1129">
        <f>'Dean''s Office'!H143+'Amer Ethnic Studies'!H70+Art!H72+Biochemistry!H74+Biology!H91+Chemistry!H74+'Comm Studies'!H73+Economics!H76+English!H74+Geography!H77+Geology!H71+Hist!H81+JMC!H72+Math!H77+'Modern Language'!H82+'Music Theatre Dance'!H91+Philosophy!H69+Physics!H74+'Political Science'!H76+Psych!H75+SASW!H89+Stats!H76+'Gender,Women &amp;Sexuality Studies'!H73</f>
        <v>6</v>
      </c>
      <c r="I70" s="1139">
        <f t="shared" si="6"/>
        <v>1.3452914798206279E-2</v>
      </c>
      <c r="J70" s="1129">
        <f>'Dean''s Office'!J143+'Amer Ethnic Studies'!J70+Art!J72+Biochemistry!J74+Biology!J91+Chemistry!J74+'Comm Studies'!J73+Economics!J76+English!J74+Geography!J77+Geology!J71+Hist!J81+JMC!J72+Math!J77+'Modern Language'!J82+'Music Theatre Dance'!J91+Philosophy!J69+Physics!J74+'Political Science'!J76+Psych!J75+SASW!J89+Stats!J76+'Gender,Women &amp;Sexuality Studies'!J73</f>
        <v>4</v>
      </c>
      <c r="K70" s="1139">
        <f t="shared" si="7"/>
        <v>8.7336244541484712E-3</v>
      </c>
      <c r="L70" s="1129">
        <f>'Dean''s Office'!L143+'Amer Ethnic Studies'!L70+Art!L72+Biochemistry!L74+Biology!L91+Chemistry!L74+'Comm Studies'!L73+Economics!L76+English!L74+Geography!L77+Geology!L71+Hist!L81+JMC!L72+Math!L77+'Modern Language'!L82+'Music Theatre Dance'!L91+Philosophy!L69+Physics!L74+'Political Science'!L76+Psych!L75+SASW!L89+Stats!L76+'Gender,Women &amp;Sexuality Studies'!L73</f>
        <v>9</v>
      </c>
      <c r="M70" s="1139">
        <f t="shared" si="8"/>
        <v>1.6304347826086956E-2</v>
      </c>
      <c r="N70" s="1129">
        <f>'Dean''s Office'!N143+'Amer Ethnic Studies'!N70+Art!N72+Biochemistry!N74+Biology!N91+Chemistry!N74+'Comm Studies'!N73+Economics!N76+English!N74+Geography!N77+Geology!N71+Hist!N81+JMC!N72+Math!N77+'Modern Language'!N82+'Music Theatre Dance'!N91+Philosophy!N69+Physics!N74+'Political Science'!N76+Psych!N75+SASW!N89+Stats!N76+'Gender,Women &amp;Sexuality Studies'!N73</f>
        <v>5</v>
      </c>
      <c r="O70" s="1139">
        <f t="shared" si="9"/>
        <v>9.0090090090090089E-3</v>
      </c>
      <c r="P70" s="1129">
        <f>'Dean''s Office'!P143+'Amer Ethnic Studies'!P70+Art!P72+Biochemistry!P74+Biology!P91+Chemistry!P74+'Comm Studies'!P73+Economics!P76+English!P74+Geography!P77+Geology!P71+Hist!P81+JMC!P72+Math!P77+'Modern Language'!P82+'Music Theatre Dance'!P91+Philosophy!P69+Physics!P74+'Political Science'!P76+Psych!P75+SASW!P89+Stats!P76+'Gender,Women &amp;Sexuality Studies'!P73</f>
        <v>5</v>
      </c>
      <c r="Q70" s="1139">
        <f t="shared" si="10"/>
        <v>8.8028169014084511E-3</v>
      </c>
      <c r="R70" s="1129">
        <f>'Dean''s Office'!R143+'Amer Ethnic Studies'!R70+Art!R72+Biochemistry!R74+Biology!R91+Chemistry!R74+'Comm Studies'!R73+Economics!R76+English!R74+Geography!R77+Geology!R71+Hist!R81+JMC!R72+Math!R77+'Modern Language'!R82+'Music Theatre Dance'!R91+Philosophy!R69+Physics!R74+'Political Science'!R76+Psych!R75+SASW!R89+Stats!R76+'Gender,Women &amp;Sexuality Studies'!R73</f>
        <v>5</v>
      </c>
      <c r="S70" s="1139">
        <f t="shared" si="11"/>
        <v>8.6655112651646445E-3</v>
      </c>
      <c r="T70" s="1129">
        <f>'Dean''s Office'!T143+'Amer Ethnic Studies'!T70+Art!T72+Biochemistry!T74+Biology!T91+Chemistry!T74+'Comm Studies'!T73+Economics!T76+English!T74+Geography!T77+Geology!T71+Hist!T81+JMC!T72+Math!T77+'Modern Language'!T82+'Music Theatre Dance'!T91+Philosophy!T69+Physics!T74+'Political Science'!T76+Psych!T75+SASW!T89+Stats!T76+'Gender,Women &amp;Sexuality Studies'!T73</f>
        <v>0</v>
      </c>
      <c r="U70" s="1140">
        <f t="shared" si="18"/>
        <v>0</v>
      </c>
      <c r="V70" s="85"/>
      <c r="W70" s="85"/>
      <c r="X70" s="85"/>
      <c r="Y70" s="85"/>
    </row>
    <row r="71" spans="1:25" ht="13.5" thickBot="1" x14ac:dyDescent="0.25">
      <c r="A71" s="212" t="s">
        <v>66</v>
      </c>
      <c r="B71" s="1111">
        <f>'Dean''s Office'!B144+'Amer Ethnic Studies'!B71+Art!B73+Biochemistry!B75+Biology!B92+Chemistry!B75+'Comm Studies'!B74+Economics!B77+English!B75+Geography!B78+Geology!B72+Hist!B82+JMC!B73+Math!B78+'Modern Language'!B83+'Music Theatre Dance'!B92+Philosophy!B70+Physics!B75+'Political Science'!B77+Psych!B76+SASW!B90+Stats!B77+'Gender,Women &amp;Sexuality Studies'!B74</f>
        <v>0</v>
      </c>
      <c r="C71" s="1112">
        <f>B71/$E$49</f>
        <v>0</v>
      </c>
      <c r="D71" s="1111">
        <f>'Dean''s Office'!D144+'Amer Ethnic Studies'!D71+Art!D73+Biochemistry!D75+Biology!D92+Chemistry!D75+'Comm Studies'!D74+Economics!D77+English!D75+Geography!D78+Geology!D72+Hist!D82+JMC!D73+Math!D78+'Modern Language'!D83+'Music Theatre Dance'!D92+Philosophy!D70+Physics!D75+'Political Science'!D77+Psych!D76+SASW!D90+Stats!D77+'Gender,Women &amp;Sexuality Studies'!D74</f>
        <v>0</v>
      </c>
      <c r="E71" s="1112">
        <f>D71/$E$49</f>
        <v>0</v>
      </c>
      <c r="F71" s="1111">
        <f>'Dean''s Office'!F144+'Amer Ethnic Studies'!F71+Art!F73+Biochemistry!F75+Biology!F92+Chemistry!F75+'Comm Studies'!F74+Economics!F77+English!F75+Geography!F78+Geology!F72+Hist!F82+JMC!F73+Math!F78+'Modern Language'!F83+'Music Theatre Dance'!F92+Philosophy!F70+Physics!F75+'Political Science'!F77+Psych!F76+SASW!F90+Stats!F77+'Gender,Women &amp;Sexuality Studies'!F74</f>
        <v>0</v>
      </c>
      <c r="G71" s="1112">
        <f t="shared" si="5"/>
        <v>0</v>
      </c>
      <c r="H71" s="1111">
        <f>'Dean''s Office'!H144+'Amer Ethnic Studies'!H71+Art!H73+Biochemistry!H75+Biology!H92+Chemistry!H75+'Comm Studies'!H74+Economics!H77+English!H75+Geography!H78+Geology!H72+Hist!H82+JMC!H73+Math!H78+'Modern Language'!H83+'Music Theatre Dance'!H92+Philosophy!H70+Physics!H75+'Political Science'!H77+Psych!H76+SASW!H90+Stats!H77+'Gender,Women &amp;Sexuality Studies'!H74</f>
        <v>0</v>
      </c>
      <c r="I71" s="1112">
        <f t="shared" si="6"/>
        <v>0</v>
      </c>
      <c r="J71" s="1111">
        <f>'Dean''s Office'!J144+'Amer Ethnic Studies'!J71+Art!J73+Biochemistry!J75+Biology!J92+Chemistry!J75+'Comm Studies'!J74+Economics!J77+English!J75+Geography!J78+Geology!J72+Hist!J82+JMC!J73+Math!J78+'Modern Language'!J83+'Music Theatre Dance'!J92+Philosophy!J70+Physics!J75+'Political Science'!J77+Psych!J76+SASW!J90+Stats!J77+'Gender,Women &amp;Sexuality Studies'!J74</f>
        <v>0</v>
      </c>
      <c r="K71" s="1112">
        <f t="shared" si="7"/>
        <v>0</v>
      </c>
      <c r="L71" s="1111">
        <f>'Dean''s Office'!L144+'Amer Ethnic Studies'!L71+Art!L73+Biochemistry!L75+Biology!L92+Chemistry!L75+'Comm Studies'!L74+Economics!L77+English!L75+Geography!L78+Geology!L72+Hist!L82+JMC!L73+Math!L78+'Modern Language'!L83+'Music Theatre Dance'!L92+Philosophy!L70+Physics!L75+'Political Science'!L77+Psych!L76+SASW!L90+Stats!L77+'Gender,Women &amp;Sexuality Studies'!L74</f>
        <v>0</v>
      </c>
      <c r="M71" s="1112">
        <f t="shared" si="8"/>
        <v>0</v>
      </c>
      <c r="N71" s="1111">
        <f>'Dean''s Office'!N144+'Amer Ethnic Studies'!N71+Art!N73+Biochemistry!N75+Biology!N92+Chemistry!N75+'Comm Studies'!N74+Economics!N77+English!N75+Geography!N78+Geology!N72+Hist!N82+JMC!N73+Math!N78+'Modern Language'!N83+'Music Theatre Dance'!N92+Philosophy!N70+Physics!N75+'Political Science'!N77+Psych!N76+SASW!N90+Stats!N77+'Gender,Women &amp;Sexuality Studies'!N74</f>
        <v>0</v>
      </c>
      <c r="O71" s="1112">
        <f t="shared" si="9"/>
        <v>0</v>
      </c>
      <c r="P71" s="1111">
        <f>'Dean''s Office'!P144+'Amer Ethnic Studies'!P71+Art!P73+Biochemistry!P75+Biology!P92+Chemistry!P75+'Comm Studies'!P74+Economics!P77+English!P75+Geography!P78+Geology!P72+Hist!P82+JMC!P73+Math!P78+'Modern Language'!P83+'Music Theatre Dance'!P92+Philosophy!P70+Physics!P75+'Political Science'!P77+Psych!P76+SASW!P90+Stats!P77+'Gender,Women &amp;Sexuality Studies'!P74</f>
        <v>0</v>
      </c>
      <c r="Q71" s="1112">
        <f t="shared" si="10"/>
        <v>0</v>
      </c>
      <c r="R71" s="1111">
        <f>'Dean''s Office'!R144+'Amer Ethnic Studies'!R71+Art!R73+Biochemistry!R75+Biology!R92+Chemistry!R75+'Comm Studies'!R74+Economics!R77+English!R75+Geography!R78+Geology!R72+Hist!R82+JMC!R73+Math!R78+'Modern Language'!R83+'Music Theatre Dance'!R92+Philosophy!R70+Physics!R75+'Political Science'!R77+Psych!R76+SASW!R90+Stats!R77+'Gender,Women &amp;Sexuality Studies'!R74</f>
        <v>0</v>
      </c>
      <c r="S71" s="1112">
        <f t="shared" si="11"/>
        <v>0</v>
      </c>
      <c r="T71" s="1111">
        <f>'Dean''s Office'!T144+'Amer Ethnic Studies'!T71+Art!T73+Biochemistry!T75+Biology!T92+Chemistry!T75+'Comm Studies'!T74+Economics!T77+English!T75+Geography!T78+Geology!T72+Hist!T82+JMC!T73+Math!T78+'Modern Language'!T83+'Music Theatre Dance'!T92+Philosophy!T70+Physics!T75+'Political Science'!T77+Psych!T76+SASW!T90+Stats!T77+'Gender,Women &amp;Sexuality Studies'!T74</f>
        <v>0</v>
      </c>
      <c r="U71" s="1145">
        <f t="shared" si="18"/>
        <v>0</v>
      </c>
      <c r="V71" s="85"/>
      <c r="W71" s="85"/>
      <c r="X71" s="85"/>
      <c r="Y71" s="85"/>
    </row>
    <row r="72" spans="1:25" ht="13.5" thickTop="1" x14ac:dyDescent="0.2">
      <c r="V72" s="85"/>
      <c r="W72" s="85"/>
      <c r="X72" s="85"/>
      <c r="Y72" s="85"/>
    </row>
  </sheetData>
  <mergeCells count="21">
    <mergeCell ref="W9:X9"/>
    <mergeCell ref="D9:E9"/>
    <mergeCell ref="F9:G9"/>
    <mergeCell ref="H9:I9"/>
    <mergeCell ref="J9:K9"/>
    <mergeCell ref="L9:M9"/>
    <mergeCell ref="N9:O9"/>
    <mergeCell ref="T9:U9"/>
    <mergeCell ref="B9:C9"/>
    <mergeCell ref="B37:C37"/>
    <mergeCell ref="T37:U37"/>
    <mergeCell ref="N37:O37"/>
    <mergeCell ref="P37:Q37"/>
    <mergeCell ref="R37:S37"/>
    <mergeCell ref="D37:E37"/>
    <mergeCell ref="F37:G37"/>
    <mergeCell ref="H37:I37"/>
    <mergeCell ref="J37:K37"/>
    <mergeCell ref="L37:M37"/>
    <mergeCell ref="P9:Q9"/>
    <mergeCell ref="R9:S9"/>
  </mergeCells>
  <pageMargins left="0.7" right="0.7" top="0.75" bottom="0.75" header="0.3" footer="0.3"/>
  <pageSetup scale="86" fitToHeight="2" orientation="landscape" r:id="rId1"/>
  <rowBreaks count="1" manualBreakCount="1">
    <brk id="35" max="20" man="1"/>
  </rowBreaks>
  <ignoredErrors>
    <ignoredError sqref="J33:R34 D52:D7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420"/>
  <sheetViews>
    <sheetView view="pageBreakPreview" zoomScale="85" zoomScaleNormal="85" zoomScaleSheetLayoutView="85" workbookViewId="0">
      <pane xSplit="1" ySplit="1" topLeftCell="P2" activePane="bottomRight" state="frozen"/>
      <selection activeCell="T36" sqref="T36:U36"/>
      <selection pane="topRight" activeCell="T36" sqref="T36:U36"/>
      <selection pane="bottomLeft" activeCell="T36" sqref="T36:U36"/>
      <selection pane="bottomRight" activeCell="T36" sqref="T36:U36"/>
    </sheetView>
  </sheetViews>
  <sheetFormatPr defaultColWidth="10.28515625" defaultRowHeight="12.75" x14ac:dyDescent="0.2"/>
  <cols>
    <col min="1" max="1" width="33.5703125" customWidth="1"/>
    <col min="2" max="2" width="6.7109375" hidden="1" customWidth="1"/>
    <col min="3" max="3" width="10.7109375" hidden="1" customWidth="1"/>
    <col min="4" max="4" width="6.7109375" hidden="1" customWidth="1"/>
    <col min="5" max="5" width="10.7109375" hidden="1" customWidth="1"/>
    <col min="6" max="6" width="6.7109375" customWidth="1"/>
    <col min="7" max="7" width="10.7109375" customWidth="1"/>
    <col min="8" max="8" width="6.7109375" customWidth="1"/>
    <col min="9" max="9" width="10.7109375" customWidth="1"/>
    <col min="10" max="10" width="6.7109375" customWidth="1"/>
    <col min="11" max="11" width="10.7109375" customWidth="1"/>
    <col min="12" max="12" width="6.7109375" customWidth="1"/>
    <col min="13" max="13" width="10.7109375" customWidth="1"/>
    <col min="14" max="14" width="6.7109375" customWidth="1"/>
    <col min="15" max="15" width="10.7109375" customWidth="1"/>
    <col min="16" max="16" width="6.7109375" customWidth="1"/>
    <col min="17" max="17" width="10.7109375" customWidth="1"/>
    <col min="18" max="18" width="6.7109375" customWidth="1"/>
    <col min="19" max="19" width="10.7109375" customWidth="1"/>
    <col min="20" max="20" width="6.7109375" customWidth="1"/>
    <col min="21" max="21" width="10.7109375" customWidth="1"/>
    <col min="22" max="22" width="3.28515625" customWidth="1"/>
    <col min="23" max="23" width="6.7109375" customWidth="1"/>
    <col min="24" max="24" width="10.7109375" customWidth="1"/>
    <col min="25" max="25" width="1.5703125" customWidth="1"/>
  </cols>
  <sheetData>
    <row r="1" spans="1:26" ht="15.75" x14ac:dyDescent="0.25">
      <c r="A1" s="667" t="s">
        <v>240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</row>
    <row r="2" spans="1:26" ht="15.75" x14ac:dyDescent="0.25">
      <c r="A2" s="667" t="s">
        <v>241</v>
      </c>
    </row>
    <row r="3" spans="1:26" ht="15.75" x14ac:dyDescent="0.25">
      <c r="A3" s="667"/>
    </row>
    <row r="4" spans="1:26" ht="15.75" x14ac:dyDescent="0.25">
      <c r="A4" s="668" t="s">
        <v>261</v>
      </c>
    </row>
    <row r="5" spans="1:26" ht="15.75" x14ac:dyDescent="0.25">
      <c r="A5" s="668"/>
    </row>
    <row r="6" spans="1:26" x14ac:dyDescent="0.2">
      <c r="A6" s="669" t="s">
        <v>274</v>
      </c>
    </row>
    <row r="7" spans="1:26" x14ac:dyDescent="0.2">
      <c r="A7" s="720">
        <v>3670020030</v>
      </c>
    </row>
    <row r="8" spans="1:26" ht="13.5" thickBot="1" x14ac:dyDescent="0.25">
      <c r="A8" s="1"/>
    </row>
    <row r="9" spans="1:26" ht="15" customHeight="1" thickTop="1" x14ac:dyDescent="0.2">
      <c r="A9" s="4"/>
      <c r="B9" s="1401" t="s">
        <v>0</v>
      </c>
      <c r="C9" s="1398"/>
      <c r="D9" s="1401" t="s">
        <v>1</v>
      </c>
      <c r="E9" s="1398"/>
      <c r="F9" s="1401" t="s">
        <v>2</v>
      </c>
      <c r="G9" s="1398"/>
      <c r="H9" s="1401" t="s">
        <v>3</v>
      </c>
      <c r="I9" s="1398"/>
      <c r="J9" s="1401" t="s">
        <v>4</v>
      </c>
      <c r="K9" s="1398"/>
      <c r="L9" s="1401" t="s">
        <v>5</v>
      </c>
      <c r="M9" s="1398"/>
      <c r="N9" s="1401" t="s">
        <v>6</v>
      </c>
      <c r="O9" s="1398"/>
      <c r="P9" s="1401" t="s">
        <v>7</v>
      </c>
      <c r="Q9" s="1398"/>
      <c r="R9" s="1401" t="s">
        <v>8</v>
      </c>
      <c r="S9" s="1398"/>
      <c r="T9" s="1401" t="s">
        <v>301</v>
      </c>
      <c r="U9" s="1402"/>
      <c r="W9" s="1399" t="s">
        <v>9</v>
      </c>
      <c r="X9" s="1400"/>
    </row>
    <row r="10" spans="1:26" ht="15" customHeight="1" x14ac:dyDescent="0.2">
      <c r="A10" s="5"/>
      <c r="B10" s="68" t="s">
        <v>287</v>
      </c>
      <c r="C10" s="8" t="s">
        <v>10</v>
      </c>
      <c r="D10" s="68" t="s">
        <v>287</v>
      </c>
      <c r="E10" s="8" t="s">
        <v>10</v>
      </c>
      <c r="F10" s="68" t="s">
        <v>287</v>
      </c>
      <c r="G10" s="8" t="s">
        <v>10</v>
      </c>
      <c r="H10" s="68" t="s">
        <v>287</v>
      </c>
      <c r="I10" s="8" t="s">
        <v>10</v>
      </c>
      <c r="J10" s="68" t="s">
        <v>287</v>
      </c>
      <c r="K10" s="8" t="s">
        <v>10</v>
      </c>
      <c r="L10" s="68" t="s">
        <v>287</v>
      </c>
      <c r="M10" s="8" t="s">
        <v>10</v>
      </c>
      <c r="N10" s="68" t="s">
        <v>287</v>
      </c>
      <c r="O10" s="8" t="s">
        <v>10</v>
      </c>
      <c r="P10" s="68" t="s">
        <v>287</v>
      </c>
      <c r="Q10" s="8" t="s">
        <v>10</v>
      </c>
      <c r="R10" s="68" t="s">
        <v>287</v>
      </c>
      <c r="S10" s="8" t="s">
        <v>10</v>
      </c>
      <c r="T10" s="68" t="s">
        <v>287</v>
      </c>
      <c r="U10" s="97" t="s">
        <v>10</v>
      </c>
      <c r="W10" s="926" t="s">
        <v>287</v>
      </c>
      <c r="X10" s="927" t="s">
        <v>11</v>
      </c>
    </row>
    <row r="11" spans="1:26" ht="15" customHeight="1" thickBot="1" x14ac:dyDescent="0.25">
      <c r="A11" s="70" t="s">
        <v>77</v>
      </c>
      <c r="B11" s="69" t="s">
        <v>12</v>
      </c>
      <c r="C11" s="922" t="s">
        <v>13</v>
      </c>
      <c r="D11" s="69" t="s">
        <v>12</v>
      </c>
      <c r="E11" s="922" t="s">
        <v>13</v>
      </c>
      <c r="F11" s="69" t="s">
        <v>12</v>
      </c>
      <c r="G11" s="922" t="s">
        <v>13</v>
      </c>
      <c r="H11" s="69" t="s">
        <v>12</v>
      </c>
      <c r="I11" s="922" t="s">
        <v>13</v>
      </c>
      <c r="J11" s="69" t="s">
        <v>12</v>
      </c>
      <c r="K11" s="922" t="s">
        <v>13</v>
      </c>
      <c r="L11" s="69" t="s">
        <v>12</v>
      </c>
      <c r="M11" s="922" t="s">
        <v>13</v>
      </c>
      <c r="N11" s="69" t="s">
        <v>12</v>
      </c>
      <c r="O11" s="922" t="s">
        <v>13</v>
      </c>
      <c r="P11" s="69" t="s">
        <v>12</v>
      </c>
      <c r="Q11" s="922" t="s">
        <v>13</v>
      </c>
      <c r="R11" s="69" t="s">
        <v>12</v>
      </c>
      <c r="S11" s="922" t="s">
        <v>13</v>
      </c>
      <c r="T11" s="69" t="s">
        <v>12</v>
      </c>
      <c r="U11" s="10" t="s">
        <v>13</v>
      </c>
      <c r="W11" s="9" t="s">
        <v>12</v>
      </c>
      <c r="X11" s="10" t="s">
        <v>13</v>
      </c>
      <c r="Z11" s="1280" t="s">
        <v>19</v>
      </c>
    </row>
    <row r="12" spans="1:26" ht="15" customHeight="1" x14ac:dyDescent="0.2">
      <c r="A12" s="270" t="s">
        <v>81</v>
      </c>
      <c r="B12" s="13"/>
      <c r="C12" s="14"/>
      <c r="D12" s="11"/>
      <c r="E12" s="12"/>
      <c r="F12" s="13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5"/>
      <c r="W12" s="16"/>
      <c r="X12" s="17"/>
    </row>
    <row r="13" spans="1:26" s="23" customFormat="1" ht="15" customHeight="1" x14ac:dyDescent="0.2">
      <c r="A13" s="18" t="s">
        <v>15</v>
      </c>
      <c r="B13" s="20">
        <v>149</v>
      </c>
      <c r="C13" s="140"/>
      <c r="D13" s="22">
        <v>215</v>
      </c>
      <c r="E13" s="147"/>
      <c r="F13" s="20">
        <v>208</v>
      </c>
      <c r="G13" s="147"/>
      <c r="H13" s="20">
        <v>199</v>
      </c>
      <c r="I13" s="147"/>
      <c r="J13" s="20">
        <v>211</v>
      </c>
      <c r="K13" s="147"/>
      <c r="L13" s="20">
        <v>181</v>
      </c>
      <c r="M13" s="147"/>
      <c r="N13" s="20">
        <v>135</v>
      </c>
      <c r="O13" s="147"/>
      <c r="P13" s="20">
        <v>121</v>
      </c>
      <c r="Q13" s="149"/>
      <c r="R13" s="20">
        <f>55+46+8</f>
        <v>109</v>
      </c>
      <c r="S13" s="149"/>
      <c r="T13" s="20">
        <v>104</v>
      </c>
      <c r="U13" s="151"/>
      <c r="W13" s="16">
        <f>AVERAGE(N13,L13,R13,T13,P13)</f>
        <v>130</v>
      </c>
      <c r="X13" s="24"/>
    </row>
    <row r="14" spans="1:26" s="23" customFormat="1" ht="15" customHeight="1" thickBot="1" x14ac:dyDescent="0.25">
      <c r="A14" s="27" t="s">
        <v>16</v>
      </c>
      <c r="B14" s="29">
        <v>222</v>
      </c>
      <c r="C14" s="141"/>
      <c r="D14" s="86">
        <v>202</v>
      </c>
      <c r="E14" s="148"/>
      <c r="F14" s="29">
        <v>210</v>
      </c>
      <c r="G14" s="148"/>
      <c r="H14" s="29">
        <v>227</v>
      </c>
      <c r="I14" s="148"/>
      <c r="J14" s="29">
        <v>253</v>
      </c>
      <c r="K14" s="148"/>
      <c r="L14" s="29">
        <v>233</v>
      </c>
      <c r="M14" s="148"/>
      <c r="N14" s="29">
        <v>222</v>
      </c>
      <c r="O14" s="148"/>
      <c r="P14" s="29">
        <v>208</v>
      </c>
      <c r="Q14" s="150"/>
      <c r="R14" s="29">
        <f>67+102</f>
        <v>169</v>
      </c>
      <c r="S14" s="150"/>
      <c r="T14" s="29">
        <v>149</v>
      </c>
      <c r="U14" s="152"/>
      <c r="W14" s="16">
        <f>AVERAGE(N14,L14,R14,T14,P14)</f>
        <v>196.2</v>
      </c>
      <c r="X14" s="174"/>
    </row>
    <row r="15" spans="1:26" s="73" customFormat="1" ht="15" customHeight="1" thickBot="1" x14ac:dyDescent="0.25">
      <c r="A15" s="98" t="s">
        <v>17</v>
      </c>
      <c r="B15" s="89">
        <f t="shared" ref="B15:R15" si="0">SUM(B13:B14)</f>
        <v>371</v>
      </c>
      <c r="C15" s="100">
        <v>74</v>
      </c>
      <c r="D15" s="89">
        <f t="shared" si="0"/>
        <v>417</v>
      </c>
      <c r="E15" s="100">
        <v>57</v>
      </c>
      <c r="F15" s="89">
        <f t="shared" si="0"/>
        <v>418</v>
      </c>
      <c r="G15" s="642">
        <v>46</v>
      </c>
      <c r="H15" s="89">
        <f t="shared" si="0"/>
        <v>426</v>
      </c>
      <c r="I15" s="100">
        <v>54</v>
      </c>
      <c r="J15" s="89">
        <f t="shared" si="0"/>
        <v>464</v>
      </c>
      <c r="K15" s="100">
        <v>73</v>
      </c>
      <c r="L15" s="89">
        <f t="shared" si="0"/>
        <v>414</v>
      </c>
      <c r="M15" s="100">
        <v>70</v>
      </c>
      <c r="N15" s="640">
        <f t="shared" si="0"/>
        <v>357</v>
      </c>
      <c r="O15" s="100">
        <v>74</v>
      </c>
      <c r="P15" s="89">
        <f t="shared" si="0"/>
        <v>329</v>
      </c>
      <c r="Q15" s="100">
        <v>83</v>
      </c>
      <c r="R15" s="89">
        <f t="shared" si="0"/>
        <v>278</v>
      </c>
      <c r="S15" s="100">
        <v>71</v>
      </c>
      <c r="T15" s="640">
        <v>253</v>
      </c>
      <c r="U15" s="1281">
        <f t="shared" ref="U15" si="1">SUM(U13:U14)</f>
        <v>0</v>
      </c>
      <c r="W15" s="471">
        <f>AVERAGE(N15,L15,R15,T15,P15)</f>
        <v>326.2</v>
      </c>
      <c r="X15" s="472">
        <f>AVERAGE(O15,M15,K15,S15,Q15)</f>
        <v>74.2</v>
      </c>
    </row>
    <row r="16" spans="1:26" s="73" customFormat="1" ht="15" customHeight="1" x14ac:dyDescent="0.2">
      <c r="A16" s="636" t="s">
        <v>111</v>
      </c>
      <c r="B16" s="637"/>
      <c r="C16" s="638"/>
      <c r="D16" s="1215"/>
      <c r="E16" s="1216"/>
      <c r="F16" s="1215"/>
      <c r="G16" s="1216"/>
      <c r="H16" s="1215"/>
      <c r="I16" s="1216"/>
      <c r="J16" s="1215"/>
      <c r="K16" s="1216"/>
      <c r="L16" s="1215"/>
      <c r="M16" s="1216"/>
      <c r="N16" s="1215"/>
      <c r="O16" s="1216"/>
      <c r="P16" s="1215"/>
      <c r="Q16" s="150"/>
      <c r="R16" s="1278">
        <v>24</v>
      </c>
      <c r="S16" s="1279">
        <v>2</v>
      </c>
      <c r="T16" s="754">
        <v>49</v>
      </c>
      <c r="U16" s="1320"/>
      <c r="W16" s="631">
        <f>AVERAGE(N16,L16,R16,T16,P16)</f>
        <v>36.5</v>
      </c>
      <c r="X16" s="632">
        <f t="shared" ref="X16:X17" si="2">AVERAGE(O16,M16,K16,S16,Q16)</f>
        <v>2</v>
      </c>
    </row>
    <row r="17" spans="1:27" s="23" customFormat="1" ht="15" customHeight="1" thickBot="1" x14ac:dyDescent="0.25">
      <c r="A17" s="633" t="s">
        <v>20</v>
      </c>
      <c r="B17" s="634">
        <v>24</v>
      </c>
      <c r="C17" s="254">
        <v>8</v>
      </c>
      <c r="D17" s="635">
        <v>18</v>
      </c>
      <c r="E17" s="255">
        <v>7</v>
      </c>
      <c r="F17" s="634">
        <v>19</v>
      </c>
      <c r="G17" s="255">
        <v>5</v>
      </c>
      <c r="H17" s="634">
        <v>18</v>
      </c>
      <c r="I17" s="255">
        <v>6</v>
      </c>
      <c r="J17" s="634">
        <v>16</v>
      </c>
      <c r="K17" s="255">
        <v>6</v>
      </c>
      <c r="L17" s="634">
        <v>19</v>
      </c>
      <c r="M17" s="255">
        <v>6</v>
      </c>
      <c r="N17" s="634">
        <v>18</v>
      </c>
      <c r="O17" s="255">
        <v>3</v>
      </c>
      <c r="P17" s="634">
        <v>17</v>
      </c>
      <c r="Q17" s="255">
        <v>7</v>
      </c>
      <c r="R17" s="634">
        <v>14</v>
      </c>
      <c r="S17" s="255">
        <v>7</v>
      </c>
      <c r="T17" s="634">
        <v>12</v>
      </c>
      <c r="U17" s="1321"/>
      <c r="W17" s="16">
        <f>AVERAGE(N17,L17,R17,T17,P17)</f>
        <v>16</v>
      </c>
      <c r="X17" s="36">
        <f t="shared" si="2"/>
        <v>5.8</v>
      </c>
    </row>
    <row r="18" spans="1:27" ht="18" customHeight="1" thickTop="1" thickBot="1" x14ac:dyDescent="0.25">
      <c r="A18" s="298" t="s">
        <v>71</v>
      </c>
      <c r="B18" s="1380"/>
      <c r="C18" s="1381"/>
      <c r="D18" s="1380"/>
      <c r="E18" s="1381"/>
      <c r="F18" s="1380"/>
      <c r="G18" s="1381"/>
      <c r="H18" s="1380"/>
      <c r="I18" s="1381"/>
      <c r="J18" s="1380"/>
      <c r="K18" s="1381"/>
      <c r="L18" s="1380"/>
      <c r="M18" s="1381"/>
      <c r="N18" s="1380"/>
      <c r="O18" s="1381"/>
      <c r="P18" s="1380"/>
      <c r="Q18" s="1381"/>
      <c r="R18" s="1380"/>
      <c r="S18" s="1381"/>
      <c r="T18" s="1380"/>
      <c r="U18" s="1383"/>
      <c r="V18" s="226"/>
      <c r="W18" s="1382"/>
      <c r="X18" s="1383"/>
    </row>
    <row r="19" spans="1:27" ht="15" customHeight="1" x14ac:dyDescent="0.2">
      <c r="A19" s="1226" t="s">
        <v>79</v>
      </c>
      <c r="B19" s="384"/>
      <c r="C19" s="385"/>
      <c r="D19" s="384"/>
      <c r="E19" s="385"/>
      <c r="F19" s="384"/>
      <c r="G19" s="385"/>
      <c r="H19" s="384"/>
      <c r="I19" s="385"/>
      <c r="J19" s="384"/>
      <c r="K19" s="385"/>
      <c r="L19" s="384"/>
      <c r="M19" s="385"/>
      <c r="N19" s="384"/>
      <c r="O19" s="385"/>
      <c r="P19" s="384"/>
      <c r="Q19" s="385"/>
      <c r="R19" s="384"/>
      <c r="S19" s="385"/>
      <c r="T19" s="384"/>
      <c r="U19" s="386"/>
      <c r="V19" s="226"/>
      <c r="W19" s="851"/>
      <c r="X19" s="852" t="e">
        <f>AVERAGE(O19,M19,I19,K19,Q19)</f>
        <v>#DIV/0!</v>
      </c>
    </row>
    <row r="20" spans="1:27" ht="15" customHeight="1" x14ac:dyDescent="0.2">
      <c r="A20" s="303" t="s">
        <v>72</v>
      </c>
      <c r="B20" s="387"/>
      <c r="C20" s="388">
        <f>(3+38)/(3+47)</f>
        <v>0.82</v>
      </c>
      <c r="D20" s="387"/>
      <c r="E20" s="388">
        <v>0.76</v>
      </c>
      <c r="F20" s="387"/>
      <c r="G20" s="388">
        <v>0.69</v>
      </c>
      <c r="H20" s="387"/>
      <c r="I20" s="388">
        <v>0.78</v>
      </c>
      <c r="J20" s="387"/>
      <c r="K20" s="388">
        <v>0.8</v>
      </c>
      <c r="L20" s="387"/>
      <c r="M20" s="388">
        <v>0.69</v>
      </c>
      <c r="N20" s="387"/>
      <c r="O20" s="388">
        <v>0.82</v>
      </c>
      <c r="P20" s="387"/>
      <c r="Q20" s="388">
        <v>0.88</v>
      </c>
      <c r="R20" s="387"/>
      <c r="S20" s="388"/>
      <c r="T20" s="387"/>
      <c r="U20" s="1271"/>
      <c r="V20" s="226"/>
      <c r="W20" s="853"/>
      <c r="X20" s="1255">
        <f>AVERAGE(O20,M20,S20,K20,Q20)</f>
        <v>0.79749999999999988</v>
      </c>
    </row>
    <row r="21" spans="1:27" ht="15" customHeight="1" thickBot="1" x14ac:dyDescent="0.25">
      <c r="A21" s="539" t="s">
        <v>73</v>
      </c>
      <c r="B21" s="540"/>
      <c r="C21" s="541">
        <f>(1)/(3+47)</f>
        <v>0.02</v>
      </c>
      <c r="D21" s="540"/>
      <c r="E21" s="541">
        <v>0.06</v>
      </c>
      <c r="F21" s="540"/>
      <c r="G21" s="541">
        <v>0.1</v>
      </c>
      <c r="H21" s="540"/>
      <c r="I21" s="541">
        <v>0.14000000000000001</v>
      </c>
      <c r="J21" s="540"/>
      <c r="K21" s="541">
        <v>0.08</v>
      </c>
      <c r="L21" s="540"/>
      <c r="M21" s="541">
        <v>0.09</v>
      </c>
      <c r="N21" s="540"/>
      <c r="O21" s="541">
        <v>0.05</v>
      </c>
      <c r="P21" s="540"/>
      <c r="Q21" s="541">
        <v>0.13</v>
      </c>
      <c r="R21" s="540"/>
      <c r="S21" s="541"/>
      <c r="T21" s="540"/>
      <c r="U21" s="1272"/>
      <c r="V21" s="226"/>
      <c r="W21" s="854"/>
      <c r="X21" s="1255">
        <f>AVERAGE(O21,M21,S21,K21,Q21)</f>
        <v>8.7500000000000008E-2</v>
      </c>
    </row>
    <row r="22" spans="1:27" ht="18" customHeight="1" thickTop="1" thickBot="1" x14ac:dyDescent="0.25">
      <c r="A22" s="221" t="s">
        <v>78</v>
      </c>
      <c r="B22" s="1380"/>
      <c r="C22" s="1381"/>
      <c r="D22" s="1380"/>
      <c r="E22" s="1381"/>
      <c r="F22" s="1380"/>
      <c r="G22" s="1381"/>
      <c r="H22" s="1380"/>
      <c r="I22" s="1381"/>
      <c r="J22" s="1380"/>
      <c r="K22" s="1381"/>
      <c r="L22" s="1380"/>
      <c r="M22" s="1381"/>
      <c r="N22" s="1380"/>
      <c r="O22" s="1381"/>
      <c r="P22" s="1380"/>
      <c r="Q22" s="1381"/>
      <c r="R22" s="1380"/>
      <c r="S22" s="1381"/>
      <c r="T22" s="1380"/>
      <c r="U22" s="1383"/>
      <c r="V22" s="226"/>
      <c r="W22" s="1382"/>
      <c r="X22" s="1383"/>
    </row>
    <row r="23" spans="1:27" ht="15" customHeight="1" thickBot="1" x14ac:dyDescent="0.25">
      <c r="A23" s="222" t="s">
        <v>204</v>
      </c>
      <c r="B23" s="223"/>
      <c r="C23" s="224">
        <v>23</v>
      </c>
      <c r="D23" s="223"/>
      <c r="E23" s="224">
        <v>23</v>
      </c>
      <c r="F23" s="223"/>
      <c r="G23" s="224">
        <v>23.1</v>
      </c>
      <c r="H23" s="223"/>
      <c r="I23" s="224">
        <v>22.9</v>
      </c>
      <c r="J23" s="223"/>
      <c r="K23" s="224">
        <v>22.8</v>
      </c>
      <c r="L23" s="223"/>
      <c r="M23" s="224">
        <v>23.9</v>
      </c>
      <c r="N23" s="223"/>
      <c r="O23" s="224">
        <v>23.7</v>
      </c>
      <c r="P23" s="223"/>
      <c r="Q23" s="224">
        <v>23.2</v>
      </c>
      <c r="R23" s="223"/>
      <c r="S23" s="224">
        <v>22.9</v>
      </c>
      <c r="T23" s="223"/>
      <c r="U23" s="225"/>
      <c r="V23" s="226"/>
      <c r="W23" s="247"/>
      <c r="X23" s="757">
        <f>AVERAGE(O23,M23,S23,U23,Q23)</f>
        <v>23.425000000000001</v>
      </c>
    </row>
    <row r="24" spans="1:27" ht="18" customHeight="1" thickTop="1" thickBot="1" x14ac:dyDescent="0.25">
      <c r="A24" s="314" t="s">
        <v>22</v>
      </c>
      <c r="B24" s="1380"/>
      <c r="C24" s="1381"/>
      <c r="D24" s="1380"/>
      <c r="E24" s="1381"/>
      <c r="F24" s="1380"/>
      <c r="G24" s="1381"/>
      <c r="H24" s="1380"/>
      <c r="I24" s="1381"/>
      <c r="J24" s="1380"/>
      <c r="K24" s="1381"/>
      <c r="L24" s="1380"/>
      <c r="M24" s="1381"/>
      <c r="N24" s="1380"/>
      <c r="O24" s="1381"/>
      <c r="P24" s="1380"/>
      <c r="Q24" s="1381"/>
      <c r="R24" s="1380"/>
      <c r="S24" s="1381"/>
      <c r="T24" s="1380"/>
      <c r="U24" s="1383"/>
      <c r="V24" s="226"/>
      <c r="W24" s="1382"/>
      <c r="X24" s="1383"/>
    </row>
    <row r="25" spans="1:27" ht="15" customHeight="1" x14ac:dyDescent="0.2">
      <c r="A25" s="305" t="s">
        <v>24</v>
      </c>
      <c r="B25" s="315"/>
      <c r="C25" s="209">
        <v>5567</v>
      </c>
      <c r="D25" s="316"/>
      <c r="E25" s="321">
        <v>6172</v>
      </c>
      <c r="F25" s="315"/>
      <c r="G25" s="321">
        <v>5922</v>
      </c>
      <c r="H25" s="315"/>
      <c r="I25" s="321">
        <v>5625</v>
      </c>
      <c r="J25" s="315"/>
      <c r="K25" s="321">
        <v>5740</v>
      </c>
      <c r="L25" s="315"/>
      <c r="M25" s="321">
        <v>5697</v>
      </c>
      <c r="N25" s="315"/>
      <c r="O25" s="321">
        <v>4509</v>
      </c>
      <c r="P25" s="315"/>
      <c r="Q25" s="321">
        <v>3666</v>
      </c>
      <c r="R25" s="315"/>
      <c r="S25" s="321">
        <v>3572</v>
      </c>
      <c r="T25" s="315"/>
      <c r="U25" s="1273"/>
      <c r="V25" s="226"/>
      <c r="W25" s="50"/>
      <c r="X25" s="51">
        <f>AVERAGE(O25,M25,S25,K25,Q25)</f>
        <v>4636.8</v>
      </c>
    </row>
    <row r="26" spans="1:27" ht="15" customHeight="1" x14ac:dyDescent="0.2">
      <c r="A26" s="305" t="s">
        <v>25</v>
      </c>
      <c r="B26" s="315"/>
      <c r="C26" s="209">
        <v>3635</v>
      </c>
      <c r="D26" s="316"/>
      <c r="E26" s="321">
        <v>3674</v>
      </c>
      <c r="F26" s="315"/>
      <c r="G26" s="321">
        <v>3316</v>
      </c>
      <c r="H26" s="315"/>
      <c r="I26" s="321">
        <v>4032</v>
      </c>
      <c r="J26" s="315"/>
      <c r="K26" s="321">
        <v>4147</v>
      </c>
      <c r="L26" s="315"/>
      <c r="M26" s="321">
        <v>4246</v>
      </c>
      <c r="N26" s="315"/>
      <c r="O26" s="321">
        <v>4795</v>
      </c>
      <c r="P26" s="315"/>
      <c r="Q26" s="321">
        <v>4444</v>
      </c>
      <c r="R26" s="315"/>
      <c r="S26" s="321">
        <v>4117</v>
      </c>
      <c r="T26" s="315"/>
      <c r="U26" s="1273"/>
      <c r="V26" s="226"/>
      <c r="W26" s="52"/>
      <c r="X26" s="51">
        <f t="shared" ref="X26:X29" si="3">AVERAGE(O26,M26,S26,K26,Q26)</f>
        <v>4349.8</v>
      </c>
    </row>
    <row r="27" spans="1:27" ht="15" customHeight="1" x14ac:dyDescent="0.2">
      <c r="A27" s="305" t="s">
        <v>26</v>
      </c>
      <c r="B27" s="315"/>
      <c r="C27" s="209">
        <v>415</v>
      </c>
      <c r="D27" s="316"/>
      <c r="E27" s="321">
        <v>247</v>
      </c>
      <c r="F27" s="315"/>
      <c r="G27" s="321">
        <v>312</v>
      </c>
      <c r="H27" s="315"/>
      <c r="I27" s="321">
        <v>217</v>
      </c>
      <c r="J27" s="315"/>
      <c r="K27" s="321">
        <v>261</v>
      </c>
      <c r="L27" s="315"/>
      <c r="M27" s="321">
        <v>266</v>
      </c>
      <c r="N27" s="315"/>
      <c r="O27" s="321">
        <v>241</v>
      </c>
      <c r="P27" s="315"/>
      <c r="Q27" s="321">
        <v>274</v>
      </c>
      <c r="R27" s="315"/>
      <c r="S27" s="321">
        <v>208</v>
      </c>
      <c r="T27" s="315"/>
      <c r="U27" s="1273"/>
      <c r="V27" s="226"/>
      <c r="W27" s="52"/>
      <c r="X27" s="51">
        <f t="shared" si="3"/>
        <v>250</v>
      </c>
    </row>
    <row r="28" spans="1:27" ht="15" customHeight="1" thickBot="1" x14ac:dyDescent="0.25">
      <c r="A28" s="305" t="s">
        <v>27</v>
      </c>
      <c r="B28" s="83"/>
      <c r="C28" s="474">
        <v>0</v>
      </c>
      <c r="D28" s="475"/>
      <c r="E28" s="325">
        <v>0</v>
      </c>
      <c r="F28" s="83"/>
      <c r="G28" s="325">
        <v>0</v>
      </c>
      <c r="H28" s="83"/>
      <c r="I28" s="325">
        <v>0</v>
      </c>
      <c r="J28" s="83"/>
      <c r="K28" s="325">
        <v>0</v>
      </c>
      <c r="L28" s="83"/>
      <c r="M28" s="325">
        <v>0</v>
      </c>
      <c r="N28" s="83"/>
      <c r="O28" s="325">
        <v>0</v>
      </c>
      <c r="P28" s="83"/>
      <c r="Q28" s="325">
        <v>0</v>
      </c>
      <c r="R28" s="83"/>
      <c r="S28" s="325">
        <v>0</v>
      </c>
      <c r="T28" s="83"/>
      <c r="U28" s="1274"/>
      <c r="V28" s="226"/>
      <c r="W28" s="63"/>
      <c r="X28" s="484">
        <f t="shared" si="3"/>
        <v>0</v>
      </c>
    </row>
    <row r="29" spans="1:27" ht="15" customHeight="1" thickBot="1" x14ac:dyDescent="0.25">
      <c r="A29" s="327" t="s">
        <v>28</v>
      </c>
      <c r="B29" s="328"/>
      <c r="C29" s="329">
        <f>SUM(C25:C28)</f>
        <v>9617</v>
      </c>
      <c r="D29" s="330"/>
      <c r="E29" s="331">
        <f>SUM(E25:E28)</f>
        <v>10093</v>
      </c>
      <c r="F29" s="328"/>
      <c r="G29" s="331">
        <f>SUM(G25:G28)</f>
        <v>9550</v>
      </c>
      <c r="H29" s="328"/>
      <c r="I29" s="331">
        <f>SUM(I25:I28)</f>
        <v>9874</v>
      </c>
      <c r="J29" s="328"/>
      <c r="K29" s="331">
        <f>SUM(K25:K28)</f>
        <v>10148</v>
      </c>
      <c r="L29" s="328"/>
      <c r="M29" s="331">
        <f>SUM(M25:M28)</f>
        <v>10209</v>
      </c>
      <c r="N29" s="328"/>
      <c r="O29" s="331">
        <f>SUM(O25:O28)</f>
        <v>9545</v>
      </c>
      <c r="P29" s="328"/>
      <c r="Q29" s="331">
        <f>SUM(Q25:Q28)</f>
        <v>8384</v>
      </c>
      <c r="R29" s="328"/>
      <c r="S29" s="331">
        <f>SUM(S25:S28)</f>
        <v>7897</v>
      </c>
      <c r="T29" s="328"/>
      <c r="U29" s="1277">
        <f>SUM(U25:U28)</f>
        <v>0</v>
      </c>
      <c r="V29" s="226"/>
      <c r="W29" s="485"/>
      <c r="X29" s="486">
        <f t="shared" si="3"/>
        <v>9236.6</v>
      </c>
    </row>
    <row r="30" spans="1:27" ht="15" customHeight="1" thickTop="1" thickBot="1" x14ac:dyDescent="0.25">
      <c r="A30" s="280"/>
      <c r="B30" s="332"/>
      <c r="C30" s="333"/>
      <c r="D30" s="332"/>
      <c r="E30" s="333"/>
      <c r="F30" s="332"/>
      <c r="G30" s="333"/>
      <c r="H30" s="332"/>
      <c r="I30" s="333"/>
      <c r="J30" s="332"/>
      <c r="K30" s="333"/>
      <c r="L30" s="332"/>
      <c r="M30" s="333"/>
      <c r="N30" s="332"/>
      <c r="O30" s="333"/>
      <c r="P30" s="332"/>
      <c r="Q30" s="333"/>
      <c r="R30" s="332"/>
      <c r="S30" s="333"/>
      <c r="T30" s="332"/>
      <c r="U30" s="333"/>
      <c r="V30" s="334"/>
      <c r="W30" s="335"/>
      <c r="X30" s="333"/>
    </row>
    <row r="31" spans="1:27" ht="18" customHeight="1" thickTop="1" thickBot="1" x14ac:dyDescent="0.25">
      <c r="A31" s="175" t="s">
        <v>29</v>
      </c>
      <c r="B31" s="1385" t="s">
        <v>30</v>
      </c>
      <c r="C31" s="1395"/>
      <c r="D31" s="1385" t="s">
        <v>31</v>
      </c>
      <c r="E31" s="1396"/>
      <c r="F31" s="1385" t="s">
        <v>32</v>
      </c>
      <c r="G31" s="1396"/>
      <c r="H31" s="1385" t="s">
        <v>33</v>
      </c>
      <c r="I31" s="1396"/>
      <c r="J31" s="1385" t="s">
        <v>34</v>
      </c>
      <c r="K31" s="1396"/>
      <c r="L31" s="1385" t="s">
        <v>35</v>
      </c>
      <c r="M31" s="1396"/>
      <c r="N31" s="1385" t="s">
        <v>36</v>
      </c>
      <c r="O31" s="1396"/>
      <c r="P31" s="1385" t="s">
        <v>37</v>
      </c>
      <c r="Q31" s="1396"/>
      <c r="R31" s="1385" t="s">
        <v>38</v>
      </c>
      <c r="S31" s="1396"/>
      <c r="T31" s="1385" t="s">
        <v>302</v>
      </c>
      <c r="U31" s="1386"/>
      <c r="V31" s="176"/>
      <c r="W31" s="1382" t="s">
        <v>9</v>
      </c>
      <c r="X31" s="1383"/>
      <c r="Y31" s="56"/>
      <c r="Z31" s="56"/>
      <c r="AA31" s="57"/>
    </row>
    <row r="32" spans="1:27" ht="15" customHeight="1" x14ac:dyDescent="0.2">
      <c r="A32" s="1068" t="s">
        <v>244</v>
      </c>
      <c r="B32" s="177"/>
      <c r="C32" s="178">
        <v>0.57399999999999995</v>
      </c>
      <c r="D32" s="179"/>
      <c r="E32" s="180">
        <v>0.59899999999999998</v>
      </c>
      <c r="F32" s="181"/>
      <c r="G32" s="180">
        <v>0.65</v>
      </c>
      <c r="H32" s="181"/>
      <c r="I32" s="180">
        <v>0.63100000000000001</v>
      </c>
      <c r="J32" s="181"/>
      <c r="K32" s="180">
        <v>0.70399999999999996</v>
      </c>
      <c r="L32" s="181"/>
      <c r="M32" s="180">
        <v>0.61899999999999999</v>
      </c>
      <c r="N32" s="181"/>
      <c r="O32" s="180">
        <v>0.60499999999999998</v>
      </c>
      <c r="P32" s="181"/>
      <c r="Q32" s="180">
        <v>0.63300000000000001</v>
      </c>
      <c r="R32" s="181"/>
      <c r="S32" s="180">
        <v>0.59299999999999997</v>
      </c>
      <c r="T32" s="181"/>
      <c r="U32" s="182">
        <v>0.58399999999999996</v>
      </c>
      <c r="V32" s="183"/>
      <c r="W32" s="469"/>
      <c r="X32" s="594">
        <f>AVERAGE(Q32,O32,M32,U32,S32)</f>
        <v>0.60680000000000001</v>
      </c>
      <c r="Y32" s="56"/>
      <c r="Z32" s="56"/>
      <c r="AA32" s="57"/>
    </row>
    <row r="33" spans="1:27" ht="15" customHeight="1" x14ac:dyDescent="0.2">
      <c r="A33" s="1069" t="s">
        <v>245</v>
      </c>
      <c r="B33" s="184"/>
      <c r="C33" s="185">
        <v>5.3999999999999999E-2</v>
      </c>
      <c r="D33" s="184"/>
      <c r="E33" s="185">
        <v>3.3000000000000002E-2</v>
      </c>
      <c r="F33" s="186"/>
      <c r="G33" s="185">
        <v>0.04</v>
      </c>
      <c r="H33" s="186"/>
      <c r="I33" s="185">
        <v>3.3000000000000002E-2</v>
      </c>
      <c r="J33" s="186"/>
      <c r="K33" s="185">
        <v>3.4000000000000002E-2</v>
      </c>
      <c r="L33" s="186"/>
      <c r="M33" s="185">
        <v>3.5999999999999997E-2</v>
      </c>
      <c r="N33" s="186"/>
      <c r="O33" s="185">
        <v>3.6999999999999998E-2</v>
      </c>
      <c r="P33" s="186"/>
      <c r="Q33" s="185">
        <v>3.9E-2</v>
      </c>
      <c r="R33" s="186"/>
      <c r="S33" s="185">
        <v>3.5000000000000003E-2</v>
      </c>
      <c r="T33" s="186"/>
      <c r="U33" s="187">
        <v>3.2000000000000001E-2</v>
      </c>
      <c r="V33" s="183"/>
      <c r="W33" s="469"/>
      <c r="X33" s="594">
        <f>AVERAGE(Q33,O33,M33,U33,S33)</f>
        <v>3.5799999999999998E-2</v>
      </c>
      <c r="Y33" s="56"/>
      <c r="Z33" s="56"/>
      <c r="AA33" s="57"/>
    </row>
    <row r="34" spans="1:27" ht="15" customHeight="1" thickBot="1" x14ac:dyDescent="0.25">
      <c r="A34" s="189" t="s">
        <v>243</v>
      </c>
      <c r="B34" s="1403">
        <f>1-C32-C33</f>
        <v>0.37200000000000005</v>
      </c>
      <c r="C34" s="1404"/>
      <c r="D34" s="1403">
        <f>1-E32-E33</f>
        <v>0.36799999999999999</v>
      </c>
      <c r="E34" s="1404"/>
      <c r="F34" s="1403">
        <f>1-G32-G33</f>
        <v>0.31</v>
      </c>
      <c r="G34" s="1404"/>
      <c r="H34" s="1403">
        <f>1-I32-I33</f>
        <v>0.33599999999999997</v>
      </c>
      <c r="I34" s="1404"/>
      <c r="J34" s="1403">
        <f>1-K32-K33</f>
        <v>0.26200000000000001</v>
      </c>
      <c r="K34" s="1404"/>
      <c r="L34" s="1403">
        <f>1-M32-M33</f>
        <v>0.34500000000000003</v>
      </c>
      <c r="M34" s="1404"/>
      <c r="N34" s="1403">
        <f>1-O32-O33</f>
        <v>0.35800000000000004</v>
      </c>
      <c r="O34" s="1404"/>
      <c r="P34" s="1403">
        <f>1-Q32-Q33</f>
        <v>0.32800000000000001</v>
      </c>
      <c r="Q34" s="1404"/>
      <c r="R34" s="1403">
        <f>1-S32-S33</f>
        <v>0.372</v>
      </c>
      <c r="S34" s="1404"/>
      <c r="T34" s="1403">
        <f>1-U32-U33</f>
        <v>0.38400000000000001</v>
      </c>
      <c r="U34" s="1406"/>
      <c r="V34" s="183"/>
      <c r="W34" s="1390">
        <f>1-X32-X33</f>
        <v>0.3574</v>
      </c>
      <c r="X34" s="1391"/>
      <c r="Y34" s="58"/>
      <c r="Z34" s="56"/>
      <c r="AA34" s="57"/>
    </row>
    <row r="35" spans="1:27" s="3" customFormat="1" ht="18" customHeight="1" thickTop="1" thickBot="1" x14ac:dyDescent="0.25">
      <c r="A35" s="194" t="s">
        <v>67</v>
      </c>
      <c r="B35" s="227" t="s">
        <v>39</v>
      </c>
      <c r="C35" s="228" t="s">
        <v>74</v>
      </c>
      <c r="D35" s="227" t="s">
        <v>39</v>
      </c>
      <c r="E35" s="228" t="s">
        <v>74</v>
      </c>
      <c r="F35" s="227" t="s">
        <v>39</v>
      </c>
      <c r="G35" s="228" t="s">
        <v>74</v>
      </c>
      <c r="H35" s="227" t="s">
        <v>39</v>
      </c>
      <c r="I35" s="228" t="s">
        <v>74</v>
      </c>
      <c r="J35" s="227" t="s">
        <v>39</v>
      </c>
      <c r="K35" s="228" t="s">
        <v>74</v>
      </c>
      <c r="L35" s="227" t="s">
        <v>39</v>
      </c>
      <c r="M35" s="228" t="s">
        <v>74</v>
      </c>
      <c r="N35" s="227" t="s">
        <v>39</v>
      </c>
      <c r="O35" s="228" t="s">
        <v>74</v>
      </c>
      <c r="P35" s="227" t="s">
        <v>39</v>
      </c>
      <c r="Q35" s="228" t="s">
        <v>74</v>
      </c>
      <c r="R35" s="227" t="s">
        <v>39</v>
      </c>
      <c r="S35" s="228" t="s">
        <v>74</v>
      </c>
      <c r="T35" s="227" t="s">
        <v>39</v>
      </c>
      <c r="U35" s="229" t="s">
        <v>74</v>
      </c>
      <c r="V35" s="230"/>
      <c r="W35" s="1071" t="s">
        <v>39</v>
      </c>
      <c r="X35" s="229" t="s">
        <v>74</v>
      </c>
    </row>
    <row r="36" spans="1:27" ht="15" customHeight="1" thickBot="1" x14ac:dyDescent="0.25">
      <c r="A36" s="535" t="s">
        <v>68</v>
      </c>
      <c r="B36" s="536"/>
      <c r="C36" s="537">
        <f>B36/B17</f>
        <v>0</v>
      </c>
      <c r="D36" s="536"/>
      <c r="E36" s="537">
        <f>D36/D17</f>
        <v>0</v>
      </c>
      <c r="F36" s="536"/>
      <c r="G36" s="537">
        <f>F36/F17</f>
        <v>0</v>
      </c>
      <c r="H36" s="536">
        <v>15</v>
      </c>
      <c r="I36" s="537">
        <f>H36/H17</f>
        <v>0.83333333333333337</v>
      </c>
      <c r="J36" s="536">
        <v>15</v>
      </c>
      <c r="K36" s="537">
        <f>J36/J17</f>
        <v>0.9375</v>
      </c>
      <c r="L36" s="536">
        <v>12</v>
      </c>
      <c r="M36" s="537">
        <f>L36/L17</f>
        <v>0.63157894736842102</v>
      </c>
      <c r="N36" s="536">
        <v>16</v>
      </c>
      <c r="O36" s="537">
        <f>N36/N17</f>
        <v>0.88888888888888884</v>
      </c>
      <c r="P36" s="536">
        <v>16</v>
      </c>
      <c r="Q36" s="537">
        <f>P36/P17</f>
        <v>0.94117647058823528</v>
      </c>
      <c r="R36" s="536">
        <v>13</v>
      </c>
      <c r="S36" s="537">
        <f>R36/R17</f>
        <v>0.9285714285714286</v>
      </c>
      <c r="T36" s="536"/>
      <c r="U36" s="538">
        <f>T36/T17</f>
        <v>0</v>
      </c>
      <c r="V36" s="226"/>
      <c r="W36" s="242">
        <f>AVERAGE(N36,L36,R36,T36,P36)</f>
        <v>14.25</v>
      </c>
      <c r="X36" s="241">
        <f>W36/W17</f>
        <v>0.890625</v>
      </c>
    </row>
    <row r="37" spans="1:27" ht="15" customHeight="1" thickTop="1" x14ac:dyDescent="0.2">
      <c r="A37" s="37" t="s">
        <v>288</v>
      </c>
      <c r="B37" s="650"/>
      <c r="C37" s="650"/>
      <c r="D37" s="650"/>
      <c r="E37" s="650"/>
      <c r="F37" s="650"/>
      <c r="G37" s="650"/>
      <c r="H37" s="650"/>
      <c r="I37" s="650"/>
      <c r="J37" s="650"/>
      <c r="K37" s="650"/>
      <c r="L37" s="650"/>
      <c r="M37" s="650"/>
      <c r="N37" s="650"/>
      <c r="O37" s="650"/>
      <c r="P37" s="650"/>
      <c r="Q37" s="650"/>
      <c r="R37" s="650"/>
      <c r="S37" s="650"/>
      <c r="T37" s="650"/>
      <c r="U37" s="650"/>
      <c r="V37" s="651"/>
      <c r="W37" s="650"/>
      <c r="X37" s="650"/>
      <c r="Y37" s="56"/>
      <c r="Z37" s="56"/>
      <c r="AA37" s="57"/>
    </row>
    <row r="38" spans="1:27" ht="15" customHeight="1" thickBot="1" x14ac:dyDescent="0.25">
      <c r="A38" s="37"/>
      <c r="B38" s="650"/>
      <c r="C38" s="650"/>
      <c r="D38" s="650"/>
      <c r="E38" s="650"/>
      <c r="F38" s="650"/>
      <c r="G38" s="650"/>
      <c r="H38" s="650"/>
      <c r="I38" s="650"/>
      <c r="J38" s="650"/>
      <c r="K38" s="650"/>
      <c r="L38" s="650"/>
      <c r="M38" s="650"/>
      <c r="N38" s="650"/>
      <c r="O38" s="650"/>
      <c r="P38" s="650"/>
      <c r="Q38" s="650"/>
      <c r="R38" s="650"/>
      <c r="S38" s="650"/>
      <c r="T38" s="650"/>
      <c r="U38" s="650"/>
      <c r="V38" s="651"/>
      <c r="W38" s="650"/>
      <c r="X38" s="650"/>
      <c r="Y38" s="56"/>
      <c r="Z38" s="56"/>
      <c r="AA38" s="57"/>
    </row>
    <row r="39" spans="1:27" s="1" customFormat="1" ht="18.75" customHeight="1" thickTop="1" thickBot="1" x14ac:dyDescent="0.25">
      <c r="A39" s="175" t="s">
        <v>247</v>
      </c>
      <c r="B39" s="1385" t="s">
        <v>30</v>
      </c>
      <c r="C39" s="1395"/>
      <c r="D39" s="1385" t="s">
        <v>31</v>
      </c>
      <c r="E39" s="1396"/>
      <c r="F39" s="1385" t="s">
        <v>32</v>
      </c>
      <c r="G39" s="1396"/>
      <c r="H39" s="1385" t="s">
        <v>33</v>
      </c>
      <c r="I39" s="1396"/>
      <c r="J39" s="1385" t="s">
        <v>34</v>
      </c>
      <c r="K39" s="1396"/>
      <c r="L39" s="1385" t="s">
        <v>35</v>
      </c>
      <c r="M39" s="1396"/>
      <c r="N39" s="1385" t="s">
        <v>36</v>
      </c>
      <c r="O39" s="1396"/>
      <c r="P39" s="1385" t="s">
        <v>37</v>
      </c>
      <c r="Q39" s="1396"/>
      <c r="R39" s="1385" t="s">
        <v>38</v>
      </c>
      <c r="S39" s="1396"/>
      <c r="T39" s="1385" t="s">
        <v>302</v>
      </c>
      <c r="U39" s="1386"/>
      <c r="V39" s="195"/>
      <c r="W39" s="1382" t="s">
        <v>9</v>
      </c>
      <c r="X39" s="1383"/>
    </row>
    <row r="40" spans="1:27" s="1" customFormat="1" ht="24" x14ac:dyDescent="0.2">
      <c r="A40" s="715" t="s">
        <v>289</v>
      </c>
      <c r="B40" s="711"/>
      <c r="C40" s="529"/>
      <c r="D40" s="711"/>
      <c r="E40" s="712"/>
      <c r="F40" s="711"/>
      <c r="G40" s="712"/>
      <c r="H40" s="711"/>
      <c r="I40" s="712"/>
      <c r="J40" s="711"/>
      <c r="K40" s="712"/>
      <c r="L40" s="711"/>
      <c r="M40" s="712"/>
      <c r="N40" s="711"/>
      <c r="O40" s="712"/>
      <c r="P40" s="711"/>
      <c r="Q40" s="712"/>
      <c r="R40" s="711"/>
      <c r="S40" s="712"/>
      <c r="T40" s="713"/>
      <c r="U40" s="714"/>
      <c r="V40" s="195"/>
      <c r="W40" s="272"/>
      <c r="X40" s="271"/>
    </row>
    <row r="41" spans="1:27" s="1" customFormat="1" ht="24" x14ac:dyDescent="0.2">
      <c r="A41" s="721" t="s">
        <v>237</v>
      </c>
      <c r="B41" s="186"/>
      <c r="C41" s="653">
        <v>15</v>
      </c>
      <c r="D41" s="186"/>
      <c r="E41" s="653">
        <v>17</v>
      </c>
      <c r="F41" s="186"/>
      <c r="G41" s="653">
        <v>17</v>
      </c>
      <c r="H41" s="186"/>
      <c r="I41" s="653">
        <v>16</v>
      </c>
      <c r="J41" s="186"/>
      <c r="K41" s="653">
        <v>16</v>
      </c>
      <c r="L41" s="186"/>
      <c r="M41" s="653">
        <v>18</v>
      </c>
      <c r="N41" s="186"/>
      <c r="O41" s="653">
        <v>17</v>
      </c>
      <c r="P41" s="186"/>
      <c r="Q41" s="653">
        <v>18</v>
      </c>
      <c r="R41" s="186"/>
      <c r="S41" s="653">
        <v>18</v>
      </c>
      <c r="T41" s="654"/>
      <c r="U41" s="340"/>
      <c r="V41" s="195"/>
      <c r="W41" s="347"/>
      <c r="X41" s="659">
        <f>AVERAGE(O41,M41,S41,U41,Q41)</f>
        <v>17.75</v>
      </c>
    </row>
    <row r="42" spans="1:27" s="1" customFormat="1" ht="24" x14ac:dyDescent="0.2">
      <c r="A42" s="721" t="s">
        <v>239</v>
      </c>
      <c r="B42" s="654"/>
      <c r="C42" s="716">
        <v>15</v>
      </c>
      <c r="D42" s="654"/>
      <c r="E42" s="716">
        <v>17</v>
      </c>
      <c r="F42" s="654"/>
      <c r="G42" s="716">
        <v>17</v>
      </c>
      <c r="H42" s="654"/>
      <c r="I42" s="716">
        <v>16</v>
      </c>
      <c r="J42" s="654"/>
      <c r="K42" s="716">
        <v>16</v>
      </c>
      <c r="L42" s="654"/>
      <c r="M42" s="716">
        <v>18</v>
      </c>
      <c r="N42" s="654"/>
      <c r="O42" s="716">
        <v>17</v>
      </c>
      <c r="P42" s="654"/>
      <c r="Q42" s="716">
        <v>18</v>
      </c>
      <c r="R42" s="654"/>
      <c r="S42" s="716">
        <v>18</v>
      </c>
      <c r="T42" s="654"/>
      <c r="U42" s="340"/>
      <c r="V42" s="195"/>
      <c r="W42" s="1252"/>
      <c r="X42" s="394">
        <f t="shared" ref="X42:X43" si="4">AVERAGE(O42,M42,S42,U42,Q42)</f>
        <v>17.75</v>
      </c>
    </row>
    <row r="43" spans="1:27" s="1" customFormat="1" ht="15" customHeight="1" thickBot="1" x14ac:dyDescent="0.25">
      <c r="A43" s="942" t="s">
        <v>238</v>
      </c>
      <c r="B43" s="943"/>
      <c r="C43" s="944">
        <v>14.85</v>
      </c>
      <c r="D43" s="943"/>
      <c r="E43" s="944">
        <v>17</v>
      </c>
      <c r="F43" s="943"/>
      <c r="G43" s="944">
        <v>17.600000000000001</v>
      </c>
      <c r="H43" s="943"/>
      <c r="I43" s="944">
        <v>16</v>
      </c>
      <c r="J43" s="943"/>
      <c r="K43" s="944">
        <v>16</v>
      </c>
      <c r="L43" s="943"/>
      <c r="M43" s="944">
        <v>18</v>
      </c>
      <c r="N43" s="943"/>
      <c r="O43" s="944">
        <v>17</v>
      </c>
      <c r="P43" s="943"/>
      <c r="Q43" s="944">
        <v>18.399999999999999</v>
      </c>
      <c r="R43" s="943"/>
      <c r="S43" s="944">
        <v>18</v>
      </c>
      <c r="T43" s="956"/>
      <c r="U43" s="957"/>
      <c r="V43" s="195"/>
      <c r="W43" s="950"/>
      <c r="X43" s="1253">
        <f t="shared" si="4"/>
        <v>17.850000000000001</v>
      </c>
    </row>
    <row r="44" spans="1:27" s="1" customFormat="1" ht="18" customHeight="1" thickBot="1" x14ac:dyDescent="0.25">
      <c r="A44" s="795" t="s">
        <v>264</v>
      </c>
      <c r="B44" s="1027" t="s">
        <v>40</v>
      </c>
      <c r="C44" s="1015" t="s">
        <v>41</v>
      </c>
      <c r="D44" s="1014" t="s">
        <v>40</v>
      </c>
      <c r="E44" s="1015" t="s">
        <v>41</v>
      </c>
      <c r="F44" s="1014" t="s">
        <v>40</v>
      </c>
      <c r="G44" s="1015" t="s">
        <v>41</v>
      </c>
      <c r="H44" s="1014" t="s">
        <v>40</v>
      </c>
      <c r="I44" s="1015" t="s">
        <v>41</v>
      </c>
      <c r="J44" s="1014" t="s">
        <v>40</v>
      </c>
      <c r="K44" s="1015" t="s">
        <v>41</v>
      </c>
      <c r="L44" s="1014" t="s">
        <v>40</v>
      </c>
      <c r="M44" s="1015" t="s">
        <v>41</v>
      </c>
      <c r="N44" s="1014" t="s">
        <v>40</v>
      </c>
      <c r="O44" s="1015" t="s">
        <v>41</v>
      </c>
      <c r="P44" s="1014" t="s">
        <v>40</v>
      </c>
      <c r="Q44" s="1015" t="s">
        <v>41</v>
      </c>
      <c r="R44" s="1014" t="s">
        <v>40</v>
      </c>
      <c r="S44" s="1015" t="s">
        <v>41</v>
      </c>
      <c r="T44" s="1014" t="s">
        <v>40</v>
      </c>
      <c r="U44" s="1016" t="s">
        <v>41</v>
      </c>
      <c r="V44" s="195"/>
      <c r="W44" s="1254" t="s">
        <v>40</v>
      </c>
      <c r="X44" s="804" t="s">
        <v>41</v>
      </c>
    </row>
    <row r="45" spans="1:27" s="1" customFormat="1" ht="15" customHeight="1" x14ac:dyDescent="0.2">
      <c r="A45" s="680" t="s">
        <v>42</v>
      </c>
      <c r="B45" s="806"/>
      <c r="C45" s="807"/>
      <c r="D45" s="808"/>
      <c r="E45" s="807"/>
      <c r="F45" s="808"/>
      <c r="G45" s="807"/>
      <c r="H45" s="808"/>
      <c r="I45" s="807"/>
      <c r="J45" s="808"/>
      <c r="K45" s="807"/>
      <c r="L45" s="808"/>
      <c r="M45" s="807"/>
      <c r="N45" s="808"/>
      <c r="O45" s="807"/>
      <c r="P45" s="808"/>
      <c r="Q45" s="807"/>
      <c r="R45" s="808"/>
      <c r="S45" s="807"/>
      <c r="T45" s="808"/>
      <c r="U45" s="1013"/>
      <c r="V45" s="195"/>
      <c r="W45" s="1029"/>
      <c r="X45" s="1030"/>
    </row>
    <row r="46" spans="1:27" s="1" customFormat="1" ht="15" customHeight="1" x14ac:dyDescent="0.2">
      <c r="A46" s="678" t="s">
        <v>43</v>
      </c>
      <c r="B46" s="260"/>
      <c r="C46" s="811">
        <v>18</v>
      </c>
      <c r="D46" s="258"/>
      <c r="E46" s="811">
        <v>18</v>
      </c>
      <c r="F46" s="258"/>
      <c r="G46" s="811">
        <v>18</v>
      </c>
      <c r="H46" s="258"/>
      <c r="I46" s="811">
        <v>17</v>
      </c>
      <c r="J46" s="813">
        <v>16</v>
      </c>
      <c r="K46" s="811">
        <v>16</v>
      </c>
      <c r="L46" s="813">
        <v>18</v>
      </c>
      <c r="M46" s="811">
        <v>18</v>
      </c>
      <c r="N46" s="813">
        <v>17</v>
      </c>
      <c r="O46" s="811">
        <v>17</v>
      </c>
      <c r="P46" s="813">
        <v>18</v>
      </c>
      <c r="Q46" s="811">
        <v>18</v>
      </c>
      <c r="R46" s="813">
        <v>18</v>
      </c>
      <c r="S46" s="811">
        <v>18</v>
      </c>
      <c r="T46" s="813"/>
      <c r="U46" s="932"/>
      <c r="V46" s="195"/>
      <c r="W46" s="936">
        <f>AVERAGE(T46,L46,N46,P46,R46)</f>
        <v>17.75</v>
      </c>
      <c r="X46" s="1031">
        <f t="shared" ref="X46:X51" si="5">AVERAGE(O46,M46,S46,U46,Q46)</f>
        <v>17.75</v>
      </c>
    </row>
    <row r="47" spans="1:27" s="1" customFormat="1" ht="15" customHeight="1" x14ac:dyDescent="0.2">
      <c r="A47" s="678" t="s">
        <v>44</v>
      </c>
      <c r="B47" s="260"/>
      <c r="C47" s="811">
        <v>2</v>
      </c>
      <c r="D47" s="258"/>
      <c r="E47" s="811">
        <v>4</v>
      </c>
      <c r="F47" s="258"/>
      <c r="G47" s="811">
        <v>3</v>
      </c>
      <c r="H47" s="258"/>
      <c r="I47" s="811">
        <v>6</v>
      </c>
      <c r="J47" s="345">
        <v>4.75</v>
      </c>
      <c r="K47" s="811">
        <v>8</v>
      </c>
      <c r="L47" s="345">
        <v>5.55</v>
      </c>
      <c r="M47" s="811">
        <v>12</v>
      </c>
      <c r="N47" s="345">
        <v>3.3</v>
      </c>
      <c r="O47" s="811">
        <v>7</v>
      </c>
      <c r="P47" s="345">
        <v>3.6</v>
      </c>
      <c r="Q47" s="811">
        <v>6</v>
      </c>
      <c r="R47" s="345">
        <v>3.1</v>
      </c>
      <c r="S47" s="811">
        <v>8</v>
      </c>
      <c r="T47" s="345"/>
      <c r="U47" s="932"/>
      <c r="V47" s="195"/>
      <c r="W47" s="936">
        <f t="shared" ref="W47:W51" si="6">AVERAGE(T47,L47,N47,P47,R47)</f>
        <v>3.8874999999999997</v>
      </c>
      <c r="X47" s="1031">
        <f t="shared" si="5"/>
        <v>8.25</v>
      </c>
    </row>
    <row r="48" spans="1:27" s="1" customFormat="1" ht="15" customHeight="1" x14ac:dyDescent="0.2">
      <c r="A48" s="676" t="s">
        <v>45</v>
      </c>
      <c r="B48" s="663"/>
      <c r="C48" s="816"/>
      <c r="D48" s="345"/>
      <c r="E48" s="816"/>
      <c r="F48" s="345"/>
      <c r="G48" s="816"/>
      <c r="H48" s="345"/>
      <c r="I48" s="816"/>
      <c r="J48" s="345"/>
      <c r="K48" s="816"/>
      <c r="L48" s="345"/>
      <c r="M48" s="816"/>
      <c r="N48" s="345"/>
      <c r="O48" s="816"/>
      <c r="P48" s="345"/>
      <c r="Q48" s="816"/>
      <c r="R48" s="345"/>
      <c r="S48" s="816"/>
      <c r="T48" s="345"/>
      <c r="U48" s="933"/>
      <c r="V48" s="195"/>
      <c r="W48" s="936"/>
      <c r="X48" s="1031"/>
    </row>
    <row r="49" spans="1:24" s="1" customFormat="1" ht="15" customHeight="1" x14ac:dyDescent="0.2">
      <c r="A49" s="678" t="s">
        <v>43</v>
      </c>
      <c r="B49" s="260"/>
      <c r="C49" s="816">
        <v>0</v>
      </c>
      <c r="D49" s="258"/>
      <c r="E49" s="816">
        <v>0</v>
      </c>
      <c r="F49" s="258"/>
      <c r="G49" s="816">
        <v>0</v>
      </c>
      <c r="H49" s="258"/>
      <c r="I49" s="816">
        <v>0</v>
      </c>
      <c r="J49" s="813">
        <v>0</v>
      </c>
      <c r="K49" s="816">
        <v>0</v>
      </c>
      <c r="L49" s="813">
        <v>0</v>
      </c>
      <c r="M49" s="816">
        <v>0</v>
      </c>
      <c r="N49" s="813">
        <v>0</v>
      </c>
      <c r="O49" s="816">
        <v>0</v>
      </c>
      <c r="P49" s="813">
        <v>0</v>
      </c>
      <c r="Q49" s="816">
        <v>0</v>
      </c>
      <c r="R49" s="813">
        <v>0</v>
      </c>
      <c r="S49" s="816">
        <v>0</v>
      </c>
      <c r="T49" s="813"/>
      <c r="U49" s="933"/>
      <c r="V49" s="195"/>
      <c r="W49" s="936">
        <f t="shared" si="6"/>
        <v>0</v>
      </c>
      <c r="X49" s="1031">
        <f t="shared" si="5"/>
        <v>0</v>
      </c>
    </row>
    <row r="50" spans="1:24" s="1" customFormat="1" ht="15" customHeight="1" thickBot="1" x14ac:dyDescent="0.25">
      <c r="A50" s="939" t="s">
        <v>44</v>
      </c>
      <c r="B50" s="260"/>
      <c r="C50" s="816">
        <v>0</v>
      </c>
      <c r="D50" s="258"/>
      <c r="E50" s="816">
        <v>0</v>
      </c>
      <c r="F50" s="258"/>
      <c r="G50" s="819">
        <v>0</v>
      </c>
      <c r="H50" s="258"/>
      <c r="I50" s="816">
        <v>0</v>
      </c>
      <c r="J50" s="821">
        <v>0</v>
      </c>
      <c r="K50" s="816">
        <v>0</v>
      </c>
      <c r="L50" s="821">
        <v>0</v>
      </c>
      <c r="M50" s="816">
        <v>0</v>
      </c>
      <c r="N50" s="821">
        <v>0</v>
      </c>
      <c r="O50" s="816">
        <v>0</v>
      </c>
      <c r="P50" s="821">
        <v>0</v>
      </c>
      <c r="Q50" s="816">
        <v>0</v>
      </c>
      <c r="R50" s="821">
        <v>0</v>
      </c>
      <c r="S50" s="816"/>
      <c r="T50" s="821"/>
      <c r="U50" s="934"/>
      <c r="V50" s="195"/>
      <c r="W50" s="1020">
        <f t="shared" si="6"/>
        <v>0</v>
      </c>
      <c r="X50" s="1032">
        <f t="shared" si="5"/>
        <v>0</v>
      </c>
    </row>
    <row r="51" spans="1:24" s="1" customFormat="1" ht="15" customHeight="1" thickBot="1" x14ac:dyDescent="0.25">
      <c r="A51" s="796" t="s">
        <v>28</v>
      </c>
      <c r="B51" s="1022"/>
      <c r="C51" s="826">
        <f>SUM(C46:C50)</f>
        <v>20</v>
      </c>
      <c r="D51" s="1021"/>
      <c r="E51" s="826">
        <f>SUM(E46:E50)</f>
        <v>22</v>
      </c>
      <c r="F51" s="1021"/>
      <c r="G51" s="826">
        <f>SUM(G46:G50)</f>
        <v>21</v>
      </c>
      <c r="H51" s="1021"/>
      <c r="I51" s="826">
        <f t="shared" ref="I51:S51" si="7">SUM(I46:I50)</f>
        <v>23</v>
      </c>
      <c r="J51" s="906">
        <f t="shared" si="7"/>
        <v>20.75</v>
      </c>
      <c r="K51" s="826">
        <f t="shared" si="7"/>
        <v>24</v>
      </c>
      <c r="L51" s="906">
        <f t="shared" si="7"/>
        <v>23.55</v>
      </c>
      <c r="M51" s="826">
        <f t="shared" si="7"/>
        <v>30</v>
      </c>
      <c r="N51" s="906">
        <f t="shared" si="7"/>
        <v>20.3</v>
      </c>
      <c r="O51" s="826">
        <f t="shared" si="7"/>
        <v>24</v>
      </c>
      <c r="P51" s="906">
        <f t="shared" si="7"/>
        <v>21.6</v>
      </c>
      <c r="Q51" s="826">
        <f t="shared" si="7"/>
        <v>24</v>
      </c>
      <c r="R51" s="906">
        <f t="shared" si="7"/>
        <v>21.1</v>
      </c>
      <c r="S51" s="826">
        <f t="shared" si="7"/>
        <v>26</v>
      </c>
      <c r="T51" s="906">
        <f t="shared" ref="T51:U51" si="8">SUM(T46:T50)</f>
        <v>0</v>
      </c>
      <c r="U51" s="1023">
        <f t="shared" si="8"/>
        <v>0</v>
      </c>
      <c r="V51" s="195"/>
      <c r="W51" s="1028">
        <f t="shared" si="6"/>
        <v>17.310000000000002</v>
      </c>
      <c r="X51" s="1033">
        <f t="shared" si="5"/>
        <v>20.8</v>
      </c>
    </row>
    <row r="52" spans="1:24" s="1" customFormat="1" ht="18" customHeight="1" thickBot="1" x14ac:dyDescent="0.25">
      <c r="A52" s="795" t="s">
        <v>253</v>
      </c>
      <c r="B52" s="801" t="s">
        <v>39</v>
      </c>
      <c r="C52" s="798" t="s">
        <v>46</v>
      </c>
      <c r="D52" s="799" t="s">
        <v>39</v>
      </c>
      <c r="E52" s="798" t="s">
        <v>46</v>
      </c>
      <c r="F52" s="799" t="s">
        <v>39</v>
      </c>
      <c r="G52" s="798" t="s">
        <v>46</v>
      </c>
      <c r="H52" s="799" t="s">
        <v>39</v>
      </c>
      <c r="I52" s="798" t="s">
        <v>46</v>
      </c>
      <c r="J52" s="799" t="s">
        <v>39</v>
      </c>
      <c r="K52" s="798" t="s">
        <v>46</v>
      </c>
      <c r="L52" s="799" t="s">
        <v>39</v>
      </c>
      <c r="M52" s="798" t="s">
        <v>46</v>
      </c>
      <c r="N52" s="799" t="s">
        <v>39</v>
      </c>
      <c r="O52" s="798" t="s">
        <v>46</v>
      </c>
      <c r="P52" s="799" t="s">
        <v>39</v>
      </c>
      <c r="Q52" s="798" t="s">
        <v>46</v>
      </c>
      <c r="R52" s="799" t="s">
        <v>39</v>
      </c>
      <c r="S52" s="798" t="s">
        <v>46</v>
      </c>
      <c r="T52" s="799" t="s">
        <v>39</v>
      </c>
      <c r="U52" s="804" t="s">
        <v>46</v>
      </c>
      <c r="V52" s="195"/>
      <c r="W52" s="832" t="s">
        <v>39</v>
      </c>
      <c r="X52" s="804" t="s">
        <v>46</v>
      </c>
    </row>
    <row r="53" spans="1:24" s="1" customFormat="1" ht="18" customHeight="1" x14ac:dyDescent="0.2">
      <c r="A53" s="680" t="s">
        <v>265</v>
      </c>
      <c r="B53" s="938"/>
      <c r="C53" s="197"/>
      <c r="D53" s="937"/>
      <c r="E53" s="197"/>
      <c r="F53" s="937"/>
      <c r="G53" s="197"/>
      <c r="H53" s="937"/>
      <c r="I53" s="197"/>
      <c r="J53" s="937"/>
      <c r="K53" s="197"/>
      <c r="L53" s="937"/>
      <c r="M53" s="197"/>
      <c r="N53" s="937"/>
      <c r="O53" s="197"/>
      <c r="P53" s="937"/>
      <c r="Q53" s="197"/>
      <c r="R53" s="937"/>
      <c r="S53" s="197"/>
      <c r="T53" s="937"/>
      <c r="U53" s="199"/>
      <c r="V53" s="195"/>
      <c r="W53" s="1026"/>
      <c r="X53" s="199"/>
    </row>
    <row r="54" spans="1:24" s="1" customFormat="1" ht="15" customHeight="1" x14ac:dyDescent="0.2">
      <c r="A54" s="706" t="s">
        <v>47</v>
      </c>
      <c r="B54" s="201">
        <v>19</v>
      </c>
      <c r="C54" s="192">
        <f t="shared" ref="C54:C61" si="9">B54/C$51</f>
        <v>0.95</v>
      </c>
      <c r="D54" s="202">
        <f>4+16</f>
        <v>20</v>
      </c>
      <c r="E54" s="192">
        <f t="shared" ref="E54:E59" si="10">D54/E$51</f>
        <v>0.90909090909090906</v>
      </c>
      <c r="F54" s="202">
        <v>19</v>
      </c>
      <c r="G54" s="192">
        <f t="shared" ref="G54:G59" si="11">F54/G$51</f>
        <v>0.90476190476190477</v>
      </c>
      <c r="H54" s="202">
        <v>20</v>
      </c>
      <c r="I54" s="192">
        <f t="shared" ref="I54:I61" si="12">H54/I$51</f>
        <v>0.86956521739130432</v>
      </c>
      <c r="J54" s="202">
        <f>14+7</f>
        <v>21</v>
      </c>
      <c r="K54" s="192">
        <f t="shared" ref="K54:K61" si="13">J54/K$51</f>
        <v>0.875</v>
      </c>
      <c r="L54" s="202">
        <v>25</v>
      </c>
      <c r="M54" s="192">
        <f t="shared" ref="M54:M59" si="14">L54/M$51</f>
        <v>0.83333333333333337</v>
      </c>
      <c r="N54" s="202">
        <f>7+14</f>
        <v>21</v>
      </c>
      <c r="O54" s="192">
        <f t="shared" ref="O54:Q59" si="15">N54/O$51</f>
        <v>0.875</v>
      </c>
      <c r="P54" s="202">
        <v>20</v>
      </c>
      <c r="Q54" s="192">
        <f t="shared" si="15"/>
        <v>0.83333333333333337</v>
      </c>
      <c r="R54" s="202">
        <f>13+8</f>
        <v>21</v>
      </c>
      <c r="S54" s="192">
        <f t="shared" ref="S54:S59" si="16">R54/S$51</f>
        <v>0.80769230769230771</v>
      </c>
      <c r="T54" s="202"/>
      <c r="U54" s="203" t="e">
        <f t="shared" ref="U54:U59" si="17">T54/U$51</f>
        <v>#DIV/0!</v>
      </c>
      <c r="V54" s="204"/>
      <c r="W54" s="205">
        <f>AVERAGE(N54,L54,R54,T54,P54)</f>
        <v>21.75</v>
      </c>
      <c r="X54" s="206" t="e">
        <f>AVERAGE(O54,M54,S54,U54,Q54)</f>
        <v>#DIV/0!</v>
      </c>
    </row>
    <row r="55" spans="1:24" s="1" customFormat="1" ht="15" customHeight="1" x14ac:dyDescent="0.2">
      <c r="A55" s="207" t="s">
        <v>48</v>
      </c>
      <c r="B55" s="201">
        <v>0</v>
      </c>
      <c r="C55" s="192">
        <f t="shared" si="9"/>
        <v>0</v>
      </c>
      <c r="D55" s="202">
        <v>1</v>
      </c>
      <c r="E55" s="192">
        <f t="shared" si="10"/>
        <v>4.5454545454545456E-2</v>
      </c>
      <c r="F55" s="202">
        <v>1</v>
      </c>
      <c r="G55" s="192">
        <f t="shared" si="11"/>
        <v>4.7619047619047616E-2</v>
      </c>
      <c r="H55" s="202">
        <v>1</v>
      </c>
      <c r="I55" s="192">
        <f t="shared" si="12"/>
        <v>4.3478260869565216E-2</v>
      </c>
      <c r="J55" s="202">
        <v>0</v>
      </c>
      <c r="K55" s="192">
        <f t="shared" si="13"/>
        <v>0</v>
      </c>
      <c r="L55" s="202">
        <v>0</v>
      </c>
      <c r="M55" s="192">
        <f t="shared" si="14"/>
        <v>0</v>
      </c>
      <c r="N55" s="202">
        <v>0</v>
      </c>
      <c r="O55" s="192">
        <f t="shared" si="15"/>
        <v>0</v>
      </c>
      <c r="P55" s="202">
        <v>0</v>
      </c>
      <c r="Q55" s="192">
        <f t="shared" si="15"/>
        <v>0</v>
      </c>
      <c r="R55" s="202">
        <v>1</v>
      </c>
      <c r="S55" s="192">
        <f t="shared" si="16"/>
        <v>3.8461538461538464E-2</v>
      </c>
      <c r="T55" s="202"/>
      <c r="U55" s="203" t="e">
        <f t="shared" si="17"/>
        <v>#DIV/0!</v>
      </c>
      <c r="V55" s="204"/>
      <c r="W55" s="205">
        <f t="shared" ref="W55:X73" si="18">AVERAGE(N55,L55,R55,T55,P55)</f>
        <v>0.25</v>
      </c>
      <c r="X55" s="206" t="e">
        <f t="shared" si="18"/>
        <v>#DIV/0!</v>
      </c>
    </row>
    <row r="56" spans="1:24" s="1" customFormat="1" ht="15" customHeight="1" x14ac:dyDescent="0.2">
      <c r="A56" s="207" t="s">
        <v>49</v>
      </c>
      <c r="B56" s="201">
        <v>0</v>
      </c>
      <c r="C56" s="192">
        <f t="shared" si="9"/>
        <v>0</v>
      </c>
      <c r="D56" s="202">
        <v>0</v>
      </c>
      <c r="E56" s="192">
        <f t="shared" si="10"/>
        <v>0</v>
      </c>
      <c r="F56" s="202">
        <v>0</v>
      </c>
      <c r="G56" s="192">
        <f t="shared" si="11"/>
        <v>0</v>
      </c>
      <c r="H56" s="202">
        <v>0</v>
      </c>
      <c r="I56" s="192">
        <f t="shared" si="12"/>
        <v>0</v>
      </c>
      <c r="J56" s="202">
        <v>0</v>
      </c>
      <c r="K56" s="192">
        <f t="shared" si="13"/>
        <v>0</v>
      </c>
      <c r="L56" s="202">
        <v>2</v>
      </c>
      <c r="M56" s="192">
        <f t="shared" si="14"/>
        <v>6.6666666666666666E-2</v>
      </c>
      <c r="N56" s="202">
        <v>1</v>
      </c>
      <c r="O56" s="192">
        <f t="shared" si="15"/>
        <v>4.1666666666666664E-2</v>
      </c>
      <c r="P56" s="202">
        <v>2</v>
      </c>
      <c r="Q56" s="192">
        <f t="shared" si="15"/>
        <v>8.3333333333333329E-2</v>
      </c>
      <c r="R56" s="202">
        <v>2</v>
      </c>
      <c r="S56" s="192">
        <f t="shared" si="16"/>
        <v>7.6923076923076927E-2</v>
      </c>
      <c r="T56" s="202"/>
      <c r="U56" s="203" t="e">
        <f t="shared" si="17"/>
        <v>#DIV/0!</v>
      </c>
      <c r="V56" s="204"/>
      <c r="W56" s="205">
        <f t="shared" si="18"/>
        <v>1.75</v>
      </c>
      <c r="X56" s="206" t="e">
        <f t="shared" si="18"/>
        <v>#DIV/0!</v>
      </c>
    </row>
    <row r="57" spans="1:24" s="1" customFormat="1" ht="15" customHeight="1" x14ac:dyDescent="0.2">
      <c r="A57" s="207" t="s">
        <v>50</v>
      </c>
      <c r="B57" s="201">
        <v>0</v>
      </c>
      <c r="C57" s="192">
        <f t="shared" si="9"/>
        <v>0</v>
      </c>
      <c r="D57" s="202">
        <v>0</v>
      </c>
      <c r="E57" s="192">
        <f t="shared" si="10"/>
        <v>0</v>
      </c>
      <c r="F57" s="202">
        <v>0</v>
      </c>
      <c r="G57" s="192">
        <f t="shared" si="11"/>
        <v>0</v>
      </c>
      <c r="H57" s="202">
        <v>0</v>
      </c>
      <c r="I57" s="192">
        <f t="shared" si="12"/>
        <v>0</v>
      </c>
      <c r="J57" s="202">
        <v>0</v>
      </c>
      <c r="K57" s="192">
        <f t="shared" si="13"/>
        <v>0</v>
      </c>
      <c r="L57" s="202">
        <v>0</v>
      </c>
      <c r="M57" s="192">
        <f t="shared" si="14"/>
        <v>0</v>
      </c>
      <c r="N57" s="202">
        <v>0</v>
      </c>
      <c r="O57" s="192">
        <f t="shared" si="15"/>
        <v>0</v>
      </c>
      <c r="P57" s="202">
        <v>0</v>
      </c>
      <c r="Q57" s="192">
        <f t="shared" si="15"/>
        <v>0</v>
      </c>
      <c r="R57" s="202">
        <v>0</v>
      </c>
      <c r="S57" s="192">
        <f t="shared" si="16"/>
        <v>0</v>
      </c>
      <c r="T57" s="202"/>
      <c r="U57" s="203" t="e">
        <f t="shared" si="17"/>
        <v>#DIV/0!</v>
      </c>
      <c r="V57" s="204"/>
      <c r="W57" s="205">
        <f t="shared" si="18"/>
        <v>0</v>
      </c>
      <c r="X57" s="206" t="e">
        <f t="shared" si="18"/>
        <v>#DIV/0!</v>
      </c>
    </row>
    <row r="58" spans="1:24" s="1" customFormat="1" ht="15" customHeight="1" x14ac:dyDescent="0.2">
      <c r="A58" s="207" t="s">
        <v>51</v>
      </c>
      <c r="B58" s="201">
        <v>1</v>
      </c>
      <c r="C58" s="192">
        <f t="shared" si="9"/>
        <v>0.05</v>
      </c>
      <c r="D58" s="202">
        <v>1</v>
      </c>
      <c r="E58" s="192">
        <f t="shared" si="10"/>
        <v>4.5454545454545456E-2</v>
      </c>
      <c r="F58" s="202">
        <v>1</v>
      </c>
      <c r="G58" s="192">
        <f t="shared" si="11"/>
        <v>4.7619047619047616E-2</v>
      </c>
      <c r="H58" s="202">
        <v>2</v>
      </c>
      <c r="I58" s="192">
        <f t="shared" si="12"/>
        <v>8.6956521739130432E-2</v>
      </c>
      <c r="J58" s="202">
        <f>1+1</f>
        <v>2</v>
      </c>
      <c r="K58" s="192">
        <f t="shared" si="13"/>
        <v>8.3333333333333329E-2</v>
      </c>
      <c r="L58" s="202">
        <v>2</v>
      </c>
      <c r="M58" s="192">
        <f t="shared" si="14"/>
        <v>6.6666666666666666E-2</v>
      </c>
      <c r="N58" s="202">
        <v>1</v>
      </c>
      <c r="O58" s="192">
        <f t="shared" si="15"/>
        <v>4.1666666666666664E-2</v>
      </c>
      <c r="P58" s="202">
        <v>1</v>
      </c>
      <c r="Q58" s="192">
        <f t="shared" si="15"/>
        <v>4.1666666666666664E-2</v>
      </c>
      <c r="R58" s="202">
        <v>1</v>
      </c>
      <c r="S58" s="192">
        <f t="shared" si="16"/>
        <v>3.8461538461538464E-2</v>
      </c>
      <c r="T58" s="202"/>
      <c r="U58" s="203" t="e">
        <f t="shared" si="17"/>
        <v>#DIV/0!</v>
      </c>
      <c r="V58" s="204"/>
      <c r="W58" s="205">
        <f t="shared" si="18"/>
        <v>1.25</v>
      </c>
      <c r="X58" s="206" t="e">
        <f t="shared" si="18"/>
        <v>#DIV/0!</v>
      </c>
    </row>
    <row r="59" spans="1:24" s="1" customFormat="1" ht="15" customHeight="1" x14ac:dyDescent="0.2">
      <c r="A59" s="207" t="s">
        <v>52</v>
      </c>
      <c r="B59" s="201">
        <v>0</v>
      </c>
      <c r="C59" s="192">
        <f t="shared" si="9"/>
        <v>0</v>
      </c>
      <c r="D59" s="202">
        <v>0</v>
      </c>
      <c r="E59" s="192">
        <f t="shared" si="10"/>
        <v>0</v>
      </c>
      <c r="F59" s="202">
        <v>0</v>
      </c>
      <c r="G59" s="192">
        <f t="shared" si="11"/>
        <v>0</v>
      </c>
      <c r="H59" s="202">
        <v>0</v>
      </c>
      <c r="I59" s="192">
        <f t="shared" si="12"/>
        <v>0</v>
      </c>
      <c r="J59" s="202">
        <v>1</v>
      </c>
      <c r="K59" s="192">
        <f t="shared" si="13"/>
        <v>4.1666666666666664E-2</v>
      </c>
      <c r="L59" s="202">
        <v>1</v>
      </c>
      <c r="M59" s="192">
        <f t="shared" si="14"/>
        <v>3.3333333333333333E-2</v>
      </c>
      <c r="N59" s="202">
        <v>1</v>
      </c>
      <c r="O59" s="192">
        <f t="shared" si="15"/>
        <v>4.1666666666666664E-2</v>
      </c>
      <c r="P59" s="202">
        <v>1</v>
      </c>
      <c r="Q59" s="192">
        <f t="shared" si="15"/>
        <v>4.1666666666666664E-2</v>
      </c>
      <c r="R59" s="202">
        <v>1</v>
      </c>
      <c r="S59" s="192">
        <f t="shared" si="16"/>
        <v>3.8461538461538464E-2</v>
      </c>
      <c r="T59" s="202"/>
      <c r="U59" s="203" t="e">
        <f t="shared" si="17"/>
        <v>#DIV/0!</v>
      </c>
      <c r="V59" s="204"/>
      <c r="W59" s="205">
        <f t="shared" si="18"/>
        <v>1</v>
      </c>
      <c r="X59" s="206" t="e">
        <f t="shared" si="18"/>
        <v>#DIV/0!</v>
      </c>
    </row>
    <row r="60" spans="1:24" s="1" customFormat="1" ht="15" customHeight="1" x14ac:dyDescent="0.2">
      <c r="A60" s="207" t="s">
        <v>53</v>
      </c>
      <c r="B60" s="190"/>
      <c r="C60" s="192"/>
      <c r="D60" s="1225"/>
      <c r="E60" s="1224"/>
      <c r="F60" s="1225"/>
      <c r="G60" s="1224"/>
      <c r="H60" s="193">
        <v>0</v>
      </c>
      <c r="I60" s="192">
        <f t="shared" si="12"/>
        <v>0</v>
      </c>
      <c r="J60" s="193">
        <v>0</v>
      </c>
      <c r="K60" s="192">
        <f t="shared" si="13"/>
        <v>0</v>
      </c>
      <c r="L60" s="193">
        <v>0</v>
      </c>
      <c r="M60" s="192">
        <f>L60/M$51</f>
        <v>0</v>
      </c>
      <c r="N60" s="193">
        <v>0</v>
      </c>
      <c r="O60" s="192">
        <f>N60/O$51</f>
        <v>0</v>
      </c>
      <c r="P60" s="193">
        <v>0</v>
      </c>
      <c r="Q60" s="192">
        <f>P60/Q$51</f>
        <v>0</v>
      </c>
      <c r="R60" s="193">
        <v>0</v>
      </c>
      <c r="S60" s="192">
        <f>R60/S$51</f>
        <v>0</v>
      </c>
      <c r="T60" s="202"/>
      <c r="U60" s="203" t="e">
        <f>T60/U$51</f>
        <v>#DIV/0!</v>
      </c>
      <c r="V60" s="204"/>
      <c r="W60" s="205">
        <f t="shared" si="18"/>
        <v>0</v>
      </c>
      <c r="X60" s="206" t="e">
        <f t="shared" si="18"/>
        <v>#DIV/0!</v>
      </c>
    </row>
    <row r="61" spans="1:24" s="1" customFormat="1" ht="15" customHeight="1" thickBot="1" x14ac:dyDescent="0.25">
      <c r="A61" s="696" t="s">
        <v>54</v>
      </c>
      <c r="B61" s="190">
        <v>0</v>
      </c>
      <c r="C61" s="725">
        <f t="shared" si="9"/>
        <v>0</v>
      </c>
      <c r="D61" s="193">
        <v>0</v>
      </c>
      <c r="E61" s="725">
        <f>D61/E$51</f>
        <v>0</v>
      </c>
      <c r="F61" s="193">
        <v>0</v>
      </c>
      <c r="G61" s="725">
        <f>F61/G$51</f>
        <v>0</v>
      </c>
      <c r="H61" s="193">
        <v>0</v>
      </c>
      <c r="I61" s="725">
        <f t="shared" si="12"/>
        <v>0</v>
      </c>
      <c r="J61" s="193">
        <v>0</v>
      </c>
      <c r="K61" s="725">
        <f t="shared" si="13"/>
        <v>0</v>
      </c>
      <c r="L61" s="193">
        <v>0</v>
      </c>
      <c r="M61" s="725">
        <f>L61/M$51</f>
        <v>0</v>
      </c>
      <c r="N61" s="193">
        <v>0</v>
      </c>
      <c r="O61" s="725">
        <f>N61/O$51</f>
        <v>0</v>
      </c>
      <c r="P61" s="193">
        <v>0</v>
      </c>
      <c r="Q61" s="725">
        <f>P61/Q$51</f>
        <v>0</v>
      </c>
      <c r="R61" s="193">
        <v>0</v>
      </c>
      <c r="S61" s="725">
        <f>R61/S$51</f>
        <v>0</v>
      </c>
      <c r="T61" s="193"/>
      <c r="U61" s="726" t="e">
        <f>T61/U$51</f>
        <v>#DIV/0!</v>
      </c>
      <c r="V61" s="204"/>
      <c r="W61" s="727">
        <f t="shared" si="18"/>
        <v>0</v>
      </c>
      <c r="X61" s="728" t="e">
        <f t="shared" si="18"/>
        <v>#DIV/0!</v>
      </c>
    </row>
    <row r="62" spans="1:24" s="1" customFormat="1" ht="18" customHeight="1" x14ac:dyDescent="0.2">
      <c r="A62" s="680" t="s">
        <v>55</v>
      </c>
      <c r="B62" s="731"/>
      <c r="C62" s="733"/>
      <c r="D62" s="734"/>
      <c r="E62" s="733"/>
      <c r="F62" s="734"/>
      <c r="G62" s="733"/>
      <c r="H62" s="734"/>
      <c r="I62" s="733"/>
      <c r="J62" s="734"/>
      <c r="K62" s="733"/>
      <c r="L62" s="734"/>
      <c r="M62" s="733"/>
      <c r="N62" s="734"/>
      <c r="O62" s="733"/>
      <c r="P62" s="734"/>
      <c r="Q62" s="733"/>
      <c r="R62" s="734"/>
      <c r="S62" s="733"/>
      <c r="T62" s="734"/>
      <c r="U62" s="735"/>
      <c r="V62" s="204"/>
      <c r="W62" s="736"/>
      <c r="X62" s="737"/>
    </row>
    <row r="63" spans="1:24" s="1" customFormat="1" ht="15" customHeight="1" x14ac:dyDescent="0.2">
      <c r="A63" s="200" t="s">
        <v>56</v>
      </c>
      <c r="B63" s="208">
        <v>13</v>
      </c>
      <c r="C63" s="192">
        <f>B63/C$51</f>
        <v>0.65</v>
      </c>
      <c r="D63" s="209">
        <f>4+12</f>
        <v>16</v>
      </c>
      <c r="E63" s="192">
        <f>D63/E$51</f>
        <v>0.72727272727272729</v>
      </c>
      <c r="F63" s="209">
        <v>15</v>
      </c>
      <c r="G63" s="192">
        <f>F63/G$51</f>
        <v>0.7142857142857143</v>
      </c>
      <c r="H63" s="209">
        <v>15</v>
      </c>
      <c r="I63" s="192">
        <f>H63/I$51</f>
        <v>0.65217391304347827</v>
      </c>
      <c r="J63" s="209">
        <f>10+5</f>
        <v>15</v>
      </c>
      <c r="K63" s="192">
        <f>J63/K$51</f>
        <v>0.625</v>
      </c>
      <c r="L63" s="209">
        <v>18</v>
      </c>
      <c r="M63" s="192">
        <f>L63/M$51</f>
        <v>0.6</v>
      </c>
      <c r="N63" s="209">
        <f>5+9</f>
        <v>14</v>
      </c>
      <c r="O63" s="192">
        <f>N63/O$51</f>
        <v>0.58333333333333337</v>
      </c>
      <c r="P63" s="209">
        <v>15</v>
      </c>
      <c r="Q63" s="192">
        <f>P63/Q$51</f>
        <v>0.625</v>
      </c>
      <c r="R63" s="209">
        <v>15</v>
      </c>
      <c r="S63" s="192">
        <f>R63/S$51</f>
        <v>0.57692307692307687</v>
      </c>
      <c r="T63" s="209"/>
      <c r="U63" s="203" t="e">
        <f>T63/U$51</f>
        <v>#DIV/0!</v>
      </c>
      <c r="V63" s="204"/>
      <c r="W63" s="205">
        <f t="shared" si="18"/>
        <v>15.5</v>
      </c>
      <c r="X63" s="206" t="e">
        <f t="shared" si="18"/>
        <v>#DIV/0!</v>
      </c>
    </row>
    <row r="64" spans="1:24" s="1" customFormat="1" ht="15" customHeight="1" thickBot="1" x14ac:dyDescent="0.25">
      <c r="A64" s="696" t="s">
        <v>57</v>
      </c>
      <c r="B64" s="729">
        <v>7</v>
      </c>
      <c r="C64" s="725">
        <f>B64/C$51</f>
        <v>0.35</v>
      </c>
      <c r="D64" s="730">
        <v>6</v>
      </c>
      <c r="E64" s="725">
        <f>D64/E$51</f>
        <v>0.27272727272727271</v>
      </c>
      <c r="F64" s="730">
        <v>6</v>
      </c>
      <c r="G64" s="725">
        <f>F64/G$51</f>
        <v>0.2857142857142857</v>
      </c>
      <c r="H64" s="730">
        <v>8</v>
      </c>
      <c r="I64" s="725">
        <f>H64/I$51</f>
        <v>0.34782608695652173</v>
      </c>
      <c r="J64" s="730">
        <f>6+3</f>
        <v>9</v>
      </c>
      <c r="K64" s="725">
        <f>J64/K$51</f>
        <v>0.375</v>
      </c>
      <c r="L64" s="730">
        <v>12</v>
      </c>
      <c r="M64" s="725">
        <f>L64/M$51</f>
        <v>0.4</v>
      </c>
      <c r="N64" s="730">
        <f>2+8</f>
        <v>10</v>
      </c>
      <c r="O64" s="725">
        <f>N64/O$51</f>
        <v>0.41666666666666669</v>
      </c>
      <c r="P64" s="730">
        <v>9</v>
      </c>
      <c r="Q64" s="725">
        <f>P64/Q$51</f>
        <v>0.375</v>
      </c>
      <c r="R64" s="730">
        <v>11</v>
      </c>
      <c r="S64" s="725">
        <f>R64/S$51</f>
        <v>0.42307692307692307</v>
      </c>
      <c r="T64" s="730"/>
      <c r="U64" s="726" t="e">
        <f>T64/U$51</f>
        <v>#DIV/0!</v>
      </c>
      <c r="V64" s="204"/>
      <c r="W64" s="727">
        <f t="shared" si="18"/>
        <v>10.5</v>
      </c>
      <c r="X64" s="728" t="e">
        <f t="shared" si="18"/>
        <v>#DIV/0!</v>
      </c>
    </row>
    <row r="65" spans="1:24" s="1" customFormat="1" ht="18" customHeight="1" x14ac:dyDescent="0.2">
      <c r="A65" s="680" t="s">
        <v>58</v>
      </c>
      <c r="B65" s="738"/>
      <c r="C65" s="740"/>
      <c r="D65" s="741"/>
      <c r="E65" s="740"/>
      <c r="F65" s="741"/>
      <c r="G65" s="740"/>
      <c r="H65" s="741"/>
      <c r="I65" s="740"/>
      <c r="J65" s="741"/>
      <c r="K65" s="740"/>
      <c r="L65" s="741"/>
      <c r="M65" s="740"/>
      <c r="N65" s="741"/>
      <c r="O65" s="740"/>
      <c r="P65" s="741"/>
      <c r="Q65" s="740"/>
      <c r="R65" s="741"/>
      <c r="S65" s="740"/>
      <c r="T65" s="741"/>
      <c r="U65" s="742"/>
      <c r="V65" s="204"/>
      <c r="W65" s="736"/>
      <c r="X65" s="737"/>
    </row>
    <row r="66" spans="1:24" s="1" customFormat="1" ht="15" customHeight="1" x14ac:dyDescent="0.2">
      <c r="A66" s="200" t="s">
        <v>59</v>
      </c>
      <c r="B66" s="210">
        <v>10</v>
      </c>
      <c r="C66" s="192">
        <f>B66/C$51</f>
        <v>0.5</v>
      </c>
      <c r="D66" s="211">
        <f>9</f>
        <v>9</v>
      </c>
      <c r="E66" s="192">
        <f>D66/E$51</f>
        <v>0.40909090909090912</v>
      </c>
      <c r="F66" s="211">
        <v>9</v>
      </c>
      <c r="G66" s="192">
        <f>F66/G$51</f>
        <v>0.42857142857142855</v>
      </c>
      <c r="H66" s="211">
        <v>8</v>
      </c>
      <c r="I66" s="192">
        <f>H66/I$51</f>
        <v>0.34782608695652173</v>
      </c>
      <c r="J66" s="211">
        <f>9+1</f>
        <v>10</v>
      </c>
      <c r="K66" s="192">
        <f>J66/K$51</f>
        <v>0.41666666666666669</v>
      </c>
      <c r="L66" s="211">
        <v>9</v>
      </c>
      <c r="M66" s="192">
        <f>L66/M$51</f>
        <v>0.3</v>
      </c>
      <c r="N66" s="211">
        <v>8</v>
      </c>
      <c r="O66" s="192">
        <f>N66/O$51</f>
        <v>0.33333333333333331</v>
      </c>
      <c r="P66" s="211">
        <v>8</v>
      </c>
      <c r="Q66" s="192">
        <f>P66/Q$51</f>
        <v>0.33333333333333331</v>
      </c>
      <c r="R66" s="211">
        <v>9</v>
      </c>
      <c r="S66" s="192">
        <f>R66/S$51</f>
        <v>0.34615384615384615</v>
      </c>
      <c r="T66" s="211"/>
      <c r="U66" s="203" t="e">
        <f>T66/U$51</f>
        <v>#DIV/0!</v>
      </c>
      <c r="V66" s="204"/>
      <c r="W66" s="205">
        <f t="shared" si="18"/>
        <v>8.5</v>
      </c>
      <c r="X66" s="206" t="e">
        <f t="shared" si="18"/>
        <v>#DIV/0!</v>
      </c>
    </row>
    <row r="67" spans="1:24" s="1" customFormat="1" ht="15" customHeight="1" x14ac:dyDescent="0.2">
      <c r="A67" s="200" t="s">
        <v>60</v>
      </c>
      <c r="B67" s="210">
        <v>7</v>
      </c>
      <c r="C67" s="192">
        <f>B67/C$51</f>
        <v>0.35</v>
      </c>
      <c r="D67" s="211">
        <v>8</v>
      </c>
      <c r="E67" s="192">
        <f>D67/E$51</f>
        <v>0.36363636363636365</v>
      </c>
      <c r="F67" s="211">
        <v>8</v>
      </c>
      <c r="G67" s="192">
        <f>F67/G$51</f>
        <v>0.38095238095238093</v>
      </c>
      <c r="H67" s="211">
        <v>9</v>
      </c>
      <c r="I67" s="192">
        <f>H67/I$51</f>
        <v>0.39130434782608697</v>
      </c>
      <c r="J67" s="211">
        <v>7</v>
      </c>
      <c r="K67" s="192">
        <f>J67/K$51</f>
        <v>0.29166666666666669</v>
      </c>
      <c r="L67" s="211">
        <v>10</v>
      </c>
      <c r="M67" s="192">
        <f>L67/M$51</f>
        <v>0.33333333333333331</v>
      </c>
      <c r="N67" s="211">
        <v>9</v>
      </c>
      <c r="O67" s="192">
        <f>N67/O$51</f>
        <v>0.375</v>
      </c>
      <c r="P67" s="211">
        <v>10</v>
      </c>
      <c r="Q67" s="192">
        <f>P67/Q$51</f>
        <v>0.41666666666666669</v>
      </c>
      <c r="R67" s="211">
        <v>9</v>
      </c>
      <c r="S67" s="192">
        <f>R67/S$51</f>
        <v>0.34615384615384615</v>
      </c>
      <c r="T67" s="211"/>
      <c r="U67" s="203" t="e">
        <f>T67/U$51</f>
        <v>#DIV/0!</v>
      </c>
      <c r="V67" s="204"/>
      <c r="W67" s="205">
        <f t="shared" si="18"/>
        <v>9.5</v>
      </c>
      <c r="X67" s="206" t="e">
        <f t="shared" si="18"/>
        <v>#DIV/0!</v>
      </c>
    </row>
    <row r="68" spans="1:24" s="1" customFormat="1" ht="15" customHeight="1" thickBot="1" x14ac:dyDescent="0.25">
      <c r="A68" s="696" t="s">
        <v>61</v>
      </c>
      <c r="B68" s="729">
        <v>3</v>
      </c>
      <c r="C68" s="725">
        <f>B68/C$51</f>
        <v>0.15</v>
      </c>
      <c r="D68" s="730">
        <f>4+1</f>
        <v>5</v>
      </c>
      <c r="E68" s="725">
        <f>D68/E$51</f>
        <v>0.22727272727272727</v>
      </c>
      <c r="F68" s="730">
        <v>4</v>
      </c>
      <c r="G68" s="725">
        <f>F68/G$51</f>
        <v>0.19047619047619047</v>
      </c>
      <c r="H68" s="730">
        <v>6</v>
      </c>
      <c r="I68" s="725">
        <f>H68/I$51</f>
        <v>0.2608695652173913</v>
      </c>
      <c r="J68" s="730">
        <f>7</f>
        <v>7</v>
      </c>
      <c r="K68" s="725">
        <f>J68/K$51</f>
        <v>0.29166666666666669</v>
      </c>
      <c r="L68" s="730">
        <v>11</v>
      </c>
      <c r="M68" s="725">
        <f>L68/M$51</f>
        <v>0.36666666666666664</v>
      </c>
      <c r="N68" s="730">
        <v>7</v>
      </c>
      <c r="O68" s="725">
        <f>N68/O$51</f>
        <v>0.29166666666666669</v>
      </c>
      <c r="P68" s="730">
        <v>6</v>
      </c>
      <c r="Q68" s="725">
        <f>P68/Q$51</f>
        <v>0.25</v>
      </c>
      <c r="R68" s="730">
        <v>8</v>
      </c>
      <c r="S68" s="725">
        <f>R68/S$51</f>
        <v>0.30769230769230771</v>
      </c>
      <c r="T68" s="730"/>
      <c r="U68" s="726" t="e">
        <f>T68/U$51</f>
        <v>#DIV/0!</v>
      </c>
      <c r="V68" s="204"/>
      <c r="W68" s="727">
        <f t="shared" si="18"/>
        <v>8</v>
      </c>
      <c r="X68" s="728" t="e">
        <f t="shared" si="18"/>
        <v>#DIV/0!</v>
      </c>
    </row>
    <row r="69" spans="1:24" s="1" customFormat="1" ht="18" customHeight="1" x14ac:dyDescent="0.2">
      <c r="A69" s="680" t="s">
        <v>62</v>
      </c>
      <c r="B69" s="738"/>
      <c r="C69" s="740"/>
      <c r="D69" s="741"/>
      <c r="E69" s="740"/>
      <c r="F69" s="741"/>
      <c r="G69" s="740"/>
      <c r="H69" s="741"/>
      <c r="I69" s="740"/>
      <c r="J69" s="741"/>
      <c r="K69" s="740"/>
      <c r="L69" s="741"/>
      <c r="M69" s="740"/>
      <c r="N69" s="741"/>
      <c r="O69" s="740"/>
      <c r="P69" s="741"/>
      <c r="Q69" s="740"/>
      <c r="R69" s="741"/>
      <c r="S69" s="740"/>
      <c r="T69" s="741"/>
      <c r="U69" s="742"/>
      <c r="V69" s="204"/>
      <c r="W69" s="736"/>
      <c r="X69" s="737"/>
    </row>
    <row r="70" spans="1:24" s="1" customFormat="1" ht="15" customHeight="1" x14ac:dyDescent="0.2">
      <c r="A70" s="200" t="s">
        <v>63</v>
      </c>
      <c r="B70" s="210">
        <v>3</v>
      </c>
      <c r="C70" s="192">
        <f>B70/C$51</f>
        <v>0.15</v>
      </c>
      <c r="D70" s="211">
        <v>3</v>
      </c>
      <c r="E70" s="192">
        <f>D70/E$51</f>
        <v>0.13636363636363635</v>
      </c>
      <c r="F70" s="211">
        <v>3</v>
      </c>
      <c r="G70" s="192">
        <f>F70/G$51</f>
        <v>0.14285714285714285</v>
      </c>
      <c r="H70" s="211">
        <v>3</v>
      </c>
      <c r="I70" s="192">
        <f>H70/I$51</f>
        <v>0.13043478260869565</v>
      </c>
      <c r="J70" s="211">
        <f>2+1</f>
        <v>3</v>
      </c>
      <c r="K70" s="192">
        <f>J70/K$51</f>
        <v>0.125</v>
      </c>
      <c r="L70" s="211">
        <v>3</v>
      </c>
      <c r="M70" s="192">
        <f>L70/M$51</f>
        <v>0.1</v>
      </c>
      <c r="N70" s="211">
        <v>2</v>
      </c>
      <c r="O70" s="192">
        <f>N70/O$51</f>
        <v>8.3333333333333329E-2</v>
      </c>
      <c r="P70" s="211">
        <v>3</v>
      </c>
      <c r="Q70" s="192">
        <f>P70/Q$51</f>
        <v>0.125</v>
      </c>
      <c r="R70" s="211">
        <v>10</v>
      </c>
      <c r="S70" s="192">
        <f>R70/S$51</f>
        <v>0.38461538461538464</v>
      </c>
      <c r="T70" s="211"/>
      <c r="U70" s="203" t="e">
        <f>T70/U$51</f>
        <v>#DIV/0!</v>
      </c>
      <c r="V70" s="204"/>
      <c r="W70" s="205">
        <f t="shared" si="18"/>
        <v>4.5</v>
      </c>
      <c r="X70" s="206" t="e">
        <f t="shared" si="18"/>
        <v>#DIV/0!</v>
      </c>
    </row>
    <row r="71" spans="1:24" s="1" customFormat="1" ht="15" customHeight="1" x14ac:dyDescent="0.2">
      <c r="A71" s="200" t="s">
        <v>64</v>
      </c>
      <c r="B71" s="210">
        <v>16</v>
      </c>
      <c r="C71" s="192">
        <f>B71/C$51</f>
        <v>0.8</v>
      </c>
      <c r="D71" s="211">
        <f>4+14</f>
        <v>18</v>
      </c>
      <c r="E71" s="192">
        <f>D71/E$51</f>
        <v>0.81818181818181823</v>
      </c>
      <c r="F71" s="211">
        <v>17</v>
      </c>
      <c r="G71" s="192">
        <f>F71/G$51</f>
        <v>0.80952380952380953</v>
      </c>
      <c r="H71" s="211">
        <v>18</v>
      </c>
      <c r="I71" s="192">
        <f>H71/I$51</f>
        <v>0.78260869565217395</v>
      </c>
      <c r="J71" s="211">
        <f>14+6</f>
        <v>20</v>
      </c>
      <c r="K71" s="192">
        <f>J71/K$51</f>
        <v>0.83333333333333337</v>
      </c>
      <c r="L71" s="211">
        <v>24</v>
      </c>
      <c r="M71" s="192">
        <f>L71/M$51</f>
        <v>0.8</v>
      </c>
      <c r="N71" s="211">
        <f>6+15</f>
        <v>21</v>
      </c>
      <c r="O71" s="192">
        <f>N71/O$51</f>
        <v>0.875</v>
      </c>
      <c r="P71" s="211">
        <v>20</v>
      </c>
      <c r="Q71" s="192">
        <f>P71/Q$51</f>
        <v>0.83333333333333337</v>
      </c>
      <c r="R71" s="211">
        <v>16</v>
      </c>
      <c r="S71" s="192">
        <f>R71/S$51</f>
        <v>0.61538461538461542</v>
      </c>
      <c r="T71" s="211"/>
      <c r="U71" s="203" t="e">
        <f>T71/U$51</f>
        <v>#DIV/0!</v>
      </c>
      <c r="V71" s="204"/>
      <c r="W71" s="205">
        <f t="shared" si="18"/>
        <v>20.25</v>
      </c>
      <c r="X71" s="206" t="e">
        <f t="shared" si="18"/>
        <v>#DIV/0!</v>
      </c>
    </row>
    <row r="72" spans="1:24" s="1" customFormat="1" ht="15" customHeight="1" x14ac:dyDescent="0.2">
      <c r="A72" s="200" t="s">
        <v>65</v>
      </c>
      <c r="B72" s="210">
        <v>1</v>
      </c>
      <c r="C72" s="192">
        <f>B72/C$51</f>
        <v>0.05</v>
      </c>
      <c r="D72" s="211">
        <v>1</v>
      </c>
      <c r="E72" s="192">
        <f>D72/E$51</f>
        <v>4.5454545454545456E-2</v>
      </c>
      <c r="F72" s="211">
        <v>1</v>
      </c>
      <c r="G72" s="192">
        <f>F72/G$51</f>
        <v>4.7619047619047616E-2</v>
      </c>
      <c r="H72" s="211">
        <v>2</v>
      </c>
      <c r="I72" s="192">
        <f>H72/I$51</f>
        <v>8.6956521739130432E-2</v>
      </c>
      <c r="J72" s="211">
        <v>1</v>
      </c>
      <c r="K72" s="192">
        <f>J72/K$51</f>
        <v>4.1666666666666664E-2</v>
      </c>
      <c r="L72" s="211">
        <v>3</v>
      </c>
      <c r="M72" s="192">
        <f>L72/M$51</f>
        <v>0.1</v>
      </c>
      <c r="N72" s="211">
        <v>1</v>
      </c>
      <c r="O72" s="192">
        <f>N72/O$51</f>
        <v>4.1666666666666664E-2</v>
      </c>
      <c r="P72" s="211">
        <v>1</v>
      </c>
      <c r="Q72" s="192">
        <f>P72/Q$51</f>
        <v>4.1666666666666664E-2</v>
      </c>
      <c r="R72" s="211">
        <v>0</v>
      </c>
      <c r="S72" s="192">
        <f>R72/S$51</f>
        <v>0</v>
      </c>
      <c r="T72" s="211"/>
      <c r="U72" s="203" t="e">
        <f>T72/U$51</f>
        <v>#DIV/0!</v>
      </c>
      <c r="V72" s="195"/>
      <c r="W72" s="205">
        <f t="shared" si="18"/>
        <v>1.25</v>
      </c>
      <c r="X72" s="206" t="e">
        <f t="shared" si="18"/>
        <v>#DIV/0!</v>
      </c>
    </row>
    <row r="73" spans="1:24" s="1" customFormat="1" ht="15" customHeight="1" thickBot="1" x14ac:dyDescent="0.25">
      <c r="A73" s="212" t="s">
        <v>66</v>
      </c>
      <c r="B73" s="246">
        <v>0</v>
      </c>
      <c r="C73" s="214">
        <f>B73/C$51</f>
        <v>0</v>
      </c>
      <c r="D73" s="246">
        <v>0</v>
      </c>
      <c r="E73" s="215">
        <f>D73/E$51</f>
        <v>0</v>
      </c>
      <c r="F73" s="217">
        <v>0</v>
      </c>
      <c r="G73" s="215">
        <f>F73/G$51</f>
        <v>0</v>
      </c>
      <c r="H73" s="217">
        <v>0</v>
      </c>
      <c r="I73" s="215">
        <f>H73/I$51</f>
        <v>0</v>
      </c>
      <c r="J73" s="217">
        <v>0</v>
      </c>
      <c r="K73" s="215">
        <f>J73/K$51</f>
        <v>0</v>
      </c>
      <c r="L73" s="217">
        <v>0</v>
      </c>
      <c r="M73" s="215">
        <f>L73/M$51</f>
        <v>0</v>
      </c>
      <c r="N73" s="217">
        <v>0</v>
      </c>
      <c r="O73" s="215">
        <f>N73/O$51</f>
        <v>0</v>
      </c>
      <c r="P73" s="217">
        <v>0</v>
      </c>
      <c r="Q73" s="215">
        <f>P73/Q$51</f>
        <v>0</v>
      </c>
      <c r="R73" s="217">
        <v>0</v>
      </c>
      <c r="S73" s="215">
        <f>R73/S$51</f>
        <v>0</v>
      </c>
      <c r="T73" s="217"/>
      <c r="U73" s="218" t="e">
        <f>T73/U$51</f>
        <v>#DIV/0!</v>
      </c>
      <c r="V73" s="195"/>
      <c r="W73" s="219">
        <f t="shared" si="18"/>
        <v>0</v>
      </c>
      <c r="X73" s="220" t="e">
        <f t="shared" si="18"/>
        <v>#DIV/0!</v>
      </c>
    </row>
    <row r="74" spans="1:24" ht="13.5" thickTop="1" x14ac:dyDescent="0.2">
      <c r="A74" s="743" t="s">
        <v>248</v>
      </c>
    </row>
    <row r="75" spans="1:24" x14ac:dyDescent="0.2">
      <c r="A75" s="1"/>
      <c r="H75" s="65" t="s">
        <v>19</v>
      </c>
      <c r="J75" s="65" t="s">
        <v>19</v>
      </c>
      <c r="L75" s="65" t="s">
        <v>19</v>
      </c>
      <c r="N75" s="65" t="s">
        <v>19</v>
      </c>
      <c r="P75" s="65" t="s">
        <v>19</v>
      </c>
      <c r="R75" s="65" t="s">
        <v>19</v>
      </c>
      <c r="T75" s="65"/>
    </row>
    <row r="76" spans="1:24" x14ac:dyDescent="0.2">
      <c r="A76" s="1"/>
    </row>
    <row r="77" spans="1:24" x14ac:dyDescent="0.2">
      <c r="A77" s="1"/>
    </row>
    <row r="78" spans="1:24" x14ac:dyDescent="0.2">
      <c r="A78" s="1"/>
    </row>
    <row r="79" spans="1:24" x14ac:dyDescent="0.2">
      <c r="A79" s="1"/>
    </row>
    <row r="80" spans="1:24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x14ac:dyDescent="0.2">
      <c r="A84" s="1"/>
    </row>
    <row r="85" spans="1:1" x14ac:dyDescent="0.2">
      <c r="A85" s="1"/>
    </row>
    <row r="86" spans="1:1" x14ac:dyDescent="0.2">
      <c r="A86" s="1"/>
    </row>
    <row r="87" spans="1:1" x14ac:dyDescent="0.2">
      <c r="A87" s="1"/>
    </row>
    <row r="88" spans="1:1" x14ac:dyDescent="0.2">
      <c r="A88" s="1"/>
    </row>
    <row r="89" spans="1:1" x14ac:dyDescent="0.2">
      <c r="A89" s="1"/>
    </row>
    <row r="90" spans="1:1" x14ac:dyDescent="0.2">
      <c r="A90" s="1"/>
    </row>
    <row r="91" spans="1:1" x14ac:dyDescent="0.2">
      <c r="A91" s="1"/>
    </row>
    <row r="92" spans="1:1" x14ac:dyDescent="0.2">
      <c r="A92" s="1"/>
    </row>
    <row r="93" spans="1:1" x14ac:dyDescent="0.2">
      <c r="A93" s="1"/>
    </row>
    <row r="94" spans="1:1" x14ac:dyDescent="0.2">
      <c r="A94" s="1"/>
    </row>
    <row r="95" spans="1:1" x14ac:dyDescent="0.2">
      <c r="A95" s="1"/>
    </row>
    <row r="96" spans="1:1" x14ac:dyDescent="0.2">
      <c r="A96" s="1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x14ac:dyDescent="0.2">
      <c r="A100" s="1"/>
    </row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x14ac:dyDescent="0.2">
      <c r="A107" s="1"/>
    </row>
    <row r="108" spans="1:1" x14ac:dyDescent="0.2">
      <c r="A108" s="1"/>
    </row>
    <row r="109" spans="1:1" x14ac:dyDescent="0.2">
      <c r="A109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x14ac:dyDescent="0.2">
      <c r="A120" s="1"/>
    </row>
    <row r="121" spans="1:1" x14ac:dyDescent="0.2">
      <c r="A121" s="1"/>
    </row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x14ac:dyDescent="0.2">
      <c r="A128" s="1"/>
    </row>
    <row r="129" spans="1:1" x14ac:dyDescent="0.2">
      <c r="A129" s="1"/>
    </row>
    <row r="130" spans="1:1" x14ac:dyDescent="0.2">
      <c r="A130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x14ac:dyDescent="0.2">
      <c r="A152" s="1"/>
    </row>
    <row r="153" spans="1:1" x14ac:dyDescent="0.2">
      <c r="A153" s="1"/>
    </row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  <row r="177" spans="1:1" x14ac:dyDescent="0.2">
      <c r="A177" s="1"/>
    </row>
    <row r="178" spans="1:1" x14ac:dyDescent="0.2">
      <c r="A178" s="1"/>
    </row>
    <row r="179" spans="1:1" x14ac:dyDescent="0.2">
      <c r="A179" s="1"/>
    </row>
    <row r="180" spans="1:1" x14ac:dyDescent="0.2">
      <c r="A180" s="1"/>
    </row>
    <row r="181" spans="1:1" x14ac:dyDescent="0.2">
      <c r="A181" s="1"/>
    </row>
    <row r="182" spans="1:1" x14ac:dyDescent="0.2">
      <c r="A182" s="1"/>
    </row>
    <row r="183" spans="1:1" x14ac:dyDescent="0.2">
      <c r="A183" s="1"/>
    </row>
    <row r="184" spans="1:1" x14ac:dyDescent="0.2">
      <c r="A184" s="1"/>
    </row>
    <row r="185" spans="1:1" x14ac:dyDescent="0.2">
      <c r="A185" s="1"/>
    </row>
    <row r="186" spans="1:1" x14ac:dyDescent="0.2">
      <c r="A186" s="1"/>
    </row>
    <row r="187" spans="1:1" x14ac:dyDescent="0.2">
      <c r="A187" s="1"/>
    </row>
    <row r="188" spans="1:1" x14ac:dyDescent="0.2">
      <c r="A188" s="1"/>
    </row>
    <row r="189" spans="1:1" x14ac:dyDescent="0.2">
      <c r="A189" s="1"/>
    </row>
    <row r="190" spans="1:1" x14ac:dyDescent="0.2">
      <c r="A190" s="1"/>
    </row>
    <row r="191" spans="1:1" x14ac:dyDescent="0.2">
      <c r="A191" s="1"/>
    </row>
    <row r="192" spans="1:1" x14ac:dyDescent="0.2">
      <c r="A192" s="1"/>
    </row>
    <row r="193" spans="1:1" x14ac:dyDescent="0.2">
      <c r="A193" s="1"/>
    </row>
    <row r="194" spans="1:1" x14ac:dyDescent="0.2">
      <c r="A194" s="1"/>
    </row>
    <row r="195" spans="1:1" x14ac:dyDescent="0.2">
      <c r="A195" s="1"/>
    </row>
    <row r="196" spans="1:1" x14ac:dyDescent="0.2">
      <c r="A196" s="1"/>
    </row>
    <row r="197" spans="1:1" x14ac:dyDescent="0.2">
      <c r="A197" s="1"/>
    </row>
    <row r="198" spans="1:1" x14ac:dyDescent="0.2">
      <c r="A198" s="1"/>
    </row>
    <row r="199" spans="1:1" x14ac:dyDescent="0.2">
      <c r="A199" s="1"/>
    </row>
    <row r="200" spans="1:1" x14ac:dyDescent="0.2">
      <c r="A200" s="1"/>
    </row>
    <row r="201" spans="1:1" x14ac:dyDescent="0.2">
      <c r="A201" s="1"/>
    </row>
    <row r="202" spans="1:1" x14ac:dyDescent="0.2">
      <c r="A202" s="1"/>
    </row>
    <row r="203" spans="1:1" x14ac:dyDescent="0.2">
      <c r="A203" s="1"/>
    </row>
    <row r="204" spans="1:1" x14ac:dyDescent="0.2">
      <c r="A204" s="1"/>
    </row>
    <row r="205" spans="1:1" x14ac:dyDescent="0.2">
      <c r="A205" s="1"/>
    </row>
    <row r="206" spans="1:1" x14ac:dyDescent="0.2">
      <c r="A206" s="1"/>
    </row>
    <row r="207" spans="1:1" x14ac:dyDescent="0.2">
      <c r="A207" s="1"/>
    </row>
    <row r="208" spans="1:1" x14ac:dyDescent="0.2">
      <c r="A208" s="1"/>
    </row>
    <row r="209" spans="1:1" x14ac:dyDescent="0.2">
      <c r="A209" s="1"/>
    </row>
    <row r="210" spans="1:1" x14ac:dyDescent="0.2">
      <c r="A210" s="1"/>
    </row>
    <row r="211" spans="1:1" x14ac:dyDescent="0.2">
      <c r="A211" s="1"/>
    </row>
    <row r="212" spans="1:1" x14ac:dyDescent="0.2">
      <c r="A212" s="1"/>
    </row>
    <row r="213" spans="1:1" x14ac:dyDescent="0.2">
      <c r="A213" s="1"/>
    </row>
    <row r="214" spans="1:1" x14ac:dyDescent="0.2">
      <c r="A214" s="1"/>
    </row>
    <row r="215" spans="1:1" x14ac:dyDescent="0.2">
      <c r="A215" s="1"/>
    </row>
    <row r="216" spans="1:1" x14ac:dyDescent="0.2">
      <c r="A216" s="1"/>
    </row>
    <row r="217" spans="1:1" x14ac:dyDescent="0.2">
      <c r="A217" s="1"/>
    </row>
    <row r="218" spans="1:1" x14ac:dyDescent="0.2">
      <c r="A218" s="1"/>
    </row>
    <row r="219" spans="1:1" x14ac:dyDescent="0.2">
      <c r="A219" s="1"/>
    </row>
    <row r="220" spans="1:1" x14ac:dyDescent="0.2">
      <c r="A220" s="1"/>
    </row>
    <row r="221" spans="1:1" x14ac:dyDescent="0.2">
      <c r="A221" s="1"/>
    </row>
    <row r="222" spans="1:1" x14ac:dyDescent="0.2">
      <c r="A222" s="1"/>
    </row>
    <row r="223" spans="1:1" x14ac:dyDescent="0.2">
      <c r="A223" s="1"/>
    </row>
    <row r="224" spans="1:1" x14ac:dyDescent="0.2">
      <c r="A224" s="1"/>
    </row>
    <row r="225" spans="1:1" x14ac:dyDescent="0.2">
      <c r="A225" s="1"/>
    </row>
    <row r="226" spans="1:1" x14ac:dyDescent="0.2">
      <c r="A226" s="1"/>
    </row>
    <row r="227" spans="1:1" x14ac:dyDescent="0.2">
      <c r="A227" s="1"/>
    </row>
    <row r="228" spans="1:1" x14ac:dyDescent="0.2">
      <c r="A228" s="1"/>
    </row>
    <row r="229" spans="1:1" x14ac:dyDescent="0.2">
      <c r="A229" s="1"/>
    </row>
    <row r="230" spans="1:1" x14ac:dyDescent="0.2">
      <c r="A230" s="1"/>
    </row>
    <row r="231" spans="1:1" x14ac:dyDescent="0.2">
      <c r="A231" s="1"/>
    </row>
    <row r="232" spans="1:1" x14ac:dyDescent="0.2">
      <c r="A232" s="1"/>
    </row>
    <row r="233" spans="1:1" x14ac:dyDescent="0.2">
      <c r="A233" s="1"/>
    </row>
    <row r="234" spans="1:1" x14ac:dyDescent="0.2">
      <c r="A234" s="1"/>
    </row>
    <row r="235" spans="1:1" x14ac:dyDescent="0.2">
      <c r="A235" s="1"/>
    </row>
    <row r="236" spans="1:1" x14ac:dyDescent="0.2">
      <c r="A236" s="1"/>
    </row>
    <row r="237" spans="1:1" x14ac:dyDescent="0.2">
      <c r="A237" s="1"/>
    </row>
    <row r="238" spans="1:1" x14ac:dyDescent="0.2">
      <c r="A238" s="1"/>
    </row>
    <row r="239" spans="1:1" x14ac:dyDescent="0.2">
      <c r="A239" s="1"/>
    </row>
    <row r="240" spans="1:1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6" spans="1:1" x14ac:dyDescent="0.2">
      <c r="A296" s="1"/>
    </row>
    <row r="297" spans="1:1" x14ac:dyDescent="0.2">
      <c r="A297" s="1"/>
    </row>
    <row r="298" spans="1:1" x14ac:dyDescent="0.2">
      <c r="A298" s="1"/>
    </row>
    <row r="299" spans="1:1" x14ac:dyDescent="0.2">
      <c r="A299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  <row r="303" spans="1:1" x14ac:dyDescent="0.2">
      <c r="A303" s="1"/>
    </row>
    <row r="304" spans="1:1" x14ac:dyDescent="0.2">
      <c r="A304" s="1"/>
    </row>
    <row r="305" spans="1:1" x14ac:dyDescent="0.2">
      <c r="A305" s="1"/>
    </row>
    <row r="306" spans="1:1" x14ac:dyDescent="0.2">
      <c r="A306" s="1"/>
    </row>
    <row r="307" spans="1:1" x14ac:dyDescent="0.2">
      <c r="A307" s="1"/>
    </row>
    <row r="308" spans="1:1" x14ac:dyDescent="0.2">
      <c r="A308" s="1"/>
    </row>
    <row r="309" spans="1:1" x14ac:dyDescent="0.2">
      <c r="A309" s="1"/>
    </row>
    <row r="310" spans="1:1" x14ac:dyDescent="0.2">
      <c r="A310" s="1"/>
    </row>
    <row r="311" spans="1:1" x14ac:dyDescent="0.2">
      <c r="A311" s="1"/>
    </row>
    <row r="312" spans="1:1" x14ac:dyDescent="0.2">
      <c r="A312" s="1"/>
    </row>
    <row r="313" spans="1:1" x14ac:dyDescent="0.2">
      <c r="A313" s="1"/>
    </row>
    <row r="314" spans="1:1" x14ac:dyDescent="0.2">
      <c r="A314" s="1"/>
    </row>
    <row r="315" spans="1:1" x14ac:dyDescent="0.2">
      <c r="A315" s="1"/>
    </row>
    <row r="316" spans="1:1" x14ac:dyDescent="0.2">
      <c r="A316" s="1"/>
    </row>
    <row r="317" spans="1:1" x14ac:dyDescent="0.2">
      <c r="A317" s="1"/>
    </row>
    <row r="318" spans="1:1" x14ac:dyDescent="0.2">
      <c r="A318" s="1"/>
    </row>
    <row r="319" spans="1:1" x14ac:dyDescent="0.2">
      <c r="A319" s="1"/>
    </row>
    <row r="320" spans="1:1" x14ac:dyDescent="0.2">
      <c r="A320" s="1"/>
    </row>
    <row r="321" spans="1:1" x14ac:dyDescent="0.2">
      <c r="A321" s="1"/>
    </row>
    <row r="322" spans="1:1" x14ac:dyDescent="0.2">
      <c r="A322" s="1"/>
    </row>
    <row r="323" spans="1:1" x14ac:dyDescent="0.2">
      <c r="A323" s="1"/>
    </row>
    <row r="324" spans="1:1" x14ac:dyDescent="0.2">
      <c r="A324" s="1"/>
    </row>
    <row r="325" spans="1:1" x14ac:dyDescent="0.2">
      <c r="A325" s="1"/>
    </row>
    <row r="326" spans="1:1" x14ac:dyDescent="0.2">
      <c r="A326" s="1"/>
    </row>
    <row r="327" spans="1:1" x14ac:dyDescent="0.2">
      <c r="A327" s="1"/>
    </row>
    <row r="328" spans="1:1" x14ac:dyDescent="0.2">
      <c r="A328" s="1"/>
    </row>
    <row r="329" spans="1:1" x14ac:dyDescent="0.2">
      <c r="A329" s="1"/>
    </row>
    <row r="330" spans="1:1" x14ac:dyDescent="0.2">
      <c r="A330" s="1"/>
    </row>
    <row r="331" spans="1:1" x14ac:dyDescent="0.2">
      <c r="A331" s="1"/>
    </row>
    <row r="332" spans="1:1" x14ac:dyDescent="0.2">
      <c r="A332" s="1"/>
    </row>
    <row r="333" spans="1:1" x14ac:dyDescent="0.2">
      <c r="A333" s="1"/>
    </row>
    <row r="334" spans="1:1" x14ac:dyDescent="0.2">
      <c r="A334" s="1"/>
    </row>
    <row r="335" spans="1:1" x14ac:dyDescent="0.2">
      <c r="A335" s="1"/>
    </row>
    <row r="336" spans="1:1" x14ac:dyDescent="0.2">
      <c r="A336" s="1"/>
    </row>
    <row r="337" spans="1:1" x14ac:dyDescent="0.2">
      <c r="A337" s="1"/>
    </row>
    <row r="338" spans="1:1" x14ac:dyDescent="0.2">
      <c r="A338" s="1"/>
    </row>
    <row r="339" spans="1:1" x14ac:dyDescent="0.2">
      <c r="A339" s="1"/>
    </row>
    <row r="340" spans="1:1" x14ac:dyDescent="0.2">
      <c r="A340" s="1"/>
    </row>
    <row r="341" spans="1:1" x14ac:dyDescent="0.2">
      <c r="A341" s="1"/>
    </row>
    <row r="342" spans="1:1" x14ac:dyDescent="0.2">
      <c r="A342" s="1"/>
    </row>
    <row r="343" spans="1:1" x14ac:dyDescent="0.2">
      <c r="A343" s="1"/>
    </row>
    <row r="344" spans="1:1" x14ac:dyDescent="0.2">
      <c r="A344" s="1"/>
    </row>
    <row r="345" spans="1:1" x14ac:dyDescent="0.2">
      <c r="A345" s="1"/>
    </row>
    <row r="346" spans="1:1" x14ac:dyDescent="0.2">
      <c r="A346" s="1"/>
    </row>
    <row r="347" spans="1:1" x14ac:dyDescent="0.2">
      <c r="A347" s="1"/>
    </row>
    <row r="348" spans="1:1" x14ac:dyDescent="0.2">
      <c r="A348" s="1"/>
    </row>
    <row r="349" spans="1:1" x14ac:dyDescent="0.2">
      <c r="A349" s="1"/>
    </row>
    <row r="350" spans="1:1" x14ac:dyDescent="0.2">
      <c r="A350" s="1"/>
    </row>
    <row r="351" spans="1:1" x14ac:dyDescent="0.2">
      <c r="A351" s="1"/>
    </row>
    <row r="352" spans="1:1" x14ac:dyDescent="0.2">
      <c r="A352" s="1"/>
    </row>
    <row r="353" spans="1:1" x14ac:dyDescent="0.2">
      <c r="A353" s="1"/>
    </row>
    <row r="354" spans="1:1" x14ac:dyDescent="0.2">
      <c r="A354" s="1"/>
    </row>
    <row r="355" spans="1:1" x14ac:dyDescent="0.2">
      <c r="A355" s="1"/>
    </row>
    <row r="356" spans="1:1" x14ac:dyDescent="0.2">
      <c r="A356" s="1"/>
    </row>
    <row r="357" spans="1:1" x14ac:dyDescent="0.2">
      <c r="A357" s="1"/>
    </row>
    <row r="358" spans="1:1" x14ac:dyDescent="0.2">
      <c r="A358" s="1"/>
    </row>
    <row r="359" spans="1:1" x14ac:dyDescent="0.2">
      <c r="A359" s="1"/>
    </row>
    <row r="360" spans="1:1" x14ac:dyDescent="0.2">
      <c r="A360" s="1"/>
    </row>
    <row r="361" spans="1:1" x14ac:dyDescent="0.2">
      <c r="A361" s="1"/>
    </row>
    <row r="362" spans="1:1" x14ac:dyDescent="0.2">
      <c r="A362" s="1"/>
    </row>
    <row r="363" spans="1:1" x14ac:dyDescent="0.2">
      <c r="A363" s="1"/>
    </row>
    <row r="364" spans="1:1" x14ac:dyDescent="0.2">
      <c r="A364" s="1"/>
    </row>
    <row r="365" spans="1:1" x14ac:dyDescent="0.2">
      <c r="A365" s="1"/>
    </row>
    <row r="366" spans="1:1" x14ac:dyDescent="0.2">
      <c r="A366" s="1"/>
    </row>
    <row r="367" spans="1:1" x14ac:dyDescent="0.2">
      <c r="A367" s="1"/>
    </row>
    <row r="368" spans="1:1" x14ac:dyDescent="0.2">
      <c r="A368" s="1"/>
    </row>
    <row r="369" spans="1:1" x14ac:dyDescent="0.2">
      <c r="A369" s="1"/>
    </row>
    <row r="370" spans="1:1" x14ac:dyDescent="0.2">
      <c r="A370" s="1"/>
    </row>
    <row r="371" spans="1:1" x14ac:dyDescent="0.2">
      <c r="A371" s="1"/>
    </row>
    <row r="372" spans="1:1" x14ac:dyDescent="0.2">
      <c r="A372" s="1"/>
    </row>
    <row r="373" spans="1:1" x14ac:dyDescent="0.2">
      <c r="A373" s="1"/>
    </row>
    <row r="374" spans="1:1" x14ac:dyDescent="0.2">
      <c r="A374" s="1"/>
    </row>
    <row r="375" spans="1:1" x14ac:dyDescent="0.2">
      <c r="A375" s="1"/>
    </row>
    <row r="376" spans="1:1" x14ac:dyDescent="0.2">
      <c r="A376" s="1"/>
    </row>
    <row r="377" spans="1:1" x14ac:dyDescent="0.2">
      <c r="A377" s="1"/>
    </row>
    <row r="378" spans="1:1" x14ac:dyDescent="0.2">
      <c r="A378" s="1"/>
    </row>
    <row r="379" spans="1:1" x14ac:dyDescent="0.2">
      <c r="A379" s="1"/>
    </row>
    <row r="380" spans="1:1" x14ac:dyDescent="0.2">
      <c r="A380" s="1"/>
    </row>
    <row r="381" spans="1:1" x14ac:dyDescent="0.2">
      <c r="A381" s="1"/>
    </row>
    <row r="382" spans="1:1" x14ac:dyDescent="0.2">
      <c r="A382" s="1"/>
    </row>
    <row r="383" spans="1:1" x14ac:dyDescent="0.2">
      <c r="A383" s="1"/>
    </row>
    <row r="384" spans="1:1" x14ac:dyDescent="0.2">
      <c r="A384" s="1"/>
    </row>
    <row r="385" spans="1:1" x14ac:dyDescent="0.2">
      <c r="A385" s="1"/>
    </row>
    <row r="386" spans="1:1" x14ac:dyDescent="0.2">
      <c r="A386" s="1"/>
    </row>
    <row r="387" spans="1:1" x14ac:dyDescent="0.2">
      <c r="A387" s="1"/>
    </row>
    <row r="388" spans="1:1" x14ac:dyDescent="0.2">
      <c r="A388" s="1"/>
    </row>
    <row r="389" spans="1:1" x14ac:dyDescent="0.2">
      <c r="A389" s="1"/>
    </row>
    <row r="390" spans="1:1" x14ac:dyDescent="0.2">
      <c r="A390" s="1"/>
    </row>
    <row r="391" spans="1:1" x14ac:dyDescent="0.2">
      <c r="A391" s="1"/>
    </row>
    <row r="392" spans="1:1" x14ac:dyDescent="0.2">
      <c r="A392" s="1"/>
    </row>
    <row r="393" spans="1:1" x14ac:dyDescent="0.2">
      <c r="A393" s="1"/>
    </row>
    <row r="394" spans="1:1" x14ac:dyDescent="0.2">
      <c r="A394" s="1"/>
    </row>
    <row r="395" spans="1:1" x14ac:dyDescent="0.2">
      <c r="A395" s="1"/>
    </row>
    <row r="396" spans="1:1" x14ac:dyDescent="0.2">
      <c r="A396" s="1"/>
    </row>
    <row r="397" spans="1:1" x14ac:dyDescent="0.2">
      <c r="A397" s="1"/>
    </row>
    <row r="398" spans="1:1" x14ac:dyDescent="0.2">
      <c r="A398" s="1"/>
    </row>
    <row r="399" spans="1:1" x14ac:dyDescent="0.2">
      <c r="A399" s="1"/>
    </row>
    <row r="400" spans="1:1" x14ac:dyDescent="0.2">
      <c r="A400" s="1"/>
    </row>
    <row r="401" spans="1:1" x14ac:dyDescent="0.2">
      <c r="A401" s="1"/>
    </row>
    <row r="402" spans="1:1" x14ac:dyDescent="0.2">
      <c r="A402" s="1"/>
    </row>
    <row r="403" spans="1:1" x14ac:dyDescent="0.2">
      <c r="A403" s="1"/>
    </row>
    <row r="404" spans="1:1" x14ac:dyDescent="0.2">
      <c r="A404" s="1"/>
    </row>
    <row r="405" spans="1:1" x14ac:dyDescent="0.2">
      <c r="A405" s="1"/>
    </row>
    <row r="406" spans="1:1" x14ac:dyDescent="0.2">
      <c r="A406" s="1"/>
    </row>
    <row r="407" spans="1:1" x14ac:dyDescent="0.2">
      <c r="A407" s="1"/>
    </row>
    <row r="408" spans="1:1" x14ac:dyDescent="0.2">
      <c r="A408" s="1"/>
    </row>
    <row r="409" spans="1:1" x14ac:dyDescent="0.2">
      <c r="A409" s="1"/>
    </row>
    <row r="410" spans="1:1" x14ac:dyDescent="0.2">
      <c r="A410" s="1"/>
    </row>
    <row r="411" spans="1:1" x14ac:dyDescent="0.2">
      <c r="A411" s="1"/>
    </row>
    <row r="412" spans="1:1" x14ac:dyDescent="0.2">
      <c r="A412" s="1"/>
    </row>
    <row r="413" spans="1:1" x14ac:dyDescent="0.2">
      <c r="A413" s="1"/>
    </row>
    <row r="414" spans="1:1" x14ac:dyDescent="0.2">
      <c r="A414" s="1"/>
    </row>
    <row r="415" spans="1:1" x14ac:dyDescent="0.2">
      <c r="A415" s="1"/>
    </row>
    <row r="416" spans="1:1" x14ac:dyDescent="0.2">
      <c r="A416" s="1"/>
    </row>
    <row r="417" spans="1:1" x14ac:dyDescent="0.2">
      <c r="A417" s="1"/>
    </row>
    <row r="418" spans="1:1" x14ac:dyDescent="0.2">
      <c r="A418" s="1"/>
    </row>
    <row r="419" spans="1:1" x14ac:dyDescent="0.2">
      <c r="A419" s="1"/>
    </row>
    <row r="420" spans="1:1" x14ac:dyDescent="0.2">
      <c r="A420" s="1"/>
    </row>
  </sheetData>
  <mergeCells count="77">
    <mergeCell ref="W9:X9"/>
    <mergeCell ref="P9:Q9"/>
    <mergeCell ref="B9:C9"/>
    <mergeCell ref="D9:E9"/>
    <mergeCell ref="F9:G9"/>
    <mergeCell ref="H9:I9"/>
    <mergeCell ref="J9:K9"/>
    <mergeCell ref="T9:U9"/>
    <mergeCell ref="L18:M18"/>
    <mergeCell ref="N18:O18"/>
    <mergeCell ref="L9:M9"/>
    <mergeCell ref="N9:O9"/>
    <mergeCell ref="R9:S9"/>
    <mergeCell ref="B18:C18"/>
    <mergeCell ref="D18:E18"/>
    <mergeCell ref="F18:G18"/>
    <mergeCell ref="H18:I18"/>
    <mergeCell ref="J18:K18"/>
    <mergeCell ref="P22:Q22"/>
    <mergeCell ref="R22:S22"/>
    <mergeCell ref="W22:X22"/>
    <mergeCell ref="R18:S18"/>
    <mergeCell ref="W18:X18"/>
    <mergeCell ref="P18:Q18"/>
    <mergeCell ref="T18:U18"/>
    <mergeCell ref="T22:U22"/>
    <mergeCell ref="J22:K22"/>
    <mergeCell ref="L22:M22"/>
    <mergeCell ref="N22:O22"/>
    <mergeCell ref="B22:C22"/>
    <mergeCell ref="D22:E22"/>
    <mergeCell ref="F22:G22"/>
    <mergeCell ref="H22:I22"/>
    <mergeCell ref="B31:C31"/>
    <mergeCell ref="D31:E31"/>
    <mergeCell ref="F31:G31"/>
    <mergeCell ref="H31:I31"/>
    <mergeCell ref="P31:Q31"/>
    <mergeCell ref="J31:K31"/>
    <mergeCell ref="L31:M31"/>
    <mergeCell ref="N31:O31"/>
    <mergeCell ref="R24:S24"/>
    <mergeCell ref="W24:X24"/>
    <mergeCell ref="P24:Q24"/>
    <mergeCell ref="B24:C24"/>
    <mergeCell ref="D24:E24"/>
    <mergeCell ref="F24:G24"/>
    <mergeCell ref="H24:I24"/>
    <mergeCell ref="J24:K24"/>
    <mergeCell ref="L24:M24"/>
    <mergeCell ref="N24:O24"/>
    <mergeCell ref="T24:U24"/>
    <mergeCell ref="R31:S31"/>
    <mergeCell ref="W34:X34"/>
    <mergeCell ref="P34:Q34"/>
    <mergeCell ref="R34:S34"/>
    <mergeCell ref="J34:K34"/>
    <mergeCell ref="L34:M34"/>
    <mergeCell ref="N34:O34"/>
    <mergeCell ref="W31:X31"/>
    <mergeCell ref="T31:U31"/>
    <mergeCell ref="T34:U34"/>
    <mergeCell ref="P39:Q39"/>
    <mergeCell ref="R39:S39"/>
    <mergeCell ref="W39:X39"/>
    <mergeCell ref="B39:C39"/>
    <mergeCell ref="D39:E39"/>
    <mergeCell ref="F39:G39"/>
    <mergeCell ref="H39:I39"/>
    <mergeCell ref="J39:K39"/>
    <mergeCell ref="T39:U39"/>
    <mergeCell ref="B34:C34"/>
    <mergeCell ref="D34:E34"/>
    <mergeCell ref="F34:G34"/>
    <mergeCell ref="L39:M39"/>
    <mergeCell ref="N39:O39"/>
    <mergeCell ref="H34:I34"/>
  </mergeCells>
  <printOptions horizontalCentered="1"/>
  <pageMargins left="0.5" right="0.75" top="0.5" bottom="0.5" header="0.25" footer="0.25"/>
  <pageSetup scale="70" orientation="landscape" r:id="rId1"/>
  <headerFooter alignWithMargins="0">
    <oddFooter>&amp;LPrepared by Planning and Analysis&amp;C&amp;P of &amp;N&amp;RUpdated &amp;D</oddFooter>
  </headerFooter>
  <rowBreaks count="1" manualBreakCount="1">
    <brk id="37" max="21" man="1"/>
  </rowBreaks>
  <colBreaks count="1" manualBreakCount="1">
    <brk id="21" min="8" max="73" man="1"/>
  </colBreaks>
  <ignoredErrors>
    <ignoredError sqref="D52:N71 R5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422"/>
  <sheetViews>
    <sheetView view="pageBreakPreview" zoomScaleNormal="85" zoomScaleSheetLayoutView="100" workbookViewId="0">
      <pane xSplit="1" ySplit="1" topLeftCell="T2" activePane="bottomRight" state="frozen"/>
      <selection activeCell="T36" sqref="T36:U36"/>
      <selection pane="topRight" activeCell="T36" sqref="T36:U36"/>
      <selection pane="bottomLeft" activeCell="T36" sqref="T36:U36"/>
      <selection pane="bottomRight" activeCell="T36" sqref="T36:U36"/>
    </sheetView>
  </sheetViews>
  <sheetFormatPr defaultColWidth="10.28515625" defaultRowHeight="12.75" x14ac:dyDescent="0.2"/>
  <cols>
    <col min="1" max="1" width="33.5703125" customWidth="1"/>
    <col min="2" max="2" width="6.7109375" hidden="1" customWidth="1"/>
    <col min="3" max="3" width="10.7109375" hidden="1" customWidth="1"/>
    <col min="4" max="4" width="6.7109375" hidden="1" customWidth="1"/>
    <col min="5" max="5" width="10.7109375" hidden="1" customWidth="1"/>
    <col min="6" max="6" width="6.7109375" customWidth="1"/>
    <col min="7" max="7" width="10.7109375" customWidth="1"/>
    <col min="8" max="8" width="6.7109375" customWidth="1"/>
    <col min="9" max="9" width="10.7109375" customWidth="1"/>
    <col min="10" max="10" width="6.7109375" customWidth="1"/>
    <col min="11" max="11" width="10.7109375" customWidth="1"/>
    <col min="12" max="12" width="6.7109375" customWidth="1"/>
    <col min="13" max="13" width="10.7109375" customWidth="1"/>
    <col min="14" max="14" width="6.7109375" customWidth="1"/>
    <col min="15" max="15" width="10.7109375" customWidth="1"/>
    <col min="16" max="16" width="6.7109375" customWidth="1"/>
    <col min="17" max="17" width="10.7109375" customWidth="1"/>
    <col min="18" max="18" width="6.7109375" customWidth="1"/>
    <col min="19" max="19" width="10.7109375" customWidth="1"/>
    <col min="20" max="20" width="6.7109375" customWidth="1"/>
    <col min="21" max="21" width="10.7109375" customWidth="1"/>
    <col min="22" max="22" width="3.28515625" customWidth="1"/>
    <col min="23" max="23" width="6.7109375" customWidth="1"/>
    <col min="24" max="24" width="10.7109375" customWidth="1"/>
    <col min="25" max="25" width="1.5703125" customWidth="1"/>
  </cols>
  <sheetData>
    <row r="1" spans="1:24" ht="15.75" x14ac:dyDescent="0.25">
      <c r="A1" s="667" t="s">
        <v>240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</row>
    <row r="2" spans="1:24" ht="15.75" x14ac:dyDescent="0.25">
      <c r="A2" s="667" t="s">
        <v>241</v>
      </c>
    </row>
    <row r="3" spans="1:24" ht="15.75" x14ac:dyDescent="0.25">
      <c r="A3" s="667"/>
    </row>
    <row r="4" spans="1:24" ht="15.75" x14ac:dyDescent="0.25">
      <c r="A4" s="668" t="s">
        <v>261</v>
      </c>
    </row>
    <row r="5" spans="1:24" ht="15.75" x14ac:dyDescent="0.25">
      <c r="A5" s="668"/>
    </row>
    <row r="6" spans="1:24" x14ac:dyDescent="0.2">
      <c r="A6" s="3" t="s">
        <v>85</v>
      </c>
    </row>
    <row r="7" spans="1:24" x14ac:dyDescent="0.2">
      <c r="A7" s="720">
        <v>3670020050</v>
      </c>
    </row>
    <row r="8" spans="1:24" ht="13.5" thickBot="1" x14ac:dyDescent="0.25">
      <c r="A8" s="1"/>
    </row>
    <row r="9" spans="1:24" ht="15" customHeight="1" thickTop="1" x14ac:dyDescent="0.2">
      <c r="A9" s="4"/>
      <c r="B9" s="1401" t="s">
        <v>0</v>
      </c>
      <c r="C9" s="1398"/>
      <c r="D9" s="1401" t="s">
        <v>1</v>
      </c>
      <c r="E9" s="1398"/>
      <c r="F9" s="1401" t="s">
        <v>2</v>
      </c>
      <c r="G9" s="1398"/>
      <c r="H9" s="1401" t="s">
        <v>3</v>
      </c>
      <c r="I9" s="1398"/>
      <c r="J9" s="1401" t="s">
        <v>4</v>
      </c>
      <c r="K9" s="1398"/>
      <c r="L9" s="1401" t="s">
        <v>5</v>
      </c>
      <c r="M9" s="1398"/>
      <c r="N9" s="1401" t="s">
        <v>6</v>
      </c>
      <c r="O9" s="1398"/>
      <c r="P9" s="1401" t="s">
        <v>7</v>
      </c>
      <c r="Q9" s="1398"/>
      <c r="R9" s="1401" t="s">
        <v>8</v>
      </c>
      <c r="S9" s="1398"/>
      <c r="T9" s="1401" t="s">
        <v>301</v>
      </c>
      <c r="U9" s="1402"/>
      <c r="W9" s="1407" t="s">
        <v>9</v>
      </c>
      <c r="X9" s="1408"/>
    </row>
    <row r="10" spans="1:24" ht="15" customHeight="1" x14ac:dyDescent="0.2">
      <c r="A10" s="5"/>
      <c r="B10" s="68" t="s">
        <v>287</v>
      </c>
      <c r="C10" s="8" t="s">
        <v>10</v>
      </c>
      <c r="D10" s="68" t="s">
        <v>287</v>
      </c>
      <c r="E10" s="8" t="s">
        <v>10</v>
      </c>
      <c r="F10" s="68" t="s">
        <v>287</v>
      </c>
      <c r="G10" s="8" t="s">
        <v>10</v>
      </c>
      <c r="H10" s="68" t="s">
        <v>287</v>
      </c>
      <c r="I10" s="8" t="s">
        <v>10</v>
      </c>
      <c r="J10" s="68" t="s">
        <v>287</v>
      </c>
      <c r="K10" s="8" t="s">
        <v>10</v>
      </c>
      <c r="L10" s="68" t="s">
        <v>287</v>
      </c>
      <c r="M10" s="8" t="s">
        <v>10</v>
      </c>
      <c r="N10" s="68" t="s">
        <v>287</v>
      </c>
      <c r="O10" s="8" t="s">
        <v>10</v>
      </c>
      <c r="P10" s="68" t="s">
        <v>287</v>
      </c>
      <c r="Q10" s="8" t="s">
        <v>10</v>
      </c>
      <c r="R10" s="68" t="s">
        <v>287</v>
      </c>
      <c r="S10" s="8" t="s">
        <v>10</v>
      </c>
      <c r="T10" s="68" t="s">
        <v>287</v>
      </c>
      <c r="U10" s="97" t="s">
        <v>10</v>
      </c>
      <c r="W10" s="6" t="s">
        <v>287</v>
      </c>
      <c r="X10" s="7" t="s">
        <v>11</v>
      </c>
    </row>
    <row r="11" spans="1:24" ht="15" customHeight="1" thickBot="1" x14ac:dyDescent="0.25">
      <c r="A11" s="70" t="s">
        <v>77</v>
      </c>
      <c r="B11" s="69" t="s">
        <v>12</v>
      </c>
      <c r="C11" s="922" t="s">
        <v>13</v>
      </c>
      <c r="D11" s="69" t="s">
        <v>12</v>
      </c>
      <c r="E11" s="922" t="s">
        <v>13</v>
      </c>
      <c r="F11" s="69" t="s">
        <v>12</v>
      </c>
      <c r="G11" s="922" t="s">
        <v>13</v>
      </c>
      <c r="H11" s="69" t="s">
        <v>12</v>
      </c>
      <c r="I11" s="922" t="s">
        <v>13</v>
      </c>
      <c r="J11" s="69" t="s">
        <v>12</v>
      </c>
      <c r="K11" s="922" t="s">
        <v>13</v>
      </c>
      <c r="L11" s="69" t="s">
        <v>12</v>
      </c>
      <c r="M11" s="922" t="s">
        <v>13</v>
      </c>
      <c r="N11" s="69" t="s">
        <v>12</v>
      </c>
      <c r="O11" s="922" t="s">
        <v>13</v>
      </c>
      <c r="P11" s="69" t="s">
        <v>12</v>
      </c>
      <c r="Q11" s="922" t="s">
        <v>13</v>
      </c>
      <c r="R11" s="69" t="s">
        <v>12</v>
      </c>
      <c r="S11" s="922" t="s">
        <v>13</v>
      </c>
      <c r="T11" s="69" t="s">
        <v>12</v>
      </c>
      <c r="U11" s="10" t="s">
        <v>13</v>
      </c>
      <c r="W11" s="9" t="s">
        <v>12</v>
      </c>
      <c r="X11" s="10" t="s">
        <v>13</v>
      </c>
    </row>
    <row r="12" spans="1:24" ht="15" customHeight="1" x14ac:dyDescent="0.2">
      <c r="A12" s="270" t="s">
        <v>84</v>
      </c>
      <c r="B12" s="13"/>
      <c r="C12" s="14"/>
      <c r="D12" s="11"/>
      <c r="E12" s="12"/>
      <c r="F12" s="13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5"/>
      <c r="W12" s="16"/>
      <c r="X12" s="17"/>
    </row>
    <row r="13" spans="1:24" s="23" customFormat="1" ht="15" customHeight="1" x14ac:dyDescent="0.2">
      <c r="A13" s="18" t="s">
        <v>15</v>
      </c>
      <c r="B13" s="20">
        <v>23</v>
      </c>
      <c r="C13" s="21"/>
      <c r="D13" s="22">
        <v>35</v>
      </c>
      <c r="E13" s="19"/>
      <c r="F13" s="22">
        <v>32</v>
      </c>
      <c r="G13" s="147"/>
      <c r="H13" s="22">
        <v>32</v>
      </c>
      <c r="I13" s="147"/>
      <c r="J13" s="22">
        <f>22+15+3</f>
        <v>40</v>
      </c>
      <c r="K13" s="147"/>
      <c r="L13" s="22">
        <f>21+21</f>
        <v>42</v>
      </c>
      <c r="M13" s="147"/>
      <c r="N13" s="22">
        <v>54</v>
      </c>
      <c r="O13" s="147"/>
      <c r="P13" s="22">
        <v>66</v>
      </c>
      <c r="Q13" s="147"/>
      <c r="R13" s="22">
        <f>39+37</f>
        <v>76</v>
      </c>
      <c r="S13" s="147"/>
      <c r="T13" s="20">
        <v>87</v>
      </c>
      <c r="U13" s="151"/>
      <c r="W13" s="16">
        <f>AVERAGE(N13,L13,R13,T13,P13)</f>
        <v>65</v>
      </c>
      <c r="X13" s="24"/>
    </row>
    <row r="14" spans="1:24" s="23" customFormat="1" ht="15" customHeight="1" thickBot="1" x14ac:dyDescent="0.25">
      <c r="A14" s="27" t="s">
        <v>16</v>
      </c>
      <c r="B14" s="29">
        <v>37</v>
      </c>
      <c r="C14" s="26"/>
      <c r="D14" s="86">
        <v>35</v>
      </c>
      <c r="E14" s="25"/>
      <c r="F14" s="86">
        <v>25</v>
      </c>
      <c r="G14" s="148"/>
      <c r="H14" s="86">
        <v>33</v>
      </c>
      <c r="I14" s="148"/>
      <c r="J14" s="86">
        <f>15+19</f>
        <v>34</v>
      </c>
      <c r="K14" s="148"/>
      <c r="L14" s="86">
        <f>21+24</f>
        <v>45</v>
      </c>
      <c r="M14" s="148"/>
      <c r="N14" s="86">
        <v>49</v>
      </c>
      <c r="O14" s="148"/>
      <c r="P14" s="86">
        <v>57</v>
      </c>
      <c r="Q14" s="148"/>
      <c r="R14" s="86">
        <f>37+30</f>
        <v>67</v>
      </c>
      <c r="S14" s="148"/>
      <c r="T14" s="29">
        <v>94</v>
      </c>
      <c r="U14" s="152"/>
      <c r="W14" s="16">
        <f>AVERAGE(N14,L14,R14,T14,P14)</f>
        <v>62.4</v>
      </c>
      <c r="X14" s="174"/>
    </row>
    <row r="15" spans="1:24" s="73" customFormat="1" ht="15" customHeight="1" thickBot="1" x14ac:dyDescent="0.25">
      <c r="A15" s="98" t="s">
        <v>17</v>
      </c>
      <c r="B15" s="89">
        <f t="shared" ref="B15:R15" si="0">SUM(B13:B14)</f>
        <v>60</v>
      </c>
      <c r="C15" s="100">
        <v>11</v>
      </c>
      <c r="D15" s="89">
        <f t="shared" si="0"/>
        <v>70</v>
      </c>
      <c r="E15" s="100">
        <v>12</v>
      </c>
      <c r="F15" s="89">
        <f t="shared" si="0"/>
        <v>57</v>
      </c>
      <c r="G15" s="100">
        <v>12</v>
      </c>
      <c r="H15" s="89">
        <f t="shared" si="0"/>
        <v>65</v>
      </c>
      <c r="I15" s="100">
        <v>10</v>
      </c>
      <c r="J15" s="89">
        <f t="shared" si="0"/>
        <v>74</v>
      </c>
      <c r="K15" s="100">
        <v>10</v>
      </c>
      <c r="L15" s="89">
        <f t="shared" si="0"/>
        <v>87</v>
      </c>
      <c r="M15" s="100">
        <v>10</v>
      </c>
      <c r="N15" s="640">
        <f>N14+N13</f>
        <v>103</v>
      </c>
      <c r="O15" s="100">
        <v>19</v>
      </c>
      <c r="P15" s="89">
        <f t="shared" si="0"/>
        <v>123</v>
      </c>
      <c r="Q15" s="100">
        <v>14</v>
      </c>
      <c r="R15" s="89">
        <f t="shared" si="0"/>
        <v>143</v>
      </c>
      <c r="S15" s="100">
        <v>11</v>
      </c>
      <c r="T15" s="89">
        <v>181</v>
      </c>
      <c r="U15" s="1281"/>
      <c r="W15" s="482">
        <f>AVERAGE(N15,L15,R15,T15,P15)</f>
        <v>127.4</v>
      </c>
      <c r="X15" s="483">
        <f>AVERAGE(O15,M15,S15,K15,Q15)</f>
        <v>12.8</v>
      </c>
    </row>
    <row r="16" spans="1:24" s="23" customFormat="1" ht="15" customHeight="1" x14ac:dyDescent="0.2">
      <c r="A16" s="28" t="s">
        <v>20</v>
      </c>
      <c r="B16" s="20">
        <v>6</v>
      </c>
      <c r="C16" s="26">
        <v>3</v>
      </c>
      <c r="D16" s="22">
        <v>8</v>
      </c>
      <c r="E16" s="25">
        <v>2</v>
      </c>
      <c r="F16" s="20">
        <v>7</v>
      </c>
      <c r="G16" s="25">
        <v>4</v>
      </c>
      <c r="H16" s="20">
        <v>4</v>
      </c>
      <c r="I16" s="25">
        <v>2</v>
      </c>
      <c r="J16" s="20">
        <v>3</v>
      </c>
      <c r="K16" s="25">
        <v>2</v>
      </c>
      <c r="L16" s="20">
        <v>5</v>
      </c>
      <c r="M16" s="25">
        <v>1</v>
      </c>
      <c r="N16" s="20">
        <v>7</v>
      </c>
      <c r="O16" s="25">
        <v>3</v>
      </c>
      <c r="P16" s="20">
        <v>8</v>
      </c>
      <c r="Q16" s="25">
        <v>6</v>
      </c>
      <c r="R16" s="20">
        <v>2</v>
      </c>
      <c r="S16" s="25">
        <v>1</v>
      </c>
      <c r="T16" s="20">
        <v>2</v>
      </c>
      <c r="U16" s="152"/>
      <c r="W16" s="16">
        <f>AVERAGE(N16,L16,R16,T16,P16)</f>
        <v>4.8</v>
      </c>
      <c r="X16" s="470">
        <f t="shared" ref="X16:X17" si="1">AVERAGE(O16,M16,S16,K16,Q16)</f>
        <v>2.6</v>
      </c>
    </row>
    <row r="17" spans="1:27" s="23" customFormat="1" ht="15" customHeight="1" thickBot="1" x14ac:dyDescent="0.25">
      <c r="A17" s="30" t="s">
        <v>86</v>
      </c>
      <c r="B17" s="33">
        <v>21</v>
      </c>
      <c r="C17" s="34">
        <v>3</v>
      </c>
      <c r="D17" s="31">
        <v>22</v>
      </c>
      <c r="E17" s="32">
        <v>4</v>
      </c>
      <c r="F17" s="33">
        <v>26</v>
      </c>
      <c r="G17" s="32">
        <v>2</v>
      </c>
      <c r="H17" s="33">
        <v>28</v>
      </c>
      <c r="I17" s="32">
        <v>2</v>
      </c>
      <c r="J17" s="33">
        <v>29</v>
      </c>
      <c r="K17" s="32">
        <v>6</v>
      </c>
      <c r="L17" s="33">
        <v>27</v>
      </c>
      <c r="M17" s="32">
        <v>3</v>
      </c>
      <c r="N17" s="33">
        <v>27</v>
      </c>
      <c r="O17" s="32">
        <v>3</v>
      </c>
      <c r="P17" s="33">
        <v>26</v>
      </c>
      <c r="Q17" s="32">
        <v>6</v>
      </c>
      <c r="R17" s="33">
        <v>22</v>
      </c>
      <c r="S17" s="32">
        <v>8</v>
      </c>
      <c r="T17" s="33">
        <v>22</v>
      </c>
      <c r="U17" s="1282"/>
      <c r="W17" s="16">
        <f>AVERAGE(N17,L17,R17,T17,P17)</f>
        <v>24.8</v>
      </c>
      <c r="X17" s="470">
        <f t="shared" si="1"/>
        <v>5.2</v>
      </c>
    </row>
    <row r="18" spans="1:27" ht="18" customHeight="1" thickTop="1" thickBot="1" x14ac:dyDescent="0.25">
      <c r="A18" s="72" t="s">
        <v>71</v>
      </c>
      <c r="B18" s="1375"/>
      <c r="C18" s="1376"/>
      <c r="D18" s="1375"/>
      <c r="E18" s="1376"/>
      <c r="F18" s="1375"/>
      <c r="G18" s="1376"/>
      <c r="H18" s="1375"/>
      <c r="I18" s="1376"/>
      <c r="J18" s="1375"/>
      <c r="K18" s="1376"/>
      <c r="L18" s="1375"/>
      <c r="M18" s="1376"/>
      <c r="N18" s="1375"/>
      <c r="O18" s="1376"/>
      <c r="P18" s="1375"/>
      <c r="Q18" s="1376"/>
      <c r="R18" s="1375"/>
      <c r="S18" s="1376"/>
      <c r="T18" s="1375"/>
      <c r="U18" s="1384"/>
      <c r="W18" s="1378"/>
      <c r="X18" s="1379"/>
    </row>
    <row r="19" spans="1:27" ht="15" customHeight="1" x14ac:dyDescent="0.2">
      <c r="A19" s="101" t="s">
        <v>79</v>
      </c>
      <c r="B19" s="103"/>
      <c r="C19" s="104"/>
      <c r="D19" s="103"/>
      <c r="E19" s="104"/>
      <c r="F19" s="103"/>
      <c r="G19" s="104"/>
      <c r="H19" s="103"/>
      <c r="I19" s="104"/>
      <c r="J19" s="103"/>
      <c r="K19" s="104"/>
      <c r="L19" s="103"/>
      <c r="M19" s="104"/>
      <c r="N19" s="103"/>
      <c r="O19" s="104"/>
      <c r="P19" s="103"/>
      <c r="Q19" s="104"/>
      <c r="R19" s="103"/>
      <c r="S19" s="104"/>
      <c r="T19" s="103"/>
      <c r="U19" s="105"/>
      <c r="W19" s="66"/>
      <c r="X19" s="852" t="e">
        <f>AVERAGE(O19,M19,I19,K19,Q19)</f>
        <v>#DIV/0!</v>
      </c>
    </row>
    <row r="20" spans="1:27" ht="15" customHeight="1" x14ac:dyDescent="0.2">
      <c r="A20" s="44" t="s">
        <v>72</v>
      </c>
      <c r="B20" s="102"/>
      <c r="C20" s="135">
        <v>0.22</v>
      </c>
      <c r="D20" s="244"/>
      <c r="E20" s="135">
        <v>0.46</v>
      </c>
      <c r="F20" s="244"/>
      <c r="G20" s="135">
        <v>0.14000000000000001</v>
      </c>
      <c r="H20" s="244"/>
      <c r="I20" s="135">
        <v>0.33</v>
      </c>
      <c r="J20" s="244"/>
      <c r="K20" s="135">
        <v>0.2</v>
      </c>
      <c r="L20" s="244"/>
      <c r="M20" s="135">
        <v>0.56999999999999995</v>
      </c>
      <c r="N20" s="244"/>
      <c r="O20" s="135">
        <v>0.56999999999999995</v>
      </c>
      <c r="P20" s="244"/>
      <c r="Q20" s="135">
        <v>0.36</v>
      </c>
      <c r="R20" s="244"/>
      <c r="S20" s="135"/>
      <c r="T20" s="244"/>
      <c r="U20" s="1271"/>
      <c r="W20" s="66"/>
      <c r="X20" s="1255">
        <f>AVERAGE(O20,M20,S20,K20,Q20)</f>
        <v>0.42499999999999993</v>
      </c>
    </row>
    <row r="21" spans="1:27" ht="15" customHeight="1" x14ac:dyDescent="0.2">
      <c r="A21" s="44" t="s">
        <v>73</v>
      </c>
      <c r="B21" s="75"/>
      <c r="C21" s="136">
        <v>0.67</v>
      </c>
      <c r="D21" s="245"/>
      <c r="E21" s="136">
        <v>0.38</v>
      </c>
      <c r="F21" s="245"/>
      <c r="G21" s="136">
        <v>0.86</v>
      </c>
      <c r="H21" s="245"/>
      <c r="I21" s="136">
        <v>0.67</v>
      </c>
      <c r="J21" s="245"/>
      <c r="K21" s="136">
        <v>0.7</v>
      </c>
      <c r="L21" s="245"/>
      <c r="M21" s="136">
        <v>0.43</v>
      </c>
      <c r="N21" s="245"/>
      <c r="O21" s="136">
        <v>0.43</v>
      </c>
      <c r="P21" s="245"/>
      <c r="Q21" s="136">
        <v>0.64</v>
      </c>
      <c r="R21" s="245"/>
      <c r="S21" s="136"/>
      <c r="T21" s="245"/>
      <c r="U21" s="1276"/>
      <c r="W21" s="66"/>
      <c r="X21" s="1255">
        <f>AVERAGE(O21,M21,S21,K21,Q21)</f>
        <v>0.55000000000000004</v>
      </c>
    </row>
    <row r="22" spans="1:27" ht="15" customHeight="1" thickBot="1" x14ac:dyDescent="0.25">
      <c r="A22" s="74" t="s">
        <v>75</v>
      </c>
      <c r="B22" s="76"/>
      <c r="C22" s="77"/>
      <c r="D22" s="76"/>
      <c r="E22" s="77"/>
      <c r="F22" s="76"/>
      <c r="G22" s="77"/>
      <c r="H22" s="76"/>
      <c r="I22" s="77"/>
      <c r="J22" s="76"/>
      <c r="K22" s="77"/>
      <c r="L22" s="76"/>
      <c r="M22" s="77"/>
      <c r="N22" s="76"/>
      <c r="O22" s="77"/>
      <c r="P22" s="76"/>
      <c r="Q22" s="77"/>
      <c r="R22" s="76"/>
      <c r="S22" s="77"/>
      <c r="T22" s="76"/>
      <c r="U22" s="78"/>
      <c r="W22" s="542"/>
      <c r="X22" s="543" t="e">
        <f>AVERAGE(O22,M22,S22,U22,Q22)</f>
        <v>#DIV/0!</v>
      </c>
    </row>
    <row r="23" spans="1:27" ht="18" customHeight="1" thickTop="1" thickBot="1" x14ac:dyDescent="0.25">
      <c r="A23" s="221" t="s">
        <v>78</v>
      </c>
      <c r="B23" s="1380"/>
      <c r="C23" s="1381"/>
      <c r="D23" s="1380"/>
      <c r="E23" s="1381"/>
      <c r="F23" s="1380"/>
      <c r="G23" s="1381"/>
      <c r="H23" s="1380"/>
      <c r="I23" s="1381"/>
      <c r="J23" s="1380"/>
      <c r="K23" s="1381"/>
      <c r="L23" s="1380"/>
      <c r="M23" s="1381"/>
      <c r="N23" s="1380"/>
      <c r="O23" s="1381"/>
      <c r="P23" s="1380"/>
      <c r="Q23" s="1381"/>
      <c r="R23" s="1380"/>
      <c r="S23" s="1381"/>
      <c r="T23" s="1380"/>
      <c r="U23" s="1383"/>
      <c r="W23" s="1382"/>
      <c r="X23" s="1383"/>
    </row>
    <row r="24" spans="1:27" ht="15" customHeight="1" thickBot="1" x14ac:dyDescent="0.25">
      <c r="A24" s="222" t="s">
        <v>206</v>
      </c>
      <c r="B24" s="223"/>
      <c r="C24" s="224">
        <v>28.1</v>
      </c>
      <c r="D24" s="223"/>
      <c r="E24" s="224">
        <v>28</v>
      </c>
      <c r="F24" s="223"/>
      <c r="G24" s="224">
        <v>27.3</v>
      </c>
      <c r="H24" s="223"/>
      <c r="I24" s="224">
        <v>27</v>
      </c>
      <c r="J24" s="223"/>
      <c r="K24" s="224">
        <v>27.9</v>
      </c>
      <c r="L24" s="223"/>
      <c r="M24" s="224">
        <v>27.6</v>
      </c>
      <c r="N24" s="223"/>
      <c r="O24" s="224">
        <v>27.5</v>
      </c>
      <c r="P24" s="223"/>
      <c r="Q24" s="224">
        <v>28.1</v>
      </c>
      <c r="R24" s="223"/>
      <c r="S24" s="224">
        <v>27.9</v>
      </c>
      <c r="T24" s="223"/>
      <c r="U24" s="225"/>
      <c r="W24" s="247"/>
      <c r="X24" s="248">
        <f>AVERAGE(O24,M24,S24,U24,Q24)</f>
        <v>27.774999999999999</v>
      </c>
    </row>
    <row r="25" spans="1:27" ht="18" customHeight="1" thickTop="1" thickBot="1" x14ac:dyDescent="0.25">
      <c r="A25" s="82" t="s">
        <v>22</v>
      </c>
      <c r="B25" s="1375"/>
      <c r="C25" s="1376"/>
      <c r="D25" s="1375"/>
      <c r="E25" s="1376"/>
      <c r="F25" s="1375"/>
      <c r="G25" s="1376"/>
      <c r="H25" s="1375"/>
      <c r="I25" s="1376"/>
      <c r="J25" s="1375"/>
      <c r="K25" s="1376"/>
      <c r="L25" s="1375"/>
      <c r="M25" s="1376"/>
      <c r="N25" s="1375"/>
      <c r="O25" s="1376"/>
      <c r="P25" s="1375"/>
      <c r="Q25" s="1376"/>
      <c r="R25" s="1375"/>
      <c r="S25" s="1376"/>
      <c r="T25" s="1375"/>
      <c r="U25" s="1384"/>
      <c r="W25" s="1378"/>
      <c r="X25" s="1379"/>
    </row>
    <row r="26" spans="1:27" ht="15" customHeight="1" x14ac:dyDescent="0.2">
      <c r="A26" s="44" t="s">
        <v>24</v>
      </c>
      <c r="B26" s="46"/>
      <c r="C26" s="48">
        <v>1008</v>
      </c>
      <c r="D26" s="45"/>
      <c r="E26" s="47">
        <v>1133</v>
      </c>
      <c r="F26" s="46"/>
      <c r="G26" s="47">
        <v>1470</v>
      </c>
      <c r="H26" s="46"/>
      <c r="I26" s="47">
        <v>1505</v>
      </c>
      <c r="J26" s="46"/>
      <c r="K26" s="47">
        <v>1600</v>
      </c>
      <c r="L26" s="46"/>
      <c r="M26" s="47">
        <v>1844</v>
      </c>
      <c r="N26" s="46"/>
      <c r="O26" s="47">
        <v>1752</v>
      </c>
      <c r="P26" s="46"/>
      <c r="Q26" s="47">
        <v>2035</v>
      </c>
      <c r="R26" s="46"/>
      <c r="S26" s="47">
        <v>2043</v>
      </c>
      <c r="T26" s="46"/>
      <c r="U26" s="1273"/>
      <c r="W26" s="50"/>
      <c r="X26" s="51">
        <f>AVERAGE(O26,M26,S26,K26,Q26)</f>
        <v>1854.8</v>
      </c>
    </row>
    <row r="27" spans="1:27" ht="15" customHeight="1" x14ac:dyDescent="0.2">
      <c r="A27" s="44" t="s">
        <v>25</v>
      </c>
      <c r="B27" s="46"/>
      <c r="C27" s="48">
        <v>1357</v>
      </c>
      <c r="D27" s="45"/>
      <c r="E27" s="47">
        <v>1649</v>
      </c>
      <c r="F27" s="46"/>
      <c r="G27" s="47">
        <v>1800</v>
      </c>
      <c r="H27" s="46"/>
      <c r="I27" s="47">
        <v>1830</v>
      </c>
      <c r="J27" s="46"/>
      <c r="K27" s="47">
        <v>1792</v>
      </c>
      <c r="L27" s="46"/>
      <c r="M27" s="47">
        <v>1928</v>
      </c>
      <c r="N27" s="46"/>
      <c r="O27" s="47">
        <v>1882</v>
      </c>
      <c r="P27" s="46"/>
      <c r="Q27" s="47">
        <v>2038</v>
      </c>
      <c r="R27" s="46"/>
      <c r="S27" s="47">
        <v>2129</v>
      </c>
      <c r="T27" s="46"/>
      <c r="U27" s="1273"/>
      <c r="W27" s="52"/>
      <c r="X27" s="51">
        <f t="shared" ref="X27:X30" si="2">AVERAGE(O27,M27,S27,K27,Q27)</f>
        <v>1953.8</v>
      </c>
    </row>
    <row r="28" spans="1:27" ht="15" customHeight="1" x14ac:dyDescent="0.2">
      <c r="A28" s="44" t="s">
        <v>26</v>
      </c>
      <c r="B28" s="46"/>
      <c r="C28" s="48">
        <v>538</v>
      </c>
      <c r="D28" s="45"/>
      <c r="E28" s="47">
        <v>399</v>
      </c>
      <c r="F28" s="46"/>
      <c r="G28" s="47">
        <v>389</v>
      </c>
      <c r="H28" s="46"/>
      <c r="I28" s="47">
        <v>412</v>
      </c>
      <c r="J28" s="46"/>
      <c r="K28" s="47">
        <v>353</v>
      </c>
      <c r="L28" s="46"/>
      <c r="M28" s="47">
        <v>518</v>
      </c>
      <c r="N28" s="46"/>
      <c r="O28" s="47">
        <v>522</v>
      </c>
      <c r="P28" s="46"/>
      <c r="Q28" s="47">
        <v>499</v>
      </c>
      <c r="R28" s="46"/>
      <c r="S28" s="47">
        <v>349</v>
      </c>
      <c r="T28" s="46"/>
      <c r="U28" s="1273"/>
      <c r="W28" s="52"/>
      <c r="X28" s="51">
        <f t="shared" si="2"/>
        <v>448.2</v>
      </c>
    </row>
    <row r="29" spans="1:27" ht="15" customHeight="1" thickBot="1" x14ac:dyDescent="0.25">
      <c r="A29" s="44" t="s">
        <v>27</v>
      </c>
      <c r="B29" s="92"/>
      <c r="C29" s="54">
        <v>246</v>
      </c>
      <c r="D29" s="90"/>
      <c r="E29" s="53">
        <v>260</v>
      </c>
      <c r="F29" s="92"/>
      <c r="G29" s="53">
        <v>271</v>
      </c>
      <c r="H29" s="92"/>
      <c r="I29" s="53">
        <v>342</v>
      </c>
      <c r="J29" s="92"/>
      <c r="K29" s="53">
        <v>341</v>
      </c>
      <c r="L29" s="92"/>
      <c r="M29" s="53">
        <v>315</v>
      </c>
      <c r="N29" s="92"/>
      <c r="O29" s="53">
        <v>337</v>
      </c>
      <c r="P29" s="92"/>
      <c r="Q29" s="53">
        <v>301</v>
      </c>
      <c r="R29" s="92"/>
      <c r="S29" s="53">
        <v>254</v>
      </c>
      <c r="T29" s="92"/>
      <c r="U29" s="1274"/>
      <c r="W29" s="63"/>
      <c r="X29" s="484">
        <f t="shared" si="2"/>
        <v>309.60000000000002</v>
      </c>
    </row>
    <row r="30" spans="1:27" ht="15" customHeight="1" thickBot="1" x14ac:dyDescent="0.25">
      <c r="A30" s="55" t="s">
        <v>28</v>
      </c>
      <c r="B30" s="95"/>
      <c r="C30" s="96">
        <f>SUM(C26:C29)</f>
        <v>3149</v>
      </c>
      <c r="D30" s="94"/>
      <c r="E30" s="93">
        <f>SUM(E26:E29)</f>
        <v>3441</v>
      </c>
      <c r="F30" s="95"/>
      <c r="G30" s="93">
        <f>SUM(G26:G29)</f>
        <v>3930</v>
      </c>
      <c r="H30" s="95"/>
      <c r="I30" s="93">
        <f>SUM(I26:I29)</f>
        <v>4089</v>
      </c>
      <c r="J30" s="95"/>
      <c r="K30" s="93">
        <f>SUM(K26:K29)</f>
        <v>4086</v>
      </c>
      <c r="L30" s="95"/>
      <c r="M30" s="93">
        <f>SUM(M26:M29)</f>
        <v>4605</v>
      </c>
      <c r="N30" s="95"/>
      <c r="O30" s="93">
        <f>SUM(O26:O29)</f>
        <v>4493</v>
      </c>
      <c r="P30" s="95"/>
      <c r="Q30" s="93">
        <f>SUM(Q26:Q29)</f>
        <v>4873</v>
      </c>
      <c r="R30" s="95"/>
      <c r="S30" s="93">
        <f>SUM(S26:S29)</f>
        <v>4775</v>
      </c>
      <c r="T30" s="95"/>
      <c r="U30" s="1277">
        <f>SUM(U26:U29)</f>
        <v>0</v>
      </c>
      <c r="W30" s="485"/>
      <c r="X30" s="486">
        <f t="shared" si="2"/>
        <v>4566.3999999999996</v>
      </c>
    </row>
    <row r="31" spans="1:27" ht="15" customHeight="1" thickTop="1" thickBot="1" x14ac:dyDescent="0.25">
      <c r="A31" s="57"/>
      <c r="B31" s="79"/>
      <c r="C31" s="80"/>
      <c r="D31" s="79"/>
      <c r="E31" s="81"/>
      <c r="F31" s="79"/>
      <c r="G31" s="81"/>
      <c r="H31" s="79"/>
      <c r="I31" s="81"/>
      <c r="J31" s="79"/>
      <c r="K31" s="81"/>
      <c r="L31" s="79"/>
      <c r="M31" s="81"/>
      <c r="N31" s="79"/>
      <c r="O31" s="81"/>
      <c r="P31" s="79"/>
      <c r="Q31" s="81"/>
      <c r="R31" s="79"/>
      <c r="S31" s="81"/>
      <c r="T31" s="79"/>
      <c r="U31" s="81"/>
      <c r="V31" s="85"/>
      <c r="W31" s="84"/>
      <c r="X31" s="80"/>
    </row>
    <row r="32" spans="1:27" ht="18" customHeight="1" thickTop="1" thickBot="1" x14ac:dyDescent="0.25">
      <c r="A32" s="175" t="s">
        <v>29</v>
      </c>
      <c r="B32" s="1385" t="s">
        <v>30</v>
      </c>
      <c r="C32" s="1395"/>
      <c r="D32" s="1385" t="s">
        <v>31</v>
      </c>
      <c r="E32" s="1396"/>
      <c r="F32" s="1385" t="s">
        <v>32</v>
      </c>
      <c r="G32" s="1396"/>
      <c r="H32" s="1385" t="s">
        <v>33</v>
      </c>
      <c r="I32" s="1396"/>
      <c r="J32" s="1385" t="s">
        <v>34</v>
      </c>
      <c r="K32" s="1396"/>
      <c r="L32" s="1385" t="s">
        <v>35</v>
      </c>
      <c r="M32" s="1396"/>
      <c r="N32" s="1385" t="s">
        <v>36</v>
      </c>
      <c r="O32" s="1396"/>
      <c r="P32" s="1385" t="s">
        <v>37</v>
      </c>
      <c r="Q32" s="1396"/>
      <c r="R32" s="1385" t="s">
        <v>38</v>
      </c>
      <c r="S32" s="1396"/>
      <c r="T32" s="1385" t="s">
        <v>302</v>
      </c>
      <c r="U32" s="1386"/>
      <c r="V32" s="869"/>
      <c r="W32" s="1382" t="s">
        <v>9</v>
      </c>
      <c r="X32" s="1383"/>
      <c r="Y32" s="56"/>
      <c r="Z32" s="56"/>
      <c r="AA32" s="57"/>
    </row>
    <row r="33" spans="1:27" ht="15" customHeight="1" x14ac:dyDescent="0.2">
      <c r="A33" s="1068" t="s">
        <v>244</v>
      </c>
      <c r="B33" s="177"/>
      <c r="C33" s="178">
        <v>7.9000000000000001E-2</v>
      </c>
      <c r="D33" s="179"/>
      <c r="E33" s="180">
        <v>4.9000000000000002E-2</v>
      </c>
      <c r="F33" s="181"/>
      <c r="G33" s="180">
        <v>0.05</v>
      </c>
      <c r="H33" s="181"/>
      <c r="I33" s="180">
        <v>4.2999999999999997E-2</v>
      </c>
      <c r="J33" s="181"/>
      <c r="K33" s="180">
        <v>4.3999999999999997E-2</v>
      </c>
      <c r="L33" s="181"/>
      <c r="M33" s="180">
        <v>7.9000000000000001E-2</v>
      </c>
      <c r="N33" s="181"/>
      <c r="O33" s="180">
        <v>0.112</v>
      </c>
      <c r="P33" s="181"/>
      <c r="Q33" s="180">
        <v>0.10100000000000001</v>
      </c>
      <c r="R33" s="181"/>
      <c r="S33" s="180">
        <v>0.14599999999999999</v>
      </c>
      <c r="T33" s="181"/>
      <c r="U33" s="182">
        <v>0.20200000000000001</v>
      </c>
      <c r="V33" s="651"/>
      <c r="W33" s="469"/>
      <c r="X33" s="594">
        <f>AVERAGE(Q33,O33,M33,U33,S33)</f>
        <v>0.128</v>
      </c>
      <c r="Y33" s="56"/>
      <c r="Z33" s="56"/>
      <c r="AA33" s="57"/>
    </row>
    <row r="34" spans="1:27" ht="15" customHeight="1" x14ac:dyDescent="0.2">
      <c r="A34" s="1069" t="s">
        <v>245</v>
      </c>
      <c r="B34" s="184"/>
      <c r="C34" s="185">
        <v>0.113</v>
      </c>
      <c r="D34" s="184"/>
      <c r="E34" s="185">
        <v>0.125</v>
      </c>
      <c r="F34" s="186"/>
      <c r="G34" s="185">
        <v>0.11</v>
      </c>
      <c r="H34" s="186"/>
      <c r="I34" s="185">
        <v>0.11899999999999999</v>
      </c>
      <c r="J34" s="186"/>
      <c r="K34" s="185">
        <v>0.112</v>
      </c>
      <c r="L34" s="186"/>
      <c r="M34" s="185">
        <v>0.104</v>
      </c>
      <c r="N34" s="186"/>
      <c r="O34" s="185">
        <v>0.105</v>
      </c>
      <c r="P34" s="186"/>
      <c r="Q34" s="185">
        <v>8.4000000000000005E-2</v>
      </c>
      <c r="R34" s="186"/>
      <c r="S34" s="185">
        <v>6.7000000000000004E-2</v>
      </c>
      <c r="T34" s="186"/>
      <c r="U34" s="187">
        <v>6.3E-2</v>
      </c>
      <c r="V34" s="651"/>
      <c r="W34" s="469"/>
      <c r="X34" s="594">
        <f>AVERAGE(Q34,O34,M34,U34,S34)</f>
        <v>8.4599999999999995E-2</v>
      </c>
      <c r="Y34" s="56"/>
      <c r="Z34" s="56"/>
      <c r="AA34" s="57"/>
    </row>
    <row r="35" spans="1:27" ht="15" customHeight="1" thickBot="1" x14ac:dyDescent="0.25">
      <c r="A35" s="189" t="s">
        <v>243</v>
      </c>
      <c r="B35" s="1403">
        <f>1-C33-C34</f>
        <v>0.80800000000000005</v>
      </c>
      <c r="C35" s="1404"/>
      <c r="D35" s="1403">
        <f>1-E33-E34</f>
        <v>0.82599999999999996</v>
      </c>
      <c r="E35" s="1404"/>
      <c r="F35" s="1403">
        <f>1-G33-G34</f>
        <v>0.84</v>
      </c>
      <c r="G35" s="1404"/>
      <c r="H35" s="1403">
        <f>1-I33-I34</f>
        <v>0.83799999999999997</v>
      </c>
      <c r="I35" s="1404"/>
      <c r="J35" s="1403">
        <f>1-K33-K34</f>
        <v>0.84399999999999997</v>
      </c>
      <c r="K35" s="1404"/>
      <c r="L35" s="1403">
        <f>1-M33-M34</f>
        <v>0.81700000000000006</v>
      </c>
      <c r="M35" s="1404"/>
      <c r="N35" s="1403">
        <f>1-O33-O34</f>
        <v>0.78300000000000003</v>
      </c>
      <c r="O35" s="1404"/>
      <c r="P35" s="1403">
        <f>1-Q33-Q34</f>
        <v>0.81500000000000006</v>
      </c>
      <c r="Q35" s="1404"/>
      <c r="R35" s="1403">
        <f>1-S33-S34</f>
        <v>0.78699999999999992</v>
      </c>
      <c r="S35" s="1404"/>
      <c r="T35" s="1403">
        <f>1-U33-U34</f>
        <v>0.7350000000000001</v>
      </c>
      <c r="U35" s="1406"/>
      <c r="V35" s="651"/>
      <c r="W35" s="1390">
        <f>1-X33-X34</f>
        <v>0.78739999999999999</v>
      </c>
      <c r="X35" s="1391"/>
      <c r="Y35" s="56"/>
      <c r="Z35" s="56"/>
      <c r="AA35" s="57"/>
    </row>
    <row r="36" spans="1:27" s="3" customFormat="1" ht="18" customHeight="1" thickTop="1" thickBot="1" x14ac:dyDescent="0.25">
      <c r="A36" s="194" t="s">
        <v>67</v>
      </c>
      <c r="B36" s="227" t="s">
        <v>39</v>
      </c>
      <c r="C36" s="228" t="s">
        <v>74</v>
      </c>
      <c r="D36" s="227" t="s">
        <v>39</v>
      </c>
      <c r="E36" s="228" t="s">
        <v>74</v>
      </c>
      <c r="F36" s="227" t="s">
        <v>39</v>
      </c>
      <c r="G36" s="228" t="s">
        <v>74</v>
      </c>
      <c r="H36" s="227" t="s">
        <v>39</v>
      </c>
      <c r="I36" s="228" t="s">
        <v>74</v>
      </c>
      <c r="J36" s="227" t="s">
        <v>39</v>
      </c>
      <c r="K36" s="228" t="s">
        <v>74</v>
      </c>
      <c r="L36" s="227" t="s">
        <v>39</v>
      </c>
      <c r="M36" s="228" t="s">
        <v>74</v>
      </c>
      <c r="N36" s="227" t="s">
        <v>39</v>
      </c>
      <c r="O36" s="228" t="s">
        <v>74</v>
      </c>
      <c r="P36" s="227" t="s">
        <v>39</v>
      </c>
      <c r="Q36" s="228" t="s">
        <v>74</v>
      </c>
      <c r="R36" s="227" t="s">
        <v>39</v>
      </c>
      <c r="S36" s="228" t="s">
        <v>74</v>
      </c>
      <c r="T36" s="227" t="s">
        <v>39</v>
      </c>
      <c r="U36" s="229" t="s">
        <v>74</v>
      </c>
      <c r="V36" s="230"/>
      <c r="W36" s="231" t="s">
        <v>39</v>
      </c>
      <c r="X36" s="232" t="s">
        <v>40</v>
      </c>
    </row>
    <row r="37" spans="1:27" ht="15" customHeight="1" x14ac:dyDescent="0.2">
      <c r="A37" s="233" t="s">
        <v>68</v>
      </c>
      <c r="B37" s="234"/>
      <c r="C37" s="235">
        <f>B37/B16</f>
        <v>0</v>
      </c>
      <c r="D37" s="234"/>
      <c r="E37" s="235">
        <f>D37/D16</f>
        <v>0</v>
      </c>
      <c r="F37" s="234"/>
      <c r="G37" s="235">
        <f>F37/F16</f>
        <v>0</v>
      </c>
      <c r="H37" s="234">
        <v>4</v>
      </c>
      <c r="I37" s="235">
        <f>H37/H16</f>
        <v>1</v>
      </c>
      <c r="J37" s="234">
        <v>3</v>
      </c>
      <c r="K37" s="235">
        <f>J37/J16</f>
        <v>1</v>
      </c>
      <c r="L37" s="234">
        <v>5</v>
      </c>
      <c r="M37" s="235">
        <f>L37/L16</f>
        <v>1</v>
      </c>
      <c r="N37" s="234">
        <v>5</v>
      </c>
      <c r="O37" s="235">
        <f>N37/N16</f>
        <v>0.7142857142857143</v>
      </c>
      <c r="P37" s="234">
        <v>6</v>
      </c>
      <c r="Q37" s="235">
        <f>P37/P16</f>
        <v>0.75</v>
      </c>
      <c r="R37" s="234">
        <v>2</v>
      </c>
      <c r="S37" s="235">
        <f>R37/R16</f>
        <v>1</v>
      </c>
      <c r="T37" s="234"/>
      <c r="U37" s="236">
        <f>T37/T16</f>
        <v>0</v>
      </c>
      <c r="V37" s="226"/>
      <c r="W37" s="237">
        <f>AVERAGE(N37,L37,R37,T37,P37)</f>
        <v>4.5</v>
      </c>
      <c r="X37" s="480">
        <f>W37/W16</f>
        <v>0.9375</v>
      </c>
    </row>
    <row r="38" spans="1:27" ht="15" customHeight="1" thickBot="1" x14ac:dyDescent="0.25">
      <c r="A38" s="238" t="s">
        <v>69</v>
      </c>
      <c r="B38" s="239"/>
      <c r="C38" s="240">
        <f>B38/B$17</f>
        <v>0</v>
      </c>
      <c r="D38" s="239"/>
      <c r="E38" s="240">
        <f>D38/D$17</f>
        <v>0</v>
      </c>
      <c r="F38" s="239"/>
      <c r="G38" s="240">
        <f>F38/F$17</f>
        <v>0</v>
      </c>
      <c r="H38" s="239">
        <v>24</v>
      </c>
      <c r="I38" s="240">
        <f>H38/H$17</f>
        <v>0.8571428571428571</v>
      </c>
      <c r="J38" s="239">
        <v>27</v>
      </c>
      <c r="K38" s="240">
        <f>J38/J$17</f>
        <v>0.93103448275862066</v>
      </c>
      <c r="L38" s="239">
        <v>24</v>
      </c>
      <c r="M38" s="240">
        <f>L38/L$17</f>
        <v>0.88888888888888884</v>
      </c>
      <c r="N38" s="239">
        <v>25</v>
      </c>
      <c r="O38" s="240">
        <f>N38/N$17</f>
        <v>0.92592592592592593</v>
      </c>
      <c r="P38" s="239">
        <v>24</v>
      </c>
      <c r="Q38" s="240">
        <f>P38/P$17</f>
        <v>0.92307692307692313</v>
      </c>
      <c r="R38" s="239">
        <v>20</v>
      </c>
      <c r="S38" s="240">
        <f>R38/R$17</f>
        <v>0.90909090909090906</v>
      </c>
      <c r="T38" s="239"/>
      <c r="U38" s="241">
        <f>T38/T$17</f>
        <v>0</v>
      </c>
      <c r="V38" s="226"/>
      <c r="W38" s="242">
        <f>AVERAGE(N38,L38,R38,T38,P38)</f>
        <v>23.25</v>
      </c>
      <c r="X38" s="241">
        <f>W38/W17</f>
        <v>0.9375</v>
      </c>
    </row>
    <row r="39" spans="1:27" s="85" customFormat="1" ht="15" customHeight="1" thickTop="1" x14ac:dyDescent="0.2">
      <c r="A39" s="37" t="s">
        <v>288</v>
      </c>
      <c r="B39" s="650"/>
      <c r="C39" s="650"/>
      <c r="D39" s="650"/>
      <c r="E39" s="650"/>
      <c r="F39" s="650"/>
      <c r="G39" s="650"/>
      <c r="H39" s="650"/>
      <c r="I39" s="650"/>
      <c r="J39" s="650"/>
      <c r="K39" s="650"/>
      <c r="L39" s="650"/>
      <c r="M39" s="650"/>
      <c r="N39" s="650"/>
      <c r="O39" s="650"/>
      <c r="P39" s="650"/>
      <c r="Q39" s="650"/>
      <c r="R39" s="650"/>
      <c r="S39" s="650"/>
      <c r="T39" s="650"/>
      <c r="U39" s="650"/>
      <c r="V39" s="651"/>
      <c r="W39" s="650"/>
      <c r="X39" s="650"/>
      <c r="Y39" s="56"/>
      <c r="Z39" s="56"/>
      <c r="AA39" s="57"/>
    </row>
    <row r="40" spans="1:27" s="85" customFormat="1" ht="15" customHeight="1" thickBot="1" x14ac:dyDescent="0.25">
      <c r="A40" s="37"/>
      <c r="B40" s="650"/>
      <c r="C40" s="650"/>
      <c r="D40" s="650"/>
      <c r="E40" s="650"/>
      <c r="F40" s="650"/>
      <c r="G40" s="650"/>
      <c r="H40" s="650"/>
      <c r="I40" s="650"/>
      <c r="J40" s="650"/>
      <c r="K40" s="650"/>
      <c r="L40" s="650"/>
      <c r="M40" s="650"/>
      <c r="N40" s="650"/>
      <c r="O40" s="650"/>
      <c r="P40" s="650"/>
      <c r="Q40" s="650"/>
      <c r="R40" s="650"/>
      <c r="S40" s="650"/>
      <c r="T40" s="650"/>
      <c r="U40" s="650"/>
      <c r="V40" s="651"/>
      <c r="W40" s="650"/>
      <c r="X40" s="650"/>
      <c r="Y40" s="56"/>
      <c r="Z40" s="56"/>
      <c r="AA40" s="57"/>
    </row>
    <row r="41" spans="1:27" s="1" customFormat="1" ht="18.75" customHeight="1" thickTop="1" thickBot="1" x14ac:dyDescent="0.25">
      <c r="A41" s="175" t="s">
        <v>247</v>
      </c>
      <c r="B41" s="1385" t="s">
        <v>30</v>
      </c>
      <c r="C41" s="1395"/>
      <c r="D41" s="1385" t="s">
        <v>31</v>
      </c>
      <c r="E41" s="1396"/>
      <c r="F41" s="1385" t="s">
        <v>32</v>
      </c>
      <c r="G41" s="1396"/>
      <c r="H41" s="1385" t="s">
        <v>33</v>
      </c>
      <c r="I41" s="1396"/>
      <c r="J41" s="1385" t="s">
        <v>34</v>
      </c>
      <c r="K41" s="1396"/>
      <c r="L41" s="1385" t="s">
        <v>35</v>
      </c>
      <c r="M41" s="1396"/>
      <c r="N41" s="1385" t="s">
        <v>36</v>
      </c>
      <c r="O41" s="1396"/>
      <c r="P41" s="1385" t="s">
        <v>37</v>
      </c>
      <c r="Q41" s="1396"/>
      <c r="R41" s="1385" t="s">
        <v>38</v>
      </c>
      <c r="S41" s="1396"/>
      <c r="T41" s="1385" t="s">
        <v>302</v>
      </c>
      <c r="U41" s="1386"/>
      <c r="V41" s="195"/>
      <c r="W41" s="1382" t="s">
        <v>9</v>
      </c>
      <c r="X41" s="1383"/>
    </row>
    <row r="42" spans="1:27" s="1" customFormat="1" ht="24" x14ac:dyDescent="0.2">
      <c r="A42" s="715" t="s">
        <v>289</v>
      </c>
      <c r="B42" s="711"/>
      <c r="C42" s="529"/>
      <c r="D42" s="711"/>
      <c r="E42" s="712"/>
      <c r="F42" s="711"/>
      <c r="G42" s="712"/>
      <c r="H42" s="711"/>
      <c r="I42" s="712"/>
      <c r="J42" s="711"/>
      <c r="K42" s="712"/>
      <c r="L42" s="711"/>
      <c r="M42" s="712"/>
      <c r="N42" s="711"/>
      <c r="O42" s="712"/>
      <c r="P42" s="711"/>
      <c r="Q42" s="712"/>
      <c r="R42" s="711"/>
      <c r="S42" s="712"/>
      <c r="T42" s="713"/>
      <c r="U42" s="714"/>
      <c r="V42" s="195"/>
      <c r="W42" s="272"/>
      <c r="X42" s="271"/>
    </row>
    <row r="43" spans="1:27" s="1" customFormat="1" ht="24" x14ac:dyDescent="0.2">
      <c r="A43" s="721" t="s">
        <v>237</v>
      </c>
      <c r="B43" s="186"/>
      <c r="C43" s="653">
        <v>2</v>
      </c>
      <c r="D43" s="186"/>
      <c r="E43" s="653">
        <v>2</v>
      </c>
      <c r="F43" s="186"/>
      <c r="G43" s="653">
        <v>2</v>
      </c>
      <c r="H43" s="186"/>
      <c r="I43" s="653">
        <v>0</v>
      </c>
      <c r="J43" s="186"/>
      <c r="K43" s="653">
        <v>0</v>
      </c>
      <c r="L43" s="186"/>
      <c r="M43" s="653">
        <v>0</v>
      </c>
      <c r="N43" s="186"/>
      <c r="O43" s="653">
        <v>0</v>
      </c>
      <c r="P43" s="186"/>
      <c r="Q43" s="653">
        <v>0</v>
      </c>
      <c r="R43" s="186"/>
      <c r="S43" s="653">
        <v>0</v>
      </c>
      <c r="T43" s="654"/>
      <c r="U43" s="659"/>
      <c r="V43" s="195"/>
      <c r="W43" s="347"/>
      <c r="X43" s="659">
        <f>AVERAGE(O43,M43,S43,U43,Q43)</f>
        <v>0</v>
      </c>
    </row>
    <row r="44" spans="1:27" s="1" customFormat="1" ht="24" x14ac:dyDescent="0.2">
      <c r="A44" s="721" t="s">
        <v>239</v>
      </c>
      <c r="B44" s="654"/>
      <c r="C44" s="716">
        <v>2</v>
      </c>
      <c r="D44" s="654"/>
      <c r="E44" s="716">
        <v>2</v>
      </c>
      <c r="F44" s="654"/>
      <c r="G44" s="716">
        <v>2</v>
      </c>
      <c r="H44" s="654"/>
      <c r="I44" s="716">
        <v>0</v>
      </c>
      <c r="J44" s="654"/>
      <c r="K44" s="716">
        <v>0</v>
      </c>
      <c r="L44" s="654"/>
      <c r="M44" s="716">
        <v>0</v>
      </c>
      <c r="N44" s="654"/>
      <c r="O44" s="716">
        <v>0</v>
      </c>
      <c r="P44" s="654"/>
      <c r="Q44" s="716">
        <v>0</v>
      </c>
      <c r="R44" s="654"/>
      <c r="S44" s="716">
        <v>0</v>
      </c>
      <c r="T44" s="654"/>
      <c r="U44" s="659"/>
      <c r="V44" s="195"/>
      <c r="W44" s="1252"/>
      <c r="X44" s="394">
        <f t="shared" ref="X44:X45" si="3">AVERAGE(O44,M44,S44,U44,Q44)</f>
        <v>0</v>
      </c>
    </row>
    <row r="45" spans="1:27" s="1" customFormat="1" ht="15" customHeight="1" thickBot="1" x14ac:dyDescent="0.25">
      <c r="A45" s="942" t="s">
        <v>238</v>
      </c>
      <c r="B45" s="943"/>
      <c r="C45" s="944">
        <v>6.3</v>
      </c>
      <c r="D45" s="943"/>
      <c r="E45" s="944">
        <v>6.3</v>
      </c>
      <c r="F45" s="943"/>
      <c r="G45" s="944">
        <v>6.3</v>
      </c>
      <c r="H45" s="943"/>
      <c r="I45" s="944">
        <v>4.46</v>
      </c>
      <c r="J45" s="943"/>
      <c r="K45" s="944">
        <v>3.96</v>
      </c>
      <c r="L45" s="943"/>
      <c r="M45" s="944">
        <v>4.09</v>
      </c>
      <c r="N45" s="943"/>
      <c r="O45" s="944">
        <v>4.99</v>
      </c>
      <c r="P45" s="943"/>
      <c r="Q45" s="944">
        <v>4.5999999999999996</v>
      </c>
      <c r="R45" s="943"/>
      <c r="S45" s="944">
        <v>4.1900000000000004</v>
      </c>
      <c r="T45" s="956"/>
      <c r="U45" s="947"/>
      <c r="V45" s="195"/>
      <c r="W45" s="950"/>
      <c r="X45" s="1253">
        <f t="shared" si="3"/>
        <v>4.4674999999999994</v>
      </c>
    </row>
    <row r="46" spans="1:27" s="1" customFormat="1" ht="18" customHeight="1" thickBot="1" x14ac:dyDescent="0.25">
      <c r="A46" s="872" t="s">
        <v>264</v>
      </c>
      <c r="B46" s="1057" t="s">
        <v>40</v>
      </c>
      <c r="C46" s="1058" t="s">
        <v>41</v>
      </c>
      <c r="D46" s="1057" t="s">
        <v>40</v>
      </c>
      <c r="E46" s="1058" t="s">
        <v>41</v>
      </c>
      <c r="F46" s="1057" t="s">
        <v>40</v>
      </c>
      <c r="G46" s="1058" t="s">
        <v>41</v>
      </c>
      <c r="H46" s="1057" t="s">
        <v>40</v>
      </c>
      <c r="I46" s="1058" t="s">
        <v>41</v>
      </c>
      <c r="J46" s="1057" t="s">
        <v>40</v>
      </c>
      <c r="K46" s="1058" t="s">
        <v>41</v>
      </c>
      <c r="L46" s="1057" t="s">
        <v>40</v>
      </c>
      <c r="M46" s="1058" t="s">
        <v>41</v>
      </c>
      <c r="N46" s="1057" t="s">
        <v>40</v>
      </c>
      <c r="O46" s="1058" t="s">
        <v>41</v>
      </c>
      <c r="P46" s="1057" t="s">
        <v>40</v>
      </c>
      <c r="Q46" s="1058" t="s">
        <v>41</v>
      </c>
      <c r="R46" s="1057" t="s">
        <v>40</v>
      </c>
      <c r="S46" s="1058" t="s">
        <v>41</v>
      </c>
      <c r="T46" s="1057" t="s">
        <v>40</v>
      </c>
      <c r="U46" s="1059" t="s">
        <v>41</v>
      </c>
      <c r="V46" s="599"/>
      <c r="W46" s="1254" t="s">
        <v>40</v>
      </c>
      <c r="X46" s="804" t="s">
        <v>41</v>
      </c>
    </row>
    <row r="47" spans="1:27" s="1" customFormat="1" ht="15" customHeight="1" x14ac:dyDescent="0.2">
      <c r="A47" s="680" t="s">
        <v>42</v>
      </c>
      <c r="B47" s="1034"/>
      <c r="C47" s="1052"/>
      <c r="D47" s="1049"/>
      <c r="E47" s="1043"/>
      <c r="F47" s="1034"/>
      <c r="G47" s="1043"/>
      <c r="H47" s="1034"/>
      <c r="I47" s="1043"/>
      <c r="J47" s="1034"/>
      <c r="K47" s="1043"/>
      <c r="L47" s="1034"/>
      <c r="M47" s="1043"/>
      <c r="N47" s="1034"/>
      <c r="O47" s="1043"/>
      <c r="P47" s="1034"/>
      <c r="Q47" s="1043"/>
      <c r="R47" s="1034"/>
      <c r="S47" s="1043"/>
      <c r="T47" s="1034"/>
      <c r="U47" s="1035"/>
      <c r="W47" s="1029"/>
      <c r="X47" s="1030"/>
    </row>
    <row r="48" spans="1:27" s="1" customFormat="1" ht="15" customHeight="1" x14ac:dyDescent="0.2">
      <c r="A48" s="678" t="s">
        <v>43</v>
      </c>
      <c r="B48" s="258"/>
      <c r="C48" s="1053">
        <v>2</v>
      </c>
      <c r="D48" s="260"/>
      <c r="E48" s="1044">
        <v>2</v>
      </c>
      <c r="F48" s="258"/>
      <c r="G48" s="1044">
        <v>1</v>
      </c>
      <c r="H48" s="258"/>
      <c r="I48" s="1044">
        <v>0</v>
      </c>
      <c r="J48" s="1036">
        <v>0</v>
      </c>
      <c r="K48" s="1044">
        <v>0</v>
      </c>
      <c r="L48" s="1036">
        <v>1</v>
      </c>
      <c r="M48" s="1044">
        <v>1</v>
      </c>
      <c r="N48" s="1036">
        <v>1</v>
      </c>
      <c r="O48" s="1044">
        <v>1</v>
      </c>
      <c r="P48" s="1036">
        <v>1</v>
      </c>
      <c r="Q48" s="1044">
        <v>1</v>
      </c>
      <c r="R48" s="1036">
        <v>1</v>
      </c>
      <c r="S48" s="1044">
        <v>1</v>
      </c>
      <c r="T48" s="1036"/>
      <c r="U48" s="1037"/>
      <c r="W48" s="936">
        <f>AVERAGE(T48,L48,N48,P48,R48)</f>
        <v>1</v>
      </c>
      <c r="X48" s="1031">
        <f t="shared" ref="X48:X53" si="4">AVERAGE(O48,M48,S48,U48,Q48)</f>
        <v>1</v>
      </c>
    </row>
    <row r="49" spans="1:24" s="1" customFormat="1" ht="15" customHeight="1" x14ac:dyDescent="0.2">
      <c r="A49" s="678" t="s">
        <v>44</v>
      </c>
      <c r="B49" s="258"/>
      <c r="C49" s="1053">
        <v>0</v>
      </c>
      <c r="D49" s="260"/>
      <c r="E49" s="1044">
        <v>0</v>
      </c>
      <c r="F49" s="258"/>
      <c r="G49" s="1044">
        <v>0</v>
      </c>
      <c r="H49" s="258"/>
      <c r="I49" s="1044">
        <v>1</v>
      </c>
      <c r="J49" s="1036">
        <v>0</v>
      </c>
      <c r="K49" s="1044">
        <v>0</v>
      </c>
      <c r="L49" s="1036">
        <v>0</v>
      </c>
      <c r="M49" s="1044">
        <v>0</v>
      </c>
      <c r="N49" s="1036">
        <v>0</v>
      </c>
      <c r="O49" s="1044">
        <v>0</v>
      </c>
      <c r="P49" s="1036">
        <v>0</v>
      </c>
      <c r="Q49" s="1044">
        <v>0</v>
      </c>
      <c r="R49" s="1036">
        <v>0</v>
      </c>
      <c r="S49" s="1044">
        <v>0</v>
      </c>
      <c r="T49" s="1036"/>
      <c r="U49" s="1037"/>
      <c r="W49" s="936">
        <f t="shared" ref="W49:W53" si="5">AVERAGE(T49,L49,N49,P49,R49)</f>
        <v>0</v>
      </c>
      <c r="X49" s="1031">
        <f t="shared" si="4"/>
        <v>0</v>
      </c>
    </row>
    <row r="50" spans="1:24" s="1" customFormat="1" ht="15" customHeight="1" x14ac:dyDescent="0.2">
      <c r="A50" s="676" t="s">
        <v>45</v>
      </c>
      <c r="B50" s="13"/>
      <c r="C50" s="1054"/>
      <c r="D50" s="11"/>
      <c r="E50" s="1045"/>
      <c r="F50" s="13"/>
      <c r="G50" s="1045"/>
      <c r="H50" s="13"/>
      <c r="I50" s="1045"/>
      <c r="J50" s="13"/>
      <c r="K50" s="1045"/>
      <c r="L50" s="13"/>
      <c r="M50" s="1045"/>
      <c r="N50" s="13"/>
      <c r="O50" s="1045"/>
      <c r="P50" s="13"/>
      <c r="Q50" s="1045"/>
      <c r="R50" s="13"/>
      <c r="S50" s="1045"/>
      <c r="T50" s="13"/>
      <c r="U50" s="1038"/>
      <c r="W50" s="936"/>
      <c r="X50" s="1031"/>
    </row>
    <row r="51" spans="1:24" s="1" customFormat="1" ht="15" customHeight="1" x14ac:dyDescent="0.2">
      <c r="A51" s="678" t="s">
        <v>43</v>
      </c>
      <c r="B51" s="258"/>
      <c r="C51" s="1054">
        <v>14</v>
      </c>
      <c r="D51" s="260"/>
      <c r="E51" s="1045">
        <v>14</v>
      </c>
      <c r="F51" s="258"/>
      <c r="G51" s="1045">
        <v>14</v>
      </c>
      <c r="H51" s="258"/>
      <c r="I51" s="1045">
        <v>13</v>
      </c>
      <c r="J51" s="1036">
        <v>14</v>
      </c>
      <c r="K51" s="1045">
        <v>14</v>
      </c>
      <c r="L51" s="1036">
        <v>15</v>
      </c>
      <c r="M51" s="1045">
        <v>15</v>
      </c>
      <c r="N51" s="1036">
        <v>17</v>
      </c>
      <c r="O51" s="1045">
        <v>17</v>
      </c>
      <c r="P51" s="1036">
        <v>16</v>
      </c>
      <c r="Q51" s="1045">
        <v>16</v>
      </c>
      <c r="R51" s="1036">
        <v>17</v>
      </c>
      <c r="S51" s="1045">
        <v>17</v>
      </c>
      <c r="T51" s="1036"/>
      <c r="U51" s="1038"/>
      <c r="W51" s="936">
        <f t="shared" si="5"/>
        <v>16.25</v>
      </c>
      <c r="X51" s="1031">
        <f t="shared" si="4"/>
        <v>16.25</v>
      </c>
    </row>
    <row r="52" spans="1:24" s="1" customFormat="1" ht="15" customHeight="1" thickBot="1" x14ac:dyDescent="0.25">
      <c r="A52" s="939" t="s">
        <v>44</v>
      </c>
      <c r="B52" s="1017"/>
      <c r="C52" s="1054">
        <v>0</v>
      </c>
      <c r="D52" s="1050"/>
      <c r="E52" s="1045">
        <v>1</v>
      </c>
      <c r="F52" s="1017"/>
      <c r="G52" s="1045">
        <v>0</v>
      </c>
      <c r="H52" s="1017"/>
      <c r="I52" s="1045">
        <v>0</v>
      </c>
      <c r="J52" s="1047">
        <v>0.5</v>
      </c>
      <c r="K52" s="1045">
        <v>1</v>
      </c>
      <c r="L52" s="1039">
        <v>0</v>
      </c>
      <c r="M52" s="1045">
        <v>0</v>
      </c>
      <c r="N52" s="1039">
        <v>0</v>
      </c>
      <c r="O52" s="1045">
        <v>0</v>
      </c>
      <c r="P52" s="1039">
        <v>0</v>
      </c>
      <c r="Q52" s="1045">
        <v>0</v>
      </c>
      <c r="R52" s="1039">
        <v>0</v>
      </c>
      <c r="S52" s="1045">
        <v>0</v>
      </c>
      <c r="T52" s="1039"/>
      <c r="U52" s="1040"/>
      <c r="W52" s="1020">
        <f t="shared" si="5"/>
        <v>0</v>
      </c>
      <c r="X52" s="1032">
        <f t="shared" si="4"/>
        <v>0</v>
      </c>
    </row>
    <row r="53" spans="1:24" s="1" customFormat="1" ht="15" customHeight="1" thickBot="1" x14ac:dyDescent="0.25">
      <c r="A53" s="796" t="s">
        <v>28</v>
      </c>
      <c r="B53" s="1048"/>
      <c r="C53" s="1055">
        <f>SUM(C48:C52)</f>
        <v>16</v>
      </c>
      <c r="D53" s="1051"/>
      <c r="E53" s="1046">
        <f>SUM(E48:E52)</f>
        <v>17</v>
      </c>
      <c r="F53" s="1048"/>
      <c r="G53" s="1046">
        <f>SUM(G48:G52)</f>
        <v>15</v>
      </c>
      <c r="H53" s="1048"/>
      <c r="I53" s="1046">
        <f t="shared" ref="I53:S53" si="6">SUM(I48:I52)</f>
        <v>14</v>
      </c>
      <c r="J53" s="1041">
        <f t="shared" si="6"/>
        <v>14.5</v>
      </c>
      <c r="K53" s="1046">
        <f t="shared" si="6"/>
        <v>15</v>
      </c>
      <c r="L53" s="1041">
        <f t="shared" si="6"/>
        <v>16</v>
      </c>
      <c r="M53" s="1046">
        <f t="shared" si="6"/>
        <v>16</v>
      </c>
      <c r="N53" s="1041">
        <f t="shared" si="6"/>
        <v>18</v>
      </c>
      <c r="O53" s="1046">
        <f t="shared" si="6"/>
        <v>18</v>
      </c>
      <c r="P53" s="1041">
        <f t="shared" si="6"/>
        <v>17</v>
      </c>
      <c r="Q53" s="1046">
        <f t="shared" si="6"/>
        <v>17</v>
      </c>
      <c r="R53" s="1041">
        <f t="shared" si="6"/>
        <v>18</v>
      </c>
      <c r="S53" s="1046">
        <f t="shared" si="6"/>
        <v>18</v>
      </c>
      <c r="T53" s="1041">
        <f t="shared" ref="T53:U53" si="7">SUM(T48:T52)</f>
        <v>0</v>
      </c>
      <c r="U53" s="1042">
        <f t="shared" si="7"/>
        <v>0</v>
      </c>
      <c r="W53" s="1028">
        <f t="shared" si="5"/>
        <v>13.8</v>
      </c>
      <c r="X53" s="1033">
        <f t="shared" si="4"/>
        <v>13.8</v>
      </c>
    </row>
    <row r="54" spans="1:24" s="1" customFormat="1" ht="18" customHeight="1" thickBot="1" x14ac:dyDescent="0.25">
      <c r="A54" s="795" t="s">
        <v>253</v>
      </c>
      <c r="B54" s="801" t="s">
        <v>39</v>
      </c>
      <c r="C54" s="954" t="s">
        <v>46</v>
      </c>
      <c r="D54" s="801" t="s">
        <v>39</v>
      </c>
      <c r="E54" s="798" t="s">
        <v>46</v>
      </c>
      <c r="F54" s="799" t="s">
        <v>39</v>
      </c>
      <c r="G54" s="798" t="s">
        <v>46</v>
      </c>
      <c r="H54" s="799" t="s">
        <v>39</v>
      </c>
      <c r="I54" s="798" t="s">
        <v>46</v>
      </c>
      <c r="J54" s="799" t="s">
        <v>39</v>
      </c>
      <c r="K54" s="798" t="s">
        <v>46</v>
      </c>
      <c r="L54" s="799" t="s">
        <v>39</v>
      </c>
      <c r="M54" s="798" t="s">
        <v>46</v>
      </c>
      <c r="N54" s="799" t="s">
        <v>39</v>
      </c>
      <c r="O54" s="798" t="s">
        <v>46</v>
      </c>
      <c r="P54" s="799" t="s">
        <v>39</v>
      </c>
      <c r="Q54" s="798" t="s">
        <v>46</v>
      </c>
      <c r="R54" s="799" t="s">
        <v>39</v>
      </c>
      <c r="S54" s="798" t="s">
        <v>46</v>
      </c>
      <c r="T54" s="799" t="s">
        <v>39</v>
      </c>
      <c r="U54" s="804" t="s">
        <v>46</v>
      </c>
      <c r="V54" s="195"/>
      <c r="W54" s="832" t="s">
        <v>39</v>
      </c>
      <c r="X54" s="804" t="s">
        <v>46</v>
      </c>
    </row>
    <row r="55" spans="1:24" s="1" customFormat="1" ht="18" customHeight="1" x14ac:dyDescent="0.2">
      <c r="A55" s="680" t="s">
        <v>265</v>
      </c>
      <c r="B55" s="938"/>
      <c r="C55" s="196"/>
      <c r="D55" s="938"/>
      <c r="E55" s="197"/>
      <c r="F55" s="937"/>
      <c r="G55" s="197"/>
      <c r="H55" s="937"/>
      <c r="I55" s="197"/>
      <c r="J55" s="937"/>
      <c r="K55" s="197"/>
      <c r="L55" s="937"/>
      <c r="M55" s="197"/>
      <c r="N55" s="937"/>
      <c r="O55" s="197"/>
      <c r="P55" s="937"/>
      <c r="Q55" s="197"/>
      <c r="R55" s="937"/>
      <c r="S55" s="197"/>
      <c r="T55" s="937"/>
      <c r="U55" s="199"/>
      <c r="V55" s="195"/>
      <c r="W55" s="1026"/>
      <c r="X55" s="199"/>
    </row>
    <row r="56" spans="1:24" s="1" customFormat="1" ht="15" customHeight="1" x14ac:dyDescent="0.2">
      <c r="A56" s="706" t="s">
        <v>47</v>
      </c>
      <c r="B56" s="201">
        <v>9</v>
      </c>
      <c r="C56" s="191">
        <f t="shared" ref="C56:C61" si="8">B56/C$53</f>
        <v>0.5625</v>
      </c>
      <c r="D56" s="201">
        <f>1+9</f>
        <v>10</v>
      </c>
      <c r="E56" s="192">
        <f t="shared" ref="E56:E61" si="9">D56/E$53</f>
        <v>0.58823529411764708</v>
      </c>
      <c r="F56" s="202">
        <v>9</v>
      </c>
      <c r="G56" s="192">
        <f t="shared" ref="G56:G61" si="10">F56/G$53</f>
        <v>0.6</v>
      </c>
      <c r="H56" s="202">
        <v>9</v>
      </c>
      <c r="I56" s="192">
        <f t="shared" ref="I56:I63" si="11">H56/I$53</f>
        <v>0.6428571428571429</v>
      </c>
      <c r="J56" s="202">
        <f>9+1</f>
        <v>10</v>
      </c>
      <c r="K56" s="192">
        <f t="shared" ref="K56:K63" si="12">J56/K$53</f>
        <v>0.66666666666666663</v>
      </c>
      <c r="L56" s="202">
        <v>10</v>
      </c>
      <c r="M56" s="192">
        <f t="shared" ref="M56:M61" si="13">L56/M$53</f>
        <v>0.625</v>
      </c>
      <c r="N56" s="202">
        <v>12</v>
      </c>
      <c r="O56" s="192">
        <f t="shared" ref="O56:Q61" si="14">N56/O$53</f>
        <v>0.66666666666666663</v>
      </c>
      <c r="P56" s="202">
        <v>12</v>
      </c>
      <c r="Q56" s="192">
        <f t="shared" si="14"/>
        <v>0.70588235294117652</v>
      </c>
      <c r="R56" s="202">
        <v>13</v>
      </c>
      <c r="S56" s="192">
        <f t="shared" ref="S56:S61" si="15">R56/S$53</f>
        <v>0.72222222222222221</v>
      </c>
      <c r="T56" s="202"/>
      <c r="U56" s="203" t="e">
        <f t="shared" ref="U56:U61" si="16">T56/U$53</f>
        <v>#DIV/0!</v>
      </c>
      <c r="V56" s="666"/>
      <c r="W56" s="205">
        <f>AVERAGE(N56,L56,R56,T56,P56)</f>
        <v>11.75</v>
      </c>
      <c r="X56" s="206" t="e">
        <f>AVERAGE(O56,M56,S56,U56,Q56)</f>
        <v>#DIV/0!</v>
      </c>
    </row>
    <row r="57" spans="1:24" s="1" customFormat="1" ht="15" customHeight="1" x14ac:dyDescent="0.2">
      <c r="A57" s="207" t="s">
        <v>48</v>
      </c>
      <c r="B57" s="201">
        <v>0</v>
      </c>
      <c r="C57" s="191">
        <f t="shared" si="8"/>
        <v>0</v>
      </c>
      <c r="D57" s="201">
        <v>0</v>
      </c>
      <c r="E57" s="192">
        <f t="shared" si="9"/>
        <v>0</v>
      </c>
      <c r="F57" s="202">
        <v>0</v>
      </c>
      <c r="G57" s="192">
        <f t="shared" si="10"/>
        <v>0</v>
      </c>
      <c r="H57" s="202">
        <v>0</v>
      </c>
      <c r="I57" s="192">
        <f t="shared" si="11"/>
        <v>0</v>
      </c>
      <c r="J57" s="202">
        <f>0</f>
        <v>0</v>
      </c>
      <c r="K57" s="192">
        <f t="shared" si="12"/>
        <v>0</v>
      </c>
      <c r="L57" s="202">
        <v>0</v>
      </c>
      <c r="M57" s="192">
        <f t="shared" si="13"/>
        <v>0</v>
      </c>
      <c r="N57" s="202">
        <v>0</v>
      </c>
      <c r="O57" s="192">
        <f t="shared" si="14"/>
        <v>0</v>
      </c>
      <c r="P57" s="202">
        <v>0</v>
      </c>
      <c r="Q57" s="192">
        <f t="shared" si="14"/>
        <v>0</v>
      </c>
      <c r="R57" s="202">
        <v>0</v>
      </c>
      <c r="S57" s="192">
        <f t="shared" si="15"/>
        <v>0</v>
      </c>
      <c r="T57" s="202"/>
      <c r="U57" s="203" t="e">
        <f t="shared" si="16"/>
        <v>#DIV/0!</v>
      </c>
      <c r="V57" s="666"/>
      <c r="W57" s="205">
        <f t="shared" ref="W57:X75" si="17">AVERAGE(N57,L57,R57,T57,P57)</f>
        <v>0</v>
      </c>
      <c r="X57" s="206" t="e">
        <f t="shared" si="17"/>
        <v>#DIV/0!</v>
      </c>
    </row>
    <row r="58" spans="1:24" s="1" customFormat="1" ht="15" customHeight="1" x14ac:dyDescent="0.2">
      <c r="A58" s="207" t="s">
        <v>49</v>
      </c>
      <c r="B58" s="201">
        <v>0</v>
      </c>
      <c r="C58" s="191">
        <f t="shared" si="8"/>
        <v>0</v>
      </c>
      <c r="D58" s="201">
        <v>0</v>
      </c>
      <c r="E58" s="192">
        <f t="shared" si="9"/>
        <v>0</v>
      </c>
      <c r="F58" s="202">
        <v>0</v>
      </c>
      <c r="G58" s="192">
        <f t="shared" si="10"/>
        <v>0</v>
      </c>
      <c r="H58" s="202">
        <v>0</v>
      </c>
      <c r="I58" s="192">
        <f t="shared" si="11"/>
        <v>0</v>
      </c>
      <c r="J58" s="202">
        <f>0</f>
        <v>0</v>
      </c>
      <c r="K58" s="192">
        <f t="shared" si="12"/>
        <v>0</v>
      </c>
      <c r="L58" s="202">
        <v>1</v>
      </c>
      <c r="M58" s="192">
        <f t="shared" si="13"/>
        <v>6.25E-2</v>
      </c>
      <c r="N58" s="202">
        <v>1</v>
      </c>
      <c r="O58" s="192">
        <f t="shared" si="14"/>
        <v>5.5555555555555552E-2</v>
      </c>
      <c r="P58" s="202">
        <v>1</v>
      </c>
      <c r="Q58" s="192">
        <f t="shared" si="14"/>
        <v>5.8823529411764705E-2</v>
      </c>
      <c r="R58" s="202">
        <v>1</v>
      </c>
      <c r="S58" s="192">
        <f t="shared" si="15"/>
        <v>5.5555555555555552E-2</v>
      </c>
      <c r="T58" s="202"/>
      <c r="U58" s="203" t="e">
        <f t="shared" si="16"/>
        <v>#DIV/0!</v>
      </c>
      <c r="V58" s="666"/>
      <c r="W58" s="205">
        <f t="shared" si="17"/>
        <v>1</v>
      </c>
      <c r="X58" s="206" t="e">
        <f t="shared" si="17"/>
        <v>#DIV/0!</v>
      </c>
    </row>
    <row r="59" spans="1:24" s="1" customFormat="1" ht="15" customHeight="1" x14ac:dyDescent="0.2">
      <c r="A59" s="207" t="s">
        <v>50</v>
      </c>
      <c r="B59" s="201">
        <v>0</v>
      </c>
      <c r="C59" s="191">
        <f t="shared" si="8"/>
        <v>0</v>
      </c>
      <c r="D59" s="201">
        <v>0</v>
      </c>
      <c r="E59" s="192">
        <f t="shared" si="9"/>
        <v>0</v>
      </c>
      <c r="F59" s="202">
        <v>0</v>
      </c>
      <c r="G59" s="192">
        <f t="shared" si="10"/>
        <v>0</v>
      </c>
      <c r="H59" s="202">
        <v>0</v>
      </c>
      <c r="I59" s="192">
        <f t="shared" si="11"/>
        <v>0</v>
      </c>
      <c r="J59" s="202">
        <f>0</f>
        <v>0</v>
      </c>
      <c r="K59" s="192">
        <f t="shared" si="12"/>
        <v>0</v>
      </c>
      <c r="L59" s="202">
        <v>0</v>
      </c>
      <c r="M59" s="192">
        <f t="shared" si="13"/>
        <v>0</v>
      </c>
      <c r="N59" s="202">
        <v>0</v>
      </c>
      <c r="O59" s="192">
        <f t="shared" si="14"/>
        <v>0</v>
      </c>
      <c r="P59" s="202">
        <v>0</v>
      </c>
      <c r="Q59" s="192">
        <f t="shared" si="14"/>
        <v>0</v>
      </c>
      <c r="R59" s="202">
        <v>0</v>
      </c>
      <c r="S59" s="192">
        <f t="shared" si="15"/>
        <v>0</v>
      </c>
      <c r="T59" s="202"/>
      <c r="U59" s="203" t="e">
        <f t="shared" si="16"/>
        <v>#DIV/0!</v>
      </c>
      <c r="V59" s="666"/>
      <c r="W59" s="205">
        <f t="shared" si="17"/>
        <v>0</v>
      </c>
      <c r="X59" s="206" t="e">
        <f t="shared" si="17"/>
        <v>#DIV/0!</v>
      </c>
    </row>
    <row r="60" spans="1:24" s="1" customFormat="1" ht="15" customHeight="1" x14ac:dyDescent="0.2">
      <c r="A60" s="207" t="s">
        <v>51</v>
      </c>
      <c r="B60" s="201">
        <v>6</v>
      </c>
      <c r="C60" s="191">
        <f t="shared" si="8"/>
        <v>0.375</v>
      </c>
      <c r="D60" s="201">
        <f>2+4</f>
        <v>6</v>
      </c>
      <c r="E60" s="192">
        <f t="shared" si="9"/>
        <v>0.35294117647058826</v>
      </c>
      <c r="F60" s="202">
        <v>6</v>
      </c>
      <c r="G60" s="192">
        <f t="shared" si="10"/>
        <v>0.4</v>
      </c>
      <c r="H60" s="202">
        <v>5</v>
      </c>
      <c r="I60" s="192">
        <f t="shared" si="11"/>
        <v>0.35714285714285715</v>
      </c>
      <c r="J60" s="202">
        <f>5</f>
        <v>5</v>
      </c>
      <c r="K60" s="192">
        <f t="shared" si="12"/>
        <v>0.33333333333333331</v>
      </c>
      <c r="L60" s="202">
        <v>5</v>
      </c>
      <c r="M60" s="192">
        <f t="shared" si="13"/>
        <v>0.3125</v>
      </c>
      <c r="N60" s="202">
        <v>5</v>
      </c>
      <c r="O60" s="192">
        <f t="shared" si="14"/>
        <v>0.27777777777777779</v>
      </c>
      <c r="P60" s="202">
        <v>4</v>
      </c>
      <c r="Q60" s="192">
        <f t="shared" si="14"/>
        <v>0.23529411764705882</v>
      </c>
      <c r="R60" s="202">
        <v>4</v>
      </c>
      <c r="S60" s="192">
        <f t="shared" si="15"/>
        <v>0.22222222222222221</v>
      </c>
      <c r="T60" s="202"/>
      <c r="U60" s="203" t="e">
        <f t="shared" si="16"/>
        <v>#DIV/0!</v>
      </c>
      <c r="V60" s="666"/>
      <c r="W60" s="205">
        <f t="shared" si="17"/>
        <v>4.5</v>
      </c>
      <c r="X60" s="206" t="e">
        <f t="shared" si="17"/>
        <v>#DIV/0!</v>
      </c>
    </row>
    <row r="61" spans="1:24" s="1" customFormat="1" ht="15" customHeight="1" x14ac:dyDescent="0.2">
      <c r="A61" s="207" t="s">
        <v>52</v>
      </c>
      <c r="B61" s="201">
        <v>1</v>
      </c>
      <c r="C61" s="191">
        <f t="shared" si="8"/>
        <v>6.25E-2</v>
      </c>
      <c r="D61" s="201">
        <v>1</v>
      </c>
      <c r="E61" s="192">
        <f t="shared" si="9"/>
        <v>5.8823529411764705E-2</v>
      </c>
      <c r="F61" s="202">
        <v>0</v>
      </c>
      <c r="G61" s="192">
        <f t="shared" si="10"/>
        <v>0</v>
      </c>
      <c r="H61" s="202">
        <v>0</v>
      </c>
      <c r="I61" s="192">
        <f t="shared" si="11"/>
        <v>0</v>
      </c>
      <c r="J61" s="202">
        <f>0</f>
        <v>0</v>
      </c>
      <c r="K61" s="192">
        <f t="shared" si="12"/>
        <v>0</v>
      </c>
      <c r="L61" s="202">
        <v>0</v>
      </c>
      <c r="M61" s="192">
        <f t="shared" si="13"/>
        <v>0</v>
      </c>
      <c r="N61" s="202">
        <v>0</v>
      </c>
      <c r="O61" s="192">
        <f t="shared" si="14"/>
        <v>0</v>
      </c>
      <c r="P61" s="202">
        <v>0</v>
      </c>
      <c r="Q61" s="192">
        <f t="shared" si="14"/>
        <v>0</v>
      </c>
      <c r="R61" s="202">
        <v>0</v>
      </c>
      <c r="S61" s="192">
        <f t="shared" si="15"/>
        <v>0</v>
      </c>
      <c r="T61" s="202"/>
      <c r="U61" s="203" t="e">
        <f t="shared" si="16"/>
        <v>#DIV/0!</v>
      </c>
      <c r="V61" s="666"/>
      <c r="W61" s="205">
        <f t="shared" si="17"/>
        <v>0</v>
      </c>
      <c r="X61" s="206" t="e">
        <f t="shared" si="17"/>
        <v>#DIV/0!</v>
      </c>
    </row>
    <row r="62" spans="1:24" s="1" customFormat="1" ht="15" customHeight="1" x14ac:dyDescent="0.2">
      <c r="A62" s="207" t="s">
        <v>53</v>
      </c>
      <c r="B62" s="164"/>
      <c r="C62" s="165"/>
      <c r="D62" s="164"/>
      <c r="E62" s="166"/>
      <c r="F62" s="167"/>
      <c r="G62" s="166"/>
      <c r="H62" s="193">
        <v>0</v>
      </c>
      <c r="I62" s="192">
        <f t="shared" si="11"/>
        <v>0</v>
      </c>
      <c r="J62" s="193">
        <f>0</f>
        <v>0</v>
      </c>
      <c r="K62" s="192">
        <f t="shared" si="12"/>
        <v>0</v>
      </c>
      <c r="L62" s="193">
        <v>0</v>
      </c>
      <c r="M62" s="192">
        <f>L62/M$53</f>
        <v>0</v>
      </c>
      <c r="N62" s="193">
        <v>0</v>
      </c>
      <c r="O62" s="192">
        <f>N62/O$53</f>
        <v>0</v>
      </c>
      <c r="P62" s="193">
        <v>0</v>
      </c>
      <c r="Q62" s="192">
        <f>P62/Q$53</f>
        <v>0</v>
      </c>
      <c r="R62" s="193">
        <v>0</v>
      </c>
      <c r="S62" s="192">
        <f>R62/S$53</f>
        <v>0</v>
      </c>
      <c r="T62" s="202"/>
      <c r="U62" s="203" t="e">
        <f>T62/U$53</f>
        <v>#DIV/0!</v>
      </c>
      <c r="V62" s="666"/>
      <c r="W62" s="205">
        <f t="shared" si="17"/>
        <v>0</v>
      </c>
      <c r="X62" s="206" t="e">
        <f t="shared" si="17"/>
        <v>#DIV/0!</v>
      </c>
    </row>
    <row r="63" spans="1:24" s="1" customFormat="1" ht="15" customHeight="1" thickBot="1" x14ac:dyDescent="0.25">
      <c r="A63" s="696" t="s">
        <v>54</v>
      </c>
      <c r="B63" s="190">
        <v>0</v>
      </c>
      <c r="C63" s="724">
        <f>B63/C$53</f>
        <v>0</v>
      </c>
      <c r="D63" s="190">
        <v>0</v>
      </c>
      <c r="E63" s="725">
        <f>D63/E$53</f>
        <v>0</v>
      </c>
      <c r="F63" s="193">
        <v>0</v>
      </c>
      <c r="G63" s="725">
        <f>F63/G$53</f>
        <v>0</v>
      </c>
      <c r="H63" s="193">
        <v>0</v>
      </c>
      <c r="I63" s="725">
        <f t="shared" si="11"/>
        <v>0</v>
      </c>
      <c r="J63" s="193">
        <f>0</f>
        <v>0</v>
      </c>
      <c r="K63" s="725">
        <f t="shared" si="12"/>
        <v>0</v>
      </c>
      <c r="L63" s="193">
        <v>0</v>
      </c>
      <c r="M63" s="725">
        <f>L63/M$53</f>
        <v>0</v>
      </c>
      <c r="N63" s="193">
        <v>0</v>
      </c>
      <c r="O63" s="725">
        <f>N63/O$53</f>
        <v>0</v>
      </c>
      <c r="P63" s="193">
        <v>0</v>
      </c>
      <c r="Q63" s="725">
        <f>P63/Q$53</f>
        <v>0</v>
      </c>
      <c r="R63" s="193">
        <v>0</v>
      </c>
      <c r="S63" s="725">
        <f>R63/S$53</f>
        <v>0</v>
      </c>
      <c r="T63" s="193"/>
      <c r="U63" s="726" t="e">
        <f>T63/U$53</f>
        <v>#DIV/0!</v>
      </c>
      <c r="V63" s="666"/>
      <c r="W63" s="727">
        <f t="shared" si="17"/>
        <v>0</v>
      </c>
      <c r="X63" s="728" t="e">
        <f t="shared" si="17"/>
        <v>#DIV/0!</v>
      </c>
    </row>
    <row r="64" spans="1:24" s="1" customFormat="1" ht="18" customHeight="1" x14ac:dyDescent="0.2">
      <c r="A64" s="680" t="s">
        <v>55</v>
      </c>
      <c r="B64" s="731"/>
      <c r="C64" s="732"/>
      <c r="D64" s="731"/>
      <c r="E64" s="733"/>
      <c r="F64" s="734"/>
      <c r="G64" s="733"/>
      <c r="H64" s="734"/>
      <c r="I64" s="733"/>
      <c r="J64" s="734"/>
      <c r="K64" s="733"/>
      <c r="L64" s="734"/>
      <c r="M64" s="733"/>
      <c r="N64" s="734"/>
      <c r="O64" s="733"/>
      <c r="P64" s="734"/>
      <c r="Q64" s="733"/>
      <c r="R64" s="734"/>
      <c r="S64" s="733"/>
      <c r="T64" s="734"/>
      <c r="U64" s="735"/>
      <c r="V64" s="666"/>
      <c r="W64" s="736"/>
      <c r="X64" s="737"/>
    </row>
    <row r="65" spans="1:24" s="1" customFormat="1" ht="15" customHeight="1" x14ac:dyDescent="0.2">
      <c r="A65" s="200" t="s">
        <v>56</v>
      </c>
      <c r="B65" s="208">
        <v>12</v>
      </c>
      <c r="C65" s="191">
        <f>B65/C$53</f>
        <v>0.75</v>
      </c>
      <c r="D65" s="208">
        <f>2+10</f>
        <v>12</v>
      </c>
      <c r="E65" s="192">
        <f>D65/E$53</f>
        <v>0.70588235294117652</v>
      </c>
      <c r="F65" s="209">
        <v>12</v>
      </c>
      <c r="G65" s="192">
        <f>F65/G$53</f>
        <v>0.8</v>
      </c>
      <c r="H65" s="209">
        <v>11</v>
      </c>
      <c r="I65" s="192">
        <f>H65/I$53</f>
        <v>0.7857142857142857</v>
      </c>
      <c r="J65" s="209">
        <f>12+1</f>
        <v>13</v>
      </c>
      <c r="K65" s="192">
        <f>J65/K$53</f>
        <v>0.8666666666666667</v>
      </c>
      <c r="L65" s="209">
        <v>12</v>
      </c>
      <c r="M65" s="192">
        <f>L65/M$53</f>
        <v>0.75</v>
      </c>
      <c r="N65" s="209">
        <v>13</v>
      </c>
      <c r="O65" s="192">
        <f>N65/O$53</f>
        <v>0.72222222222222221</v>
      </c>
      <c r="P65" s="209">
        <v>12</v>
      </c>
      <c r="Q65" s="192">
        <f>P65/Q$53</f>
        <v>0.70588235294117652</v>
      </c>
      <c r="R65" s="209">
        <v>12</v>
      </c>
      <c r="S65" s="192">
        <f>R65/S$53</f>
        <v>0.66666666666666663</v>
      </c>
      <c r="T65" s="209"/>
      <c r="U65" s="203" t="e">
        <f>T65/U$53</f>
        <v>#DIV/0!</v>
      </c>
      <c r="V65" s="666"/>
      <c r="W65" s="205">
        <f t="shared" si="17"/>
        <v>12.25</v>
      </c>
      <c r="X65" s="206" t="e">
        <f t="shared" si="17"/>
        <v>#DIV/0!</v>
      </c>
    </row>
    <row r="66" spans="1:24" s="1" customFormat="1" ht="15" customHeight="1" thickBot="1" x14ac:dyDescent="0.25">
      <c r="A66" s="696" t="s">
        <v>57</v>
      </c>
      <c r="B66" s="729">
        <v>4</v>
      </c>
      <c r="C66" s="724">
        <f>B66/C$53</f>
        <v>0.25</v>
      </c>
      <c r="D66" s="729">
        <f>1+4</f>
        <v>5</v>
      </c>
      <c r="E66" s="725">
        <f>D66/E$53</f>
        <v>0.29411764705882354</v>
      </c>
      <c r="F66" s="730">
        <v>3</v>
      </c>
      <c r="G66" s="725">
        <f>F66/G$53</f>
        <v>0.2</v>
      </c>
      <c r="H66" s="730">
        <v>3</v>
      </c>
      <c r="I66" s="725">
        <f>H66/I$53</f>
        <v>0.21428571428571427</v>
      </c>
      <c r="J66" s="730">
        <f>2</f>
        <v>2</v>
      </c>
      <c r="K66" s="725">
        <f>J66/K$53</f>
        <v>0.13333333333333333</v>
      </c>
      <c r="L66" s="730">
        <v>4</v>
      </c>
      <c r="M66" s="725">
        <f>L66/M$53</f>
        <v>0.25</v>
      </c>
      <c r="N66" s="730">
        <v>5</v>
      </c>
      <c r="O66" s="725">
        <f>N66/O$53</f>
        <v>0.27777777777777779</v>
      </c>
      <c r="P66" s="730">
        <v>5</v>
      </c>
      <c r="Q66" s="725">
        <f>P66/Q$53</f>
        <v>0.29411764705882354</v>
      </c>
      <c r="R66" s="730">
        <v>6</v>
      </c>
      <c r="S66" s="725">
        <f>R66/S$53</f>
        <v>0.33333333333333331</v>
      </c>
      <c r="T66" s="730"/>
      <c r="U66" s="726" t="e">
        <f>T66/U$53</f>
        <v>#DIV/0!</v>
      </c>
      <c r="V66" s="666"/>
      <c r="W66" s="727">
        <f t="shared" si="17"/>
        <v>5</v>
      </c>
      <c r="X66" s="728" t="e">
        <f t="shared" si="17"/>
        <v>#DIV/0!</v>
      </c>
    </row>
    <row r="67" spans="1:24" s="1" customFormat="1" ht="18" customHeight="1" x14ac:dyDescent="0.2">
      <c r="A67" s="680" t="s">
        <v>58</v>
      </c>
      <c r="B67" s="738"/>
      <c r="C67" s="739"/>
      <c r="D67" s="738"/>
      <c r="E67" s="740"/>
      <c r="F67" s="741"/>
      <c r="G67" s="740"/>
      <c r="H67" s="741"/>
      <c r="I67" s="740"/>
      <c r="J67" s="741"/>
      <c r="K67" s="740"/>
      <c r="L67" s="741"/>
      <c r="M67" s="740"/>
      <c r="N67" s="741"/>
      <c r="O67" s="740"/>
      <c r="P67" s="741"/>
      <c r="Q67" s="740"/>
      <c r="R67" s="741"/>
      <c r="S67" s="740"/>
      <c r="T67" s="741"/>
      <c r="U67" s="742"/>
      <c r="V67" s="666"/>
      <c r="W67" s="736"/>
      <c r="X67" s="737"/>
    </row>
    <row r="68" spans="1:24" s="1" customFormat="1" ht="15" customHeight="1" x14ac:dyDescent="0.2">
      <c r="A68" s="200" t="s">
        <v>59</v>
      </c>
      <c r="B68" s="210">
        <v>11</v>
      </c>
      <c r="C68" s="191">
        <f>B68/C$53</f>
        <v>0.6875</v>
      </c>
      <c r="D68" s="210">
        <f>1+10</f>
        <v>11</v>
      </c>
      <c r="E68" s="192">
        <f>D68/E$53</f>
        <v>0.6470588235294118</v>
      </c>
      <c r="F68" s="211">
        <v>11</v>
      </c>
      <c r="G68" s="192">
        <f>F68/G$53</f>
        <v>0.73333333333333328</v>
      </c>
      <c r="H68" s="211">
        <v>11</v>
      </c>
      <c r="I68" s="192">
        <f>H68/I$53</f>
        <v>0.7857142857142857</v>
      </c>
      <c r="J68" s="211">
        <f>9+1</f>
        <v>10</v>
      </c>
      <c r="K68" s="192">
        <f>J68/K$53</f>
        <v>0.66666666666666663</v>
      </c>
      <c r="L68" s="211">
        <v>11</v>
      </c>
      <c r="M68" s="192">
        <f>L68/M$53</f>
        <v>0.6875</v>
      </c>
      <c r="N68" s="211">
        <v>13</v>
      </c>
      <c r="O68" s="192">
        <f>N68/O$53</f>
        <v>0.72222222222222221</v>
      </c>
      <c r="P68" s="211">
        <v>12</v>
      </c>
      <c r="Q68" s="192">
        <f>P68/Q$53</f>
        <v>0.70588235294117652</v>
      </c>
      <c r="R68" s="211">
        <v>11</v>
      </c>
      <c r="S68" s="192">
        <f>R68/S$53</f>
        <v>0.61111111111111116</v>
      </c>
      <c r="T68" s="211"/>
      <c r="U68" s="203" t="e">
        <f>T68/U$53</f>
        <v>#DIV/0!</v>
      </c>
      <c r="V68" s="666"/>
      <c r="W68" s="205">
        <f t="shared" si="17"/>
        <v>11.75</v>
      </c>
      <c r="X68" s="206" t="e">
        <f t="shared" si="17"/>
        <v>#DIV/0!</v>
      </c>
    </row>
    <row r="69" spans="1:24" s="1" customFormat="1" ht="15" customHeight="1" x14ac:dyDescent="0.2">
      <c r="A69" s="200" t="s">
        <v>60</v>
      </c>
      <c r="B69" s="210">
        <v>3</v>
      </c>
      <c r="C69" s="191">
        <f>B69/C$53</f>
        <v>0.1875</v>
      </c>
      <c r="D69" s="210">
        <f>1+2</f>
        <v>3</v>
      </c>
      <c r="E69" s="192">
        <f>D69/E$53</f>
        <v>0.17647058823529413</v>
      </c>
      <c r="F69" s="211">
        <v>2</v>
      </c>
      <c r="G69" s="192">
        <f>F69/G$53</f>
        <v>0.13333333333333333</v>
      </c>
      <c r="H69" s="211">
        <v>2</v>
      </c>
      <c r="I69" s="192">
        <f>H69/I$53</f>
        <v>0.14285714285714285</v>
      </c>
      <c r="J69" s="211">
        <f>2</f>
        <v>2</v>
      </c>
      <c r="K69" s="192">
        <f>J69/K$53</f>
        <v>0.13333333333333333</v>
      </c>
      <c r="L69" s="211">
        <v>1</v>
      </c>
      <c r="M69" s="192">
        <f>L69/M$53</f>
        <v>6.25E-2</v>
      </c>
      <c r="N69" s="211">
        <v>1</v>
      </c>
      <c r="O69" s="192">
        <f>N69/O$53</f>
        <v>5.5555555555555552E-2</v>
      </c>
      <c r="P69" s="211">
        <v>1</v>
      </c>
      <c r="Q69" s="192">
        <f>P69/Q$53</f>
        <v>5.8823529411764705E-2</v>
      </c>
      <c r="R69" s="211">
        <v>1</v>
      </c>
      <c r="S69" s="192">
        <f>R69/S$53</f>
        <v>5.5555555555555552E-2</v>
      </c>
      <c r="T69" s="211"/>
      <c r="U69" s="203" t="e">
        <f>T69/U$53</f>
        <v>#DIV/0!</v>
      </c>
      <c r="V69" s="666"/>
      <c r="W69" s="205">
        <f t="shared" si="17"/>
        <v>1</v>
      </c>
      <c r="X69" s="206" t="e">
        <f t="shared" si="17"/>
        <v>#DIV/0!</v>
      </c>
    </row>
    <row r="70" spans="1:24" s="1" customFormat="1" ht="15" customHeight="1" thickBot="1" x14ac:dyDescent="0.25">
      <c r="A70" s="696" t="s">
        <v>61</v>
      </c>
      <c r="B70" s="729">
        <v>2</v>
      </c>
      <c r="C70" s="724">
        <f>B70/C$53</f>
        <v>0.125</v>
      </c>
      <c r="D70" s="729">
        <f>1+2</f>
        <v>3</v>
      </c>
      <c r="E70" s="725">
        <f>D70/E$53</f>
        <v>0.17647058823529413</v>
      </c>
      <c r="F70" s="730">
        <v>2</v>
      </c>
      <c r="G70" s="725">
        <f>F70/G$53</f>
        <v>0.13333333333333333</v>
      </c>
      <c r="H70" s="730">
        <v>1</v>
      </c>
      <c r="I70" s="725">
        <f>H70/I$53</f>
        <v>7.1428571428571425E-2</v>
      </c>
      <c r="J70" s="730">
        <f>3</f>
        <v>3</v>
      </c>
      <c r="K70" s="725">
        <f>J70/K$53</f>
        <v>0.2</v>
      </c>
      <c r="L70" s="730">
        <v>4</v>
      </c>
      <c r="M70" s="725">
        <f>L70/M$53</f>
        <v>0.25</v>
      </c>
      <c r="N70" s="730">
        <v>4</v>
      </c>
      <c r="O70" s="725">
        <f>N70/O$53</f>
        <v>0.22222222222222221</v>
      </c>
      <c r="P70" s="730">
        <v>4</v>
      </c>
      <c r="Q70" s="725">
        <f>P70/Q$53</f>
        <v>0.23529411764705882</v>
      </c>
      <c r="R70" s="730">
        <v>6</v>
      </c>
      <c r="S70" s="725">
        <f>R70/S$53</f>
        <v>0.33333333333333331</v>
      </c>
      <c r="T70" s="730"/>
      <c r="U70" s="726" t="e">
        <f>T70/U$53</f>
        <v>#DIV/0!</v>
      </c>
      <c r="V70" s="666"/>
      <c r="W70" s="727">
        <f t="shared" si="17"/>
        <v>4.5</v>
      </c>
      <c r="X70" s="728" t="e">
        <f t="shared" si="17"/>
        <v>#DIV/0!</v>
      </c>
    </row>
    <row r="71" spans="1:24" s="1" customFormat="1" ht="18" customHeight="1" x14ac:dyDescent="0.2">
      <c r="A71" s="680" t="s">
        <v>62</v>
      </c>
      <c r="B71" s="738"/>
      <c r="C71" s="739"/>
      <c r="D71" s="738"/>
      <c r="E71" s="740"/>
      <c r="F71" s="741"/>
      <c r="G71" s="740"/>
      <c r="H71" s="741"/>
      <c r="I71" s="740"/>
      <c r="J71" s="741"/>
      <c r="K71" s="740"/>
      <c r="L71" s="741"/>
      <c r="M71" s="740"/>
      <c r="N71" s="741"/>
      <c r="O71" s="740"/>
      <c r="P71" s="741"/>
      <c r="Q71" s="740"/>
      <c r="R71" s="741"/>
      <c r="S71" s="740"/>
      <c r="T71" s="741"/>
      <c r="U71" s="742"/>
      <c r="V71" s="666"/>
      <c r="W71" s="736"/>
      <c r="X71" s="737"/>
    </row>
    <row r="72" spans="1:24" s="1" customFormat="1" ht="15" customHeight="1" x14ac:dyDescent="0.2">
      <c r="A72" s="200" t="s">
        <v>63</v>
      </c>
      <c r="B72" s="210">
        <v>16</v>
      </c>
      <c r="C72" s="191">
        <f>B72/C$53</f>
        <v>1</v>
      </c>
      <c r="D72" s="210">
        <f>1+14+2</f>
        <v>17</v>
      </c>
      <c r="E72" s="192">
        <f>D72/E$53</f>
        <v>1</v>
      </c>
      <c r="F72" s="211">
        <v>15</v>
      </c>
      <c r="G72" s="192">
        <f>F72/G$53</f>
        <v>1</v>
      </c>
      <c r="H72" s="211">
        <v>14</v>
      </c>
      <c r="I72" s="192">
        <f>H72/I$53</f>
        <v>1</v>
      </c>
      <c r="J72" s="211">
        <f>14+1</f>
        <v>15</v>
      </c>
      <c r="K72" s="192">
        <f>J72/K$53</f>
        <v>1</v>
      </c>
      <c r="L72" s="211">
        <v>16</v>
      </c>
      <c r="M72" s="192">
        <f>L72/M$53</f>
        <v>1</v>
      </c>
      <c r="N72" s="211">
        <v>18</v>
      </c>
      <c r="O72" s="192">
        <f>N72/O$53</f>
        <v>1</v>
      </c>
      <c r="P72" s="211">
        <v>17</v>
      </c>
      <c r="Q72" s="192">
        <f>P72/Q$53</f>
        <v>1</v>
      </c>
      <c r="R72" s="211">
        <v>18</v>
      </c>
      <c r="S72" s="192">
        <f>R72/S$53</f>
        <v>1</v>
      </c>
      <c r="T72" s="211"/>
      <c r="U72" s="203" t="e">
        <f>T72/U$53</f>
        <v>#DIV/0!</v>
      </c>
      <c r="V72" s="666"/>
      <c r="W72" s="205">
        <f t="shared" si="17"/>
        <v>17.25</v>
      </c>
      <c r="X72" s="206" t="e">
        <f t="shared" si="17"/>
        <v>#DIV/0!</v>
      </c>
    </row>
    <row r="73" spans="1:24" s="1" customFormat="1" ht="15" customHeight="1" x14ac:dyDescent="0.2">
      <c r="A73" s="200" t="s">
        <v>64</v>
      </c>
      <c r="B73" s="210">
        <v>0</v>
      </c>
      <c r="C73" s="191">
        <f>B73/C$53</f>
        <v>0</v>
      </c>
      <c r="D73" s="210">
        <v>0</v>
      </c>
      <c r="E73" s="192">
        <f>D73/E$53</f>
        <v>0</v>
      </c>
      <c r="F73" s="211">
        <v>0</v>
      </c>
      <c r="G73" s="192">
        <f>F73/G$53</f>
        <v>0</v>
      </c>
      <c r="H73" s="211">
        <v>0</v>
      </c>
      <c r="I73" s="192">
        <f>H73/I$53</f>
        <v>0</v>
      </c>
      <c r="J73" s="211">
        <f>0</f>
        <v>0</v>
      </c>
      <c r="K73" s="192">
        <f>J73/K$53</f>
        <v>0</v>
      </c>
      <c r="L73" s="211">
        <v>0</v>
      </c>
      <c r="M73" s="192">
        <f>L73/M$53</f>
        <v>0</v>
      </c>
      <c r="N73" s="211">
        <v>0</v>
      </c>
      <c r="O73" s="192">
        <f>N73/O$53</f>
        <v>0</v>
      </c>
      <c r="P73" s="211">
        <v>0</v>
      </c>
      <c r="Q73" s="192">
        <f>P73/Q$53</f>
        <v>0</v>
      </c>
      <c r="R73" s="211">
        <v>0</v>
      </c>
      <c r="S73" s="192">
        <f>R73/S$53</f>
        <v>0</v>
      </c>
      <c r="T73" s="211"/>
      <c r="U73" s="203" t="e">
        <f>T73/U$53</f>
        <v>#DIV/0!</v>
      </c>
      <c r="V73" s="666"/>
      <c r="W73" s="205">
        <f t="shared" si="17"/>
        <v>0</v>
      </c>
      <c r="X73" s="206" t="e">
        <f t="shared" si="17"/>
        <v>#DIV/0!</v>
      </c>
    </row>
    <row r="74" spans="1:24" s="1" customFormat="1" ht="15" customHeight="1" x14ac:dyDescent="0.2">
      <c r="A74" s="200" t="s">
        <v>65</v>
      </c>
      <c r="B74" s="210">
        <v>0</v>
      </c>
      <c r="C74" s="191">
        <f>B74/C$53</f>
        <v>0</v>
      </c>
      <c r="D74" s="210">
        <v>0</v>
      </c>
      <c r="E74" s="192">
        <f>D74/E$53</f>
        <v>0</v>
      </c>
      <c r="F74" s="211">
        <v>0</v>
      </c>
      <c r="G74" s="192">
        <f>F74/G$53</f>
        <v>0</v>
      </c>
      <c r="H74" s="211">
        <v>0</v>
      </c>
      <c r="I74" s="192">
        <f>H74/I$53</f>
        <v>0</v>
      </c>
      <c r="J74" s="211">
        <f>0</f>
        <v>0</v>
      </c>
      <c r="K74" s="192">
        <f>J74/K$53</f>
        <v>0</v>
      </c>
      <c r="L74" s="211">
        <v>0</v>
      </c>
      <c r="M74" s="192">
        <f>L74/M$53</f>
        <v>0</v>
      </c>
      <c r="N74" s="211">
        <v>0</v>
      </c>
      <c r="O74" s="192">
        <f>N74/O$53</f>
        <v>0</v>
      </c>
      <c r="P74" s="211">
        <v>0</v>
      </c>
      <c r="Q74" s="192">
        <f>P74/Q$53</f>
        <v>0</v>
      </c>
      <c r="R74" s="211">
        <v>0</v>
      </c>
      <c r="S74" s="192">
        <f>R74/S$53</f>
        <v>0</v>
      </c>
      <c r="T74" s="211"/>
      <c r="U74" s="203" t="e">
        <f>T74/U$53</f>
        <v>#DIV/0!</v>
      </c>
      <c r="V74" s="195"/>
      <c r="W74" s="205">
        <f t="shared" si="17"/>
        <v>0</v>
      </c>
      <c r="X74" s="206" t="e">
        <f t="shared" si="17"/>
        <v>#DIV/0!</v>
      </c>
    </row>
    <row r="75" spans="1:24" s="1" customFormat="1" ht="15" customHeight="1" thickBot="1" x14ac:dyDescent="0.25">
      <c r="A75" s="212" t="s">
        <v>66</v>
      </c>
      <c r="B75" s="213">
        <v>0</v>
      </c>
      <c r="C75" s="214">
        <f>B75/C$53</f>
        <v>0</v>
      </c>
      <c r="D75" s="213">
        <v>0</v>
      </c>
      <c r="E75" s="215">
        <f>D75/E$53</f>
        <v>0</v>
      </c>
      <c r="F75" s="216">
        <v>0</v>
      </c>
      <c r="G75" s="215">
        <f>F75/G$53</f>
        <v>0</v>
      </c>
      <c r="H75" s="216">
        <v>0</v>
      </c>
      <c r="I75" s="215">
        <f>H75/I$53</f>
        <v>0</v>
      </c>
      <c r="J75" s="216">
        <f>0</f>
        <v>0</v>
      </c>
      <c r="K75" s="215">
        <f>J75/K$53</f>
        <v>0</v>
      </c>
      <c r="L75" s="216">
        <v>0</v>
      </c>
      <c r="M75" s="215">
        <f>L75/M$53</f>
        <v>0</v>
      </c>
      <c r="N75" s="216">
        <v>0</v>
      </c>
      <c r="O75" s="215">
        <f>N75/O$53</f>
        <v>0</v>
      </c>
      <c r="P75" s="216">
        <v>0</v>
      </c>
      <c r="Q75" s="215">
        <f>P75/Q$53</f>
        <v>0</v>
      </c>
      <c r="R75" s="216">
        <v>0</v>
      </c>
      <c r="S75" s="215">
        <f>R75/S$53</f>
        <v>0</v>
      </c>
      <c r="T75" s="217"/>
      <c r="U75" s="218" t="e">
        <f>T75/U$53</f>
        <v>#DIV/0!</v>
      </c>
      <c r="V75" s="195"/>
      <c r="W75" s="219">
        <f t="shared" si="17"/>
        <v>0</v>
      </c>
      <c r="X75" s="220" t="e">
        <f t="shared" si="17"/>
        <v>#DIV/0!</v>
      </c>
    </row>
    <row r="76" spans="1:24" ht="15" customHeight="1" thickTop="1" x14ac:dyDescent="0.2">
      <c r="A76" s="743" t="s">
        <v>248</v>
      </c>
    </row>
    <row r="77" spans="1:24" x14ac:dyDescent="0.2">
      <c r="A77" s="1"/>
      <c r="H77" s="65" t="s">
        <v>19</v>
      </c>
      <c r="J77" s="65" t="s">
        <v>19</v>
      </c>
      <c r="L77" s="65" t="s">
        <v>19</v>
      </c>
      <c r="N77" s="65" t="s">
        <v>19</v>
      </c>
      <c r="P77" s="65" t="s">
        <v>19</v>
      </c>
      <c r="R77" s="65" t="s">
        <v>19</v>
      </c>
      <c r="T77" s="65" t="s">
        <v>19</v>
      </c>
    </row>
    <row r="78" spans="1:24" x14ac:dyDescent="0.2">
      <c r="A78" s="1"/>
    </row>
    <row r="79" spans="1:24" x14ac:dyDescent="0.2">
      <c r="A79" s="1"/>
    </row>
    <row r="80" spans="1:24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x14ac:dyDescent="0.2">
      <c r="A84" s="1"/>
    </row>
    <row r="85" spans="1:1" x14ac:dyDescent="0.2">
      <c r="A85" s="1"/>
    </row>
    <row r="86" spans="1:1" x14ac:dyDescent="0.2">
      <c r="A86" s="1"/>
    </row>
    <row r="87" spans="1:1" x14ac:dyDescent="0.2">
      <c r="A87" s="1"/>
    </row>
    <row r="88" spans="1:1" x14ac:dyDescent="0.2">
      <c r="A88" s="1"/>
    </row>
    <row r="89" spans="1:1" x14ac:dyDescent="0.2">
      <c r="A89" s="1"/>
    </row>
    <row r="90" spans="1:1" x14ac:dyDescent="0.2">
      <c r="A90" s="1"/>
    </row>
    <row r="91" spans="1:1" x14ac:dyDescent="0.2">
      <c r="A91" s="1"/>
    </row>
    <row r="92" spans="1:1" x14ac:dyDescent="0.2">
      <c r="A92" s="1"/>
    </row>
    <row r="93" spans="1:1" x14ac:dyDescent="0.2">
      <c r="A93" s="1"/>
    </row>
    <row r="94" spans="1:1" x14ac:dyDescent="0.2">
      <c r="A94" s="1"/>
    </row>
    <row r="95" spans="1:1" x14ac:dyDescent="0.2">
      <c r="A95" s="1"/>
    </row>
    <row r="96" spans="1:1" x14ac:dyDescent="0.2">
      <c r="A96" s="1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x14ac:dyDescent="0.2">
      <c r="A100" s="1"/>
    </row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x14ac:dyDescent="0.2">
      <c r="A107" s="1"/>
    </row>
    <row r="108" spans="1:1" x14ac:dyDescent="0.2">
      <c r="A108" s="1"/>
    </row>
    <row r="109" spans="1:1" x14ac:dyDescent="0.2">
      <c r="A109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x14ac:dyDescent="0.2">
      <c r="A120" s="1"/>
    </row>
    <row r="121" spans="1:1" x14ac:dyDescent="0.2">
      <c r="A121" s="1"/>
    </row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x14ac:dyDescent="0.2">
      <c r="A128" s="1"/>
    </row>
    <row r="129" spans="1:1" x14ac:dyDescent="0.2">
      <c r="A129" s="1"/>
    </row>
    <row r="130" spans="1:1" x14ac:dyDescent="0.2">
      <c r="A130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x14ac:dyDescent="0.2">
      <c r="A152" s="1"/>
    </row>
    <row r="153" spans="1:1" x14ac:dyDescent="0.2">
      <c r="A153" s="1"/>
    </row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  <row r="177" spans="1:1" x14ac:dyDescent="0.2">
      <c r="A177" s="1"/>
    </row>
    <row r="178" spans="1:1" x14ac:dyDescent="0.2">
      <c r="A178" s="1"/>
    </row>
    <row r="179" spans="1:1" x14ac:dyDescent="0.2">
      <c r="A179" s="1"/>
    </row>
    <row r="180" spans="1:1" x14ac:dyDescent="0.2">
      <c r="A180" s="1"/>
    </row>
    <row r="181" spans="1:1" x14ac:dyDescent="0.2">
      <c r="A181" s="1"/>
    </row>
    <row r="182" spans="1:1" x14ac:dyDescent="0.2">
      <c r="A182" s="1"/>
    </row>
    <row r="183" spans="1:1" x14ac:dyDescent="0.2">
      <c r="A183" s="1"/>
    </row>
    <row r="184" spans="1:1" x14ac:dyDescent="0.2">
      <c r="A184" s="1"/>
    </row>
    <row r="185" spans="1:1" x14ac:dyDescent="0.2">
      <c r="A185" s="1"/>
    </row>
    <row r="186" spans="1:1" x14ac:dyDescent="0.2">
      <c r="A186" s="1"/>
    </row>
    <row r="187" spans="1:1" x14ac:dyDescent="0.2">
      <c r="A187" s="1"/>
    </row>
    <row r="188" spans="1:1" x14ac:dyDescent="0.2">
      <c r="A188" s="1"/>
    </row>
    <row r="189" spans="1:1" x14ac:dyDescent="0.2">
      <c r="A189" s="1"/>
    </row>
    <row r="190" spans="1:1" x14ac:dyDescent="0.2">
      <c r="A190" s="1"/>
    </row>
    <row r="191" spans="1:1" x14ac:dyDescent="0.2">
      <c r="A191" s="1"/>
    </row>
    <row r="192" spans="1:1" x14ac:dyDescent="0.2">
      <c r="A192" s="1"/>
    </row>
    <row r="193" spans="1:1" x14ac:dyDescent="0.2">
      <c r="A193" s="1"/>
    </row>
    <row r="194" spans="1:1" x14ac:dyDescent="0.2">
      <c r="A194" s="1"/>
    </row>
    <row r="195" spans="1:1" x14ac:dyDescent="0.2">
      <c r="A195" s="1"/>
    </row>
    <row r="196" spans="1:1" x14ac:dyDescent="0.2">
      <c r="A196" s="1"/>
    </row>
    <row r="197" spans="1:1" x14ac:dyDescent="0.2">
      <c r="A197" s="1"/>
    </row>
    <row r="198" spans="1:1" x14ac:dyDescent="0.2">
      <c r="A198" s="1"/>
    </row>
    <row r="199" spans="1:1" x14ac:dyDescent="0.2">
      <c r="A199" s="1"/>
    </row>
    <row r="200" spans="1:1" x14ac:dyDescent="0.2">
      <c r="A200" s="1"/>
    </row>
    <row r="201" spans="1:1" x14ac:dyDescent="0.2">
      <c r="A201" s="1"/>
    </row>
    <row r="202" spans="1:1" x14ac:dyDescent="0.2">
      <c r="A202" s="1"/>
    </row>
    <row r="203" spans="1:1" x14ac:dyDescent="0.2">
      <c r="A203" s="1"/>
    </row>
    <row r="204" spans="1:1" x14ac:dyDescent="0.2">
      <c r="A204" s="1"/>
    </row>
    <row r="205" spans="1:1" x14ac:dyDescent="0.2">
      <c r="A205" s="1"/>
    </row>
    <row r="206" spans="1:1" x14ac:dyDescent="0.2">
      <c r="A206" s="1"/>
    </row>
    <row r="207" spans="1:1" x14ac:dyDescent="0.2">
      <c r="A207" s="1"/>
    </row>
    <row r="208" spans="1:1" x14ac:dyDescent="0.2">
      <c r="A208" s="1"/>
    </row>
    <row r="209" spans="1:1" x14ac:dyDescent="0.2">
      <c r="A209" s="1"/>
    </row>
    <row r="210" spans="1:1" x14ac:dyDescent="0.2">
      <c r="A210" s="1"/>
    </row>
    <row r="211" spans="1:1" x14ac:dyDescent="0.2">
      <c r="A211" s="1"/>
    </row>
    <row r="212" spans="1:1" x14ac:dyDescent="0.2">
      <c r="A212" s="1"/>
    </row>
    <row r="213" spans="1:1" x14ac:dyDescent="0.2">
      <c r="A213" s="1"/>
    </row>
    <row r="214" spans="1:1" x14ac:dyDescent="0.2">
      <c r="A214" s="1"/>
    </row>
    <row r="215" spans="1:1" x14ac:dyDescent="0.2">
      <c r="A215" s="1"/>
    </row>
    <row r="216" spans="1:1" x14ac:dyDescent="0.2">
      <c r="A216" s="1"/>
    </row>
    <row r="217" spans="1:1" x14ac:dyDescent="0.2">
      <c r="A217" s="1"/>
    </row>
    <row r="218" spans="1:1" x14ac:dyDescent="0.2">
      <c r="A218" s="1"/>
    </row>
    <row r="219" spans="1:1" x14ac:dyDescent="0.2">
      <c r="A219" s="1"/>
    </row>
    <row r="220" spans="1:1" x14ac:dyDescent="0.2">
      <c r="A220" s="1"/>
    </row>
    <row r="221" spans="1:1" x14ac:dyDescent="0.2">
      <c r="A221" s="1"/>
    </row>
    <row r="222" spans="1:1" x14ac:dyDescent="0.2">
      <c r="A222" s="1"/>
    </row>
    <row r="223" spans="1:1" x14ac:dyDescent="0.2">
      <c r="A223" s="1"/>
    </row>
    <row r="224" spans="1:1" x14ac:dyDescent="0.2">
      <c r="A224" s="1"/>
    </row>
    <row r="225" spans="1:1" x14ac:dyDescent="0.2">
      <c r="A225" s="1"/>
    </row>
    <row r="226" spans="1:1" x14ac:dyDescent="0.2">
      <c r="A226" s="1"/>
    </row>
    <row r="227" spans="1:1" x14ac:dyDescent="0.2">
      <c r="A227" s="1"/>
    </row>
    <row r="228" spans="1:1" x14ac:dyDescent="0.2">
      <c r="A228" s="1"/>
    </row>
    <row r="229" spans="1:1" x14ac:dyDescent="0.2">
      <c r="A229" s="1"/>
    </row>
    <row r="230" spans="1:1" x14ac:dyDescent="0.2">
      <c r="A230" s="1"/>
    </row>
    <row r="231" spans="1:1" x14ac:dyDescent="0.2">
      <c r="A231" s="1"/>
    </row>
    <row r="232" spans="1:1" x14ac:dyDescent="0.2">
      <c r="A232" s="1"/>
    </row>
    <row r="233" spans="1:1" x14ac:dyDescent="0.2">
      <c r="A233" s="1"/>
    </row>
    <row r="234" spans="1:1" x14ac:dyDescent="0.2">
      <c r="A234" s="1"/>
    </row>
    <row r="235" spans="1:1" x14ac:dyDescent="0.2">
      <c r="A235" s="1"/>
    </row>
    <row r="236" spans="1:1" x14ac:dyDescent="0.2">
      <c r="A236" s="1"/>
    </row>
    <row r="237" spans="1:1" x14ac:dyDescent="0.2">
      <c r="A237" s="1"/>
    </row>
    <row r="238" spans="1:1" x14ac:dyDescent="0.2">
      <c r="A238" s="1"/>
    </row>
    <row r="239" spans="1:1" x14ac:dyDescent="0.2">
      <c r="A239" s="1"/>
    </row>
    <row r="240" spans="1:1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6" spans="1:1" x14ac:dyDescent="0.2">
      <c r="A296" s="1"/>
    </row>
    <row r="297" spans="1:1" x14ac:dyDescent="0.2">
      <c r="A297" s="1"/>
    </row>
    <row r="298" spans="1:1" x14ac:dyDescent="0.2">
      <c r="A298" s="1"/>
    </row>
    <row r="299" spans="1:1" x14ac:dyDescent="0.2">
      <c r="A299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  <row r="303" spans="1:1" x14ac:dyDescent="0.2">
      <c r="A303" s="1"/>
    </row>
    <row r="304" spans="1:1" x14ac:dyDescent="0.2">
      <c r="A304" s="1"/>
    </row>
    <row r="305" spans="1:1" x14ac:dyDescent="0.2">
      <c r="A305" s="1"/>
    </row>
    <row r="306" spans="1:1" x14ac:dyDescent="0.2">
      <c r="A306" s="1"/>
    </row>
    <row r="307" spans="1:1" x14ac:dyDescent="0.2">
      <c r="A307" s="1"/>
    </row>
    <row r="308" spans="1:1" x14ac:dyDescent="0.2">
      <c r="A308" s="1"/>
    </row>
    <row r="309" spans="1:1" x14ac:dyDescent="0.2">
      <c r="A309" s="1"/>
    </row>
    <row r="310" spans="1:1" x14ac:dyDescent="0.2">
      <c r="A310" s="1"/>
    </row>
    <row r="311" spans="1:1" x14ac:dyDescent="0.2">
      <c r="A311" s="1"/>
    </row>
    <row r="312" spans="1:1" x14ac:dyDescent="0.2">
      <c r="A312" s="1"/>
    </row>
    <row r="313" spans="1:1" x14ac:dyDescent="0.2">
      <c r="A313" s="1"/>
    </row>
    <row r="314" spans="1:1" x14ac:dyDescent="0.2">
      <c r="A314" s="1"/>
    </row>
    <row r="315" spans="1:1" x14ac:dyDescent="0.2">
      <c r="A315" s="1"/>
    </row>
    <row r="316" spans="1:1" x14ac:dyDescent="0.2">
      <c r="A316" s="1"/>
    </row>
    <row r="317" spans="1:1" x14ac:dyDescent="0.2">
      <c r="A317" s="1"/>
    </row>
    <row r="318" spans="1:1" x14ac:dyDescent="0.2">
      <c r="A318" s="1"/>
    </row>
    <row r="319" spans="1:1" x14ac:dyDescent="0.2">
      <c r="A319" s="1"/>
    </row>
    <row r="320" spans="1:1" x14ac:dyDescent="0.2">
      <c r="A320" s="1"/>
    </row>
    <row r="321" spans="1:1" x14ac:dyDescent="0.2">
      <c r="A321" s="1"/>
    </row>
    <row r="322" spans="1:1" x14ac:dyDescent="0.2">
      <c r="A322" s="1"/>
    </row>
    <row r="323" spans="1:1" x14ac:dyDescent="0.2">
      <c r="A323" s="1"/>
    </row>
    <row r="324" spans="1:1" x14ac:dyDescent="0.2">
      <c r="A324" s="1"/>
    </row>
    <row r="325" spans="1:1" x14ac:dyDescent="0.2">
      <c r="A325" s="1"/>
    </row>
    <row r="326" spans="1:1" x14ac:dyDescent="0.2">
      <c r="A326" s="1"/>
    </row>
    <row r="327" spans="1:1" x14ac:dyDescent="0.2">
      <c r="A327" s="1"/>
    </row>
    <row r="328" spans="1:1" x14ac:dyDescent="0.2">
      <c r="A328" s="1"/>
    </row>
    <row r="329" spans="1:1" x14ac:dyDescent="0.2">
      <c r="A329" s="1"/>
    </row>
    <row r="330" spans="1:1" x14ac:dyDescent="0.2">
      <c r="A330" s="1"/>
    </row>
    <row r="331" spans="1:1" x14ac:dyDescent="0.2">
      <c r="A331" s="1"/>
    </row>
    <row r="332" spans="1:1" x14ac:dyDescent="0.2">
      <c r="A332" s="1"/>
    </row>
    <row r="333" spans="1:1" x14ac:dyDescent="0.2">
      <c r="A333" s="1"/>
    </row>
    <row r="334" spans="1:1" x14ac:dyDescent="0.2">
      <c r="A334" s="1"/>
    </row>
    <row r="335" spans="1:1" x14ac:dyDescent="0.2">
      <c r="A335" s="1"/>
    </row>
    <row r="336" spans="1:1" x14ac:dyDescent="0.2">
      <c r="A336" s="1"/>
    </row>
    <row r="337" spans="1:1" x14ac:dyDescent="0.2">
      <c r="A337" s="1"/>
    </row>
    <row r="338" spans="1:1" x14ac:dyDescent="0.2">
      <c r="A338" s="1"/>
    </row>
    <row r="339" spans="1:1" x14ac:dyDescent="0.2">
      <c r="A339" s="1"/>
    </row>
    <row r="340" spans="1:1" x14ac:dyDescent="0.2">
      <c r="A340" s="1"/>
    </row>
    <row r="341" spans="1:1" x14ac:dyDescent="0.2">
      <c r="A341" s="1"/>
    </row>
    <row r="342" spans="1:1" x14ac:dyDescent="0.2">
      <c r="A342" s="1"/>
    </row>
    <row r="343" spans="1:1" x14ac:dyDescent="0.2">
      <c r="A343" s="1"/>
    </row>
    <row r="344" spans="1:1" x14ac:dyDescent="0.2">
      <c r="A344" s="1"/>
    </row>
    <row r="345" spans="1:1" x14ac:dyDescent="0.2">
      <c r="A345" s="1"/>
    </row>
    <row r="346" spans="1:1" x14ac:dyDescent="0.2">
      <c r="A346" s="1"/>
    </row>
    <row r="347" spans="1:1" x14ac:dyDescent="0.2">
      <c r="A347" s="1"/>
    </row>
    <row r="348" spans="1:1" x14ac:dyDescent="0.2">
      <c r="A348" s="1"/>
    </row>
    <row r="349" spans="1:1" x14ac:dyDescent="0.2">
      <c r="A349" s="1"/>
    </row>
    <row r="350" spans="1:1" x14ac:dyDescent="0.2">
      <c r="A350" s="1"/>
    </row>
    <row r="351" spans="1:1" x14ac:dyDescent="0.2">
      <c r="A351" s="1"/>
    </row>
    <row r="352" spans="1:1" x14ac:dyDescent="0.2">
      <c r="A352" s="1"/>
    </row>
    <row r="353" spans="1:1" x14ac:dyDescent="0.2">
      <c r="A353" s="1"/>
    </row>
    <row r="354" spans="1:1" x14ac:dyDescent="0.2">
      <c r="A354" s="1"/>
    </row>
    <row r="355" spans="1:1" x14ac:dyDescent="0.2">
      <c r="A355" s="1"/>
    </row>
    <row r="356" spans="1:1" x14ac:dyDescent="0.2">
      <c r="A356" s="1"/>
    </row>
    <row r="357" spans="1:1" x14ac:dyDescent="0.2">
      <c r="A357" s="1"/>
    </row>
    <row r="358" spans="1:1" x14ac:dyDescent="0.2">
      <c r="A358" s="1"/>
    </row>
    <row r="359" spans="1:1" x14ac:dyDescent="0.2">
      <c r="A359" s="1"/>
    </row>
    <row r="360" spans="1:1" x14ac:dyDescent="0.2">
      <c r="A360" s="1"/>
    </row>
    <row r="361" spans="1:1" x14ac:dyDescent="0.2">
      <c r="A361" s="1"/>
    </row>
    <row r="362" spans="1:1" x14ac:dyDescent="0.2">
      <c r="A362" s="1"/>
    </row>
    <row r="363" spans="1:1" x14ac:dyDescent="0.2">
      <c r="A363" s="1"/>
    </row>
    <row r="364" spans="1:1" x14ac:dyDescent="0.2">
      <c r="A364" s="1"/>
    </row>
    <row r="365" spans="1:1" x14ac:dyDescent="0.2">
      <c r="A365" s="1"/>
    </row>
    <row r="366" spans="1:1" x14ac:dyDescent="0.2">
      <c r="A366" s="1"/>
    </row>
    <row r="367" spans="1:1" x14ac:dyDescent="0.2">
      <c r="A367" s="1"/>
    </row>
    <row r="368" spans="1:1" x14ac:dyDescent="0.2">
      <c r="A368" s="1"/>
    </row>
    <row r="369" spans="1:1" x14ac:dyDescent="0.2">
      <c r="A369" s="1"/>
    </row>
    <row r="370" spans="1:1" x14ac:dyDescent="0.2">
      <c r="A370" s="1"/>
    </row>
    <row r="371" spans="1:1" x14ac:dyDescent="0.2">
      <c r="A371" s="1"/>
    </row>
    <row r="372" spans="1:1" x14ac:dyDescent="0.2">
      <c r="A372" s="1"/>
    </row>
    <row r="373" spans="1:1" x14ac:dyDescent="0.2">
      <c r="A373" s="1"/>
    </row>
    <row r="374" spans="1:1" x14ac:dyDescent="0.2">
      <c r="A374" s="1"/>
    </row>
    <row r="375" spans="1:1" x14ac:dyDescent="0.2">
      <c r="A375" s="1"/>
    </row>
    <row r="376" spans="1:1" x14ac:dyDescent="0.2">
      <c r="A376" s="1"/>
    </row>
    <row r="377" spans="1:1" x14ac:dyDescent="0.2">
      <c r="A377" s="1"/>
    </row>
    <row r="378" spans="1:1" x14ac:dyDescent="0.2">
      <c r="A378" s="1"/>
    </row>
    <row r="379" spans="1:1" x14ac:dyDescent="0.2">
      <c r="A379" s="1"/>
    </row>
    <row r="380" spans="1:1" x14ac:dyDescent="0.2">
      <c r="A380" s="1"/>
    </row>
    <row r="381" spans="1:1" x14ac:dyDescent="0.2">
      <c r="A381" s="1"/>
    </row>
    <row r="382" spans="1:1" x14ac:dyDescent="0.2">
      <c r="A382" s="1"/>
    </row>
    <row r="383" spans="1:1" x14ac:dyDescent="0.2">
      <c r="A383" s="1"/>
    </row>
    <row r="384" spans="1:1" x14ac:dyDescent="0.2">
      <c r="A384" s="1"/>
    </row>
    <row r="385" spans="1:1" x14ac:dyDescent="0.2">
      <c r="A385" s="1"/>
    </row>
    <row r="386" spans="1:1" x14ac:dyDescent="0.2">
      <c r="A386" s="1"/>
    </row>
    <row r="387" spans="1:1" x14ac:dyDescent="0.2">
      <c r="A387" s="1"/>
    </row>
    <row r="388" spans="1:1" x14ac:dyDescent="0.2">
      <c r="A388" s="1"/>
    </row>
    <row r="389" spans="1:1" x14ac:dyDescent="0.2">
      <c r="A389" s="1"/>
    </row>
    <row r="390" spans="1:1" x14ac:dyDescent="0.2">
      <c r="A390" s="1"/>
    </row>
    <row r="391" spans="1:1" x14ac:dyDescent="0.2">
      <c r="A391" s="1"/>
    </row>
    <row r="392" spans="1:1" x14ac:dyDescent="0.2">
      <c r="A392" s="1"/>
    </row>
    <row r="393" spans="1:1" x14ac:dyDescent="0.2">
      <c r="A393" s="1"/>
    </row>
    <row r="394" spans="1:1" x14ac:dyDescent="0.2">
      <c r="A394" s="1"/>
    </row>
    <row r="395" spans="1:1" x14ac:dyDescent="0.2">
      <c r="A395" s="1"/>
    </row>
    <row r="396" spans="1:1" x14ac:dyDescent="0.2">
      <c r="A396" s="1"/>
    </row>
    <row r="397" spans="1:1" x14ac:dyDescent="0.2">
      <c r="A397" s="1"/>
    </row>
    <row r="398" spans="1:1" x14ac:dyDescent="0.2">
      <c r="A398" s="1"/>
    </row>
    <row r="399" spans="1:1" x14ac:dyDescent="0.2">
      <c r="A399" s="1"/>
    </row>
    <row r="400" spans="1:1" x14ac:dyDescent="0.2">
      <c r="A400" s="1"/>
    </row>
    <row r="401" spans="1:1" x14ac:dyDescent="0.2">
      <c r="A401" s="1"/>
    </row>
    <row r="402" spans="1:1" x14ac:dyDescent="0.2">
      <c r="A402" s="1"/>
    </row>
    <row r="403" spans="1:1" x14ac:dyDescent="0.2">
      <c r="A403" s="1"/>
    </row>
    <row r="404" spans="1:1" x14ac:dyDescent="0.2">
      <c r="A404" s="1"/>
    </row>
    <row r="405" spans="1:1" x14ac:dyDescent="0.2">
      <c r="A405" s="1"/>
    </row>
    <row r="406" spans="1:1" x14ac:dyDescent="0.2">
      <c r="A406" s="1"/>
    </row>
    <row r="407" spans="1:1" x14ac:dyDescent="0.2">
      <c r="A407" s="1"/>
    </row>
    <row r="408" spans="1:1" x14ac:dyDescent="0.2">
      <c r="A408" s="1"/>
    </row>
    <row r="409" spans="1:1" x14ac:dyDescent="0.2">
      <c r="A409" s="1"/>
    </row>
    <row r="410" spans="1:1" x14ac:dyDescent="0.2">
      <c r="A410" s="1"/>
    </row>
    <row r="411" spans="1:1" x14ac:dyDescent="0.2">
      <c r="A411" s="1"/>
    </row>
    <row r="412" spans="1:1" x14ac:dyDescent="0.2">
      <c r="A412" s="1"/>
    </row>
    <row r="413" spans="1:1" x14ac:dyDescent="0.2">
      <c r="A413" s="1"/>
    </row>
    <row r="414" spans="1:1" x14ac:dyDescent="0.2">
      <c r="A414" s="1"/>
    </row>
    <row r="415" spans="1:1" x14ac:dyDescent="0.2">
      <c r="A415" s="1"/>
    </row>
    <row r="416" spans="1:1" x14ac:dyDescent="0.2">
      <c r="A416" s="1"/>
    </row>
    <row r="417" spans="1:1" x14ac:dyDescent="0.2">
      <c r="A417" s="1"/>
    </row>
    <row r="418" spans="1:1" x14ac:dyDescent="0.2">
      <c r="A418" s="1"/>
    </row>
    <row r="419" spans="1:1" x14ac:dyDescent="0.2">
      <c r="A419" s="1"/>
    </row>
    <row r="420" spans="1:1" x14ac:dyDescent="0.2">
      <c r="A420" s="1"/>
    </row>
    <row r="421" spans="1:1" x14ac:dyDescent="0.2">
      <c r="A421" s="1"/>
    </row>
    <row r="422" spans="1:1" x14ac:dyDescent="0.2">
      <c r="A422" s="1"/>
    </row>
  </sheetData>
  <mergeCells count="77">
    <mergeCell ref="W9:X9"/>
    <mergeCell ref="P9:Q9"/>
    <mergeCell ref="B9:C9"/>
    <mergeCell ref="D9:E9"/>
    <mergeCell ref="F9:G9"/>
    <mergeCell ref="H9:I9"/>
    <mergeCell ref="J9:K9"/>
    <mergeCell ref="T9:U9"/>
    <mergeCell ref="L18:M18"/>
    <mergeCell ref="N18:O18"/>
    <mergeCell ref="L9:M9"/>
    <mergeCell ref="N9:O9"/>
    <mergeCell ref="R9:S9"/>
    <mergeCell ref="B18:C18"/>
    <mergeCell ref="D18:E18"/>
    <mergeCell ref="F18:G18"/>
    <mergeCell ref="H18:I18"/>
    <mergeCell ref="J18:K18"/>
    <mergeCell ref="P23:Q23"/>
    <mergeCell ref="R23:S23"/>
    <mergeCell ref="W23:X23"/>
    <mergeCell ref="R18:S18"/>
    <mergeCell ref="W18:X18"/>
    <mergeCell ref="P18:Q18"/>
    <mergeCell ref="T18:U18"/>
    <mergeCell ref="T23:U23"/>
    <mergeCell ref="J23:K23"/>
    <mergeCell ref="L23:M23"/>
    <mergeCell ref="N23:O23"/>
    <mergeCell ref="B23:C23"/>
    <mergeCell ref="D23:E23"/>
    <mergeCell ref="F23:G23"/>
    <mergeCell ref="H23:I23"/>
    <mergeCell ref="B32:C32"/>
    <mergeCell ref="D32:E32"/>
    <mergeCell ref="F32:G32"/>
    <mergeCell ref="H32:I32"/>
    <mergeCell ref="P32:Q32"/>
    <mergeCell ref="J32:K32"/>
    <mergeCell ref="L32:M32"/>
    <mergeCell ref="N32:O32"/>
    <mergeCell ref="R25:S25"/>
    <mergeCell ref="W25:X25"/>
    <mergeCell ref="P25:Q25"/>
    <mergeCell ref="B25:C25"/>
    <mergeCell ref="D25:E25"/>
    <mergeCell ref="F25:G25"/>
    <mergeCell ref="H25:I25"/>
    <mergeCell ref="J25:K25"/>
    <mergeCell ref="L25:M25"/>
    <mergeCell ref="N25:O25"/>
    <mergeCell ref="T25:U25"/>
    <mergeCell ref="R32:S32"/>
    <mergeCell ref="W35:X35"/>
    <mergeCell ref="P35:Q35"/>
    <mergeCell ref="R35:S35"/>
    <mergeCell ref="J35:K35"/>
    <mergeCell ref="L35:M35"/>
    <mergeCell ref="N35:O35"/>
    <mergeCell ref="W32:X32"/>
    <mergeCell ref="T32:U32"/>
    <mergeCell ref="T35:U35"/>
    <mergeCell ref="P41:Q41"/>
    <mergeCell ref="R41:S41"/>
    <mergeCell ref="W41:X41"/>
    <mergeCell ref="B41:C41"/>
    <mergeCell ref="D41:E41"/>
    <mergeCell ref="F41:G41"/>
    <mergeCell ref="H41:I41"/>
    <mergeCell ref="J41:K41"/>
    <mergeCell ref="T41:U41"/>
    <mergeCell ref="B35:C35"/>
    <mergeCell ref="D35:E35"/>
    <mergeCell ref="F35:G35"/>
    <mergeCell ref="L41:M41"/>
    <mergeCell ref="N41:O41"/>
    <mergeCell ref="H35:I35"/>
  </mergeCells>
  <printOptions horizontalCentered="1"/>
  <pageMargins left="0.75" right="0.75" top="0.5" bottom="0.5" header="0.25" footer="0.25"/>
  <pageSetup scale="70" orientation="landscape" r:id="rId1"/>
  <headerFooter alignWithMargins="0">
    <oddFooter>&amp;LPrepared by Planning and Analysis&amp;C&amp;P of &amp;N&amp;RUpdated &amp;D</oddFooter>
  </headerFooter>
  <rowBreaks count="1" manualBreakCount="1">
    <brk id="39" max="21" man="1"/>
  </rowBreaks>
  <colBreaks count="1" manualBreakCount="1">
    <brk id="21" min="8" max="75" man="1"/>
  </colBreaks>
  <ignoredErrors>
    <ignoredError sqref="A51:J7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A439"/>
  <sheetViews>
    <sheetView zoomScaleNormal="100" zoomScaleSheetLayoutView="100" workbookViewId="0">
      <pane xSplit="1" ySplit="1" topLeftCell="T2" activePane="bottomRight" state="frozen"/>
      <selection activeCell="T36" sqref="T36:U36"/>
      <selection pane="topRight" activeCell="T36" sqref="T36:U36"/>
      <selection pane="bottomLeft" activeCell="T36" sqref="T36:U36"/>
      <selection pane="bottomRight" activeCell="T36" sqref="T36:U36"/>
    </sheetView>
  </sheetViews>
  <sheetFormatPr defaultColWidth="10.28515625" defaultRowHeight="12.75" x14ac:dyDescent="0.2"/>
  <cols>
    <col min="1" max="1" width="32.7109375" customWidth="1"/>
    <col min="2" max="2" width="6.7109375" hidden="1" customWidth="1"/>
    <col min="3" max="3" width="10.7109375" hidden="1" customWidth="1"/>
    <col min="4" max="4" width="6.7109375" hidden="1" customWidth="1"/>
    <col min="5" max="5" width="10.7109375" hidden="1" customWidth="1"/>
    <col min="6" max="6" width="6.7109375" customWidth="1"/>
    <col min="7" max="7" width="10.7109375" customWidth="1"/>
    <col min="8" max="8" width="6.7109375" customWidth="1"/>
    <col min="9" max="9" width="10.7109375" customWidth="1"/>
    <col min="10" max="10" width="6.7109375" customWidth="1"/>
    <col min="11" max="11" width="10.7109375" customWidth="1"/>
    <col min="12" max="12" width="6.7109375" customWidth="1"/>
    <col min="13" max="13" width="10.7109375" customWidth="1"/>
    <col min="14" max="14" width="6.7109375" customWidth="1"/>
    <col min="15" max="15" width="10.7109375" customWidth="1"/>
    <col min="16" max="16" width="6.7109375" customWidth="1"/>
    <col min="17" max="17" width="10.7109375" customWidth="1"/>
    <col min="18" max="18" width="6.7109375" customWidth="1"/>
    <col min="19" max="19" width="10.7109375" customWidth="1"/>
    <col min="20" max="20" width="6.7109375" customWidth="1"/>
    <col min="21" max="21" width="10.7109375" customWidth="1"/>
    <col min="22" max="22" width="3.28515625" customWidth="1"/>
    <col min="23" max="23" width="6.7109375" customWidth="1"/>
    <col min="24" max="24" width="10.7109375" customWidth="1"/>
    <col min="25" max="25" width="1.5703125" customWidth="1"/>
  </cols>
  <sheetData>
    <row r="1" spans="1:26" ht="15.75" x14ac:dyDescent="0.25">
      <c r="A1" s="667" t="s">
        <v>240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</row>
    <row r="2" spans="1:26" ht="15.75" x14ac:dyDescent="0.25">
      <c r="A2" s="667" t="s">
        <v>241</v>
      </c>
    </row>
    <row r="3" spans="1:26" ht="6" customHeight="1" x14ac:dyDescent="0.25">
      <c r="A3" s="667"/>
    </row>
    <row r="4" spans="1:26" ht="15.75" x14ac:dyDescent="0.25">
      <c r="A4" s="668" t="s">
        <v>261</v>
      </c>
    </row>
    <row r="5" spans="1:26" ht="6" customHeight="1" x14ac:dyDescent="0.25">
      <c r="A5" s="668"/>
    </row>
    <row r="6" spans="1:26" x14ac:dyDescent="0.2">
      <c r="A6" s="669" t="s">
        <v>275</v>
      </c>
    </row>
    <row r="7" spans="1:26" x14ac:dyDescent="0.2">
      <c r="A7" s="720">
        <v>3670020060</v>
      </c>
    </row>
    <row r="8" spans="1:26" ht="13.5" thickBot="1" x14ac:dyDescent="0.25">
      <c r="A8" s="1"/>
    </row>
    <row r="9" spans="1:26" ht="15" customHeight="1" thickTop="1" x14ac:dyDescent="0.2">
      <c r="A9" s="4"/>
      <c r="B9" s="1401" t="s">
        <v>0</v>
      </c>
      <c r="C9" s="1398"/>
      <c r="D9" s="1401" t="s">
        <v>1</v>
      </c>
      <c r="E9" s="1398"/>
      <c r="F9" s="1401" t="s">
        <v>2</v>
      </c>
      <c r="G9" s="1398"/>
      <c r="H9" s="1401" t="s">
        <v>3</v>
      </c>
      <c r="I9" s="1398"/>
      <c r="J9" s="1401" t="s">
        <v>4</v>
      </c>
      <c r="K9" s="1398"/>
      <c r="L9" s="1401" t="s">
        <v>5</v>
      </c>
      <c r="M9" s="1398"/>
      <c r="N9" s="1401" t="s">
        <v>6</v>
      </c>
      <c r="O9" s="1398"/>
      <c r="P9" s="1401" t="s">
        <v>7</v>
      </c>
      <c r="Q9" s="1398"/>
      <c r="R9" s="1401" t="s">
        <v>8</v>
      </c>
      <c r="S9" s="1398"/>
      <c r="T9" s="1401" t="s">
        <v>301</v>
      </c>
      <c r="U9" s="1402"/>
      <c r="W9" s="1407" t="s">
        <v>9</v>
      </c>
      <c r="X9" s="1408"/>
    </row>
    <row r="10" spans="1:26" ht="30" customHeight="1" thickBot="1" x14ac:dyDescent="0.25">
      <c r="A10" s="70" t="s">
        <v>246</v>
      </c>
      <c r="B10" s="782" t="s">
        <v>262</v>
      </c>
      <c r="C10" s="783" t="s">
        <v>263</v>
      </c>
      <c r="D10" s="784" t="s">
        <v>262</v>
      </c>
      <c r="E10" s="783" t="s">
        <v>263</v>
      </c>
      <c r="F10" s="782" t="s">
        <v>262</v>
      </c>
      <c r="G10" s="783" t="s">
        <v>263</v>
      </c>
      <c r="H10" s="782" t="s">
        <v>262</v>
      </c>
      <c r="I10" s="783" t="s">
        <v>263</v>
      </c>
      <c r="J10" s="782" t="s">
        <v>262</v>
      </c>
      <c r="K10" s="783" t="s">
        <v>263</v>
      </c>
      <c r="L10" s="782" t="s">
        <v>262</v>
      </c>
      <c r="M10" s="783" t="s">
        <v>263</v>
      </c>
      <c r="N10" s="782" t="s">
        <v>262</v>
      </c>
      <c r="O10" s="783" t="s">
        <v>263</v>
      </c>
      <c r="P10" s="782" t="s">
        <v>262</v>
      </c>
      <c r="Q10" s="783" t="s">
        <v>263</v>
      </c>
      <c r="R10" s="782" t="s">
        <v>262</v>
      </c>
      <c r="S10" s="783" t="s">
        <v>263</v>
      </c>
      <c r="T10" s="782" t="s">
        <v>262</v>
      </c>
      <c r="U10" s="785" t="s">
        <v>263</v>
      </c>
      <c r="W10" s="1316" t="s">
        <v>262</v>
      </c>
      <c r="X10" s="1317" t="s">
        <v>263</v>
      </c>
    </row>
    <row r="11" spans="1:26" ht="25.5" customHeight="1" x14ac:dyDescent="0.2">
      <c r="A11" s="460" t="s">
        <v>87</v>
      </c>
      <c r="B11" s="13"/>
      <c r="C11" s="14"/>
      <c r="D11" s="11"/>
      <c r="E11" s="12"/>
      <c r="F11" s="13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2"/>
      <c r="R11" s="13"/>
      <c r="S11" s="12"/>
      <c r="T11" s="13"/>
      <c r="U11" s="15"/>
      <c r="V11" s="564"/>
      <c r="W11" s="779"/>
      <c r="X11" s="858"/>
    </row>
    <row r="12" spans="1:26" s="23" customFormat="1" ht="15" customHeight="1" x14ac:dyDescent="0.2">
      <c r="A12" s="18" t="s">
        <v>15</v>
      </c>
      <c r="B12" s="286">
        <f>128+107+3</f>
        <v>238</v>
      </c>
      <c r="C12" s="262"/>
      <c r="D12" s="286">
        <v>254</v>
      </c>
      <c r="E12" s="264"/>
      <c r="F12" s="1229">
        <v>278</v>
      </c>
      <c r="G12" s="1227"/>
      <c r="H12" s="1229">
        <v>221</v>
      </c>
      <c r="I12" s="1227"/>
      <c r="J12" s="1229">
        <f>139+118+8</f>
        <v>265</v>
      </c>
      <c r="K12" s="1227"/>
      <c r="L12" s="1229">
        <f>1+217+141</f>
        <v>359</v>
      </c>
      <c r="M12" s="1227"/>
      <c r="N12" s="1229">
        <v>354</v>
      </c>
      <c r="O12" s="1227"/>
      <c r="P12" s="1229">
        <f>188+145+23</f>
        <v>356</v>
      </c>
      <c r="Q12" s="1227"/>
      <c r="R12" s="1229">
        <f>185+163+5</f>
        <v>353</v>
      </c>
      <c r="S12" s="1227"/>
      <c r="T12" s="20">
        <v>316</v>
      </c>
      <c r="U12" s="151"/>
      <c r="V12" s="1169"/>
      <c r="W12" s="16">
        <f>AVERAGE(N12,L12,R12,T12,P12)</f>
        <v>347.6</v>
      </c>
      <c r="X12" s="859"/>
    </row>
    <row r="13" spans="1:26" s="23" customFormat="1" ht="15" customHeight="1" thickBot="1" x14ac:dyDescent="0.25">
      <c r="A13" s="27" t="s">
        <v>16</v>
      </c>
      <c r="B13" s="286">
        <f>96+148</f>
        <v>244</v>
      </c>
      <c r="C13" s="263"/>
      <c r="D13" s="286">
        <v>223</v>
      </c>
      <c r="E13" s="265"/>
      <c r="F13" s="1314">
        <v>218</v>
      </c>
      <c r="G13" s="1228"/>
      <c r="H13" s="1314">
        <v>263</v>
      </c>
      <c r="I13" s="1228"/>
      <c r="J13" s="1314">
        <f>111+154</f>
        <v>265</v>
      </c>
      <c r="K13" s="1228"/>
      <c r="L13" s="1314">
        <f>111+145</f>
        <v>256</v>
      </c>
      <c r="M13" s="1228"/>
      <c r="N13" s="1314">
        <f>123+134</f>
        <v>257</v>
      </c>
      <c r="O13" s="1228"/>
      <c r="P13" s="1314">
        <f>102+153</f>
        <v>255</v>
      </c>
      <c r="Q13" s="1228"/>
      <c r="R13" s="1314">
        <f>106+135</f>
        <v>241</v>
      </c>
      <c r="S13" s="1228"/>
      <c r="T13" s="29">
        <v>254</v>
      </c>
      <c r="U13" s="152"/>
      <c r="V13" s="1169"/>
      <c r="W13" s="16">
        <f t="shared" ref="W13:W17" si="0">AVERAGE(N13,L13,R13,T13,P13)</f>
        <v>252.6</v>
      </c>
      <c r="X13" s="860"/>
    </row>
    <row r="14" spans="1:26" s="73" customFormat="1" ht="15" customHeight="1" thickBot="1" x14ac:dyDescent="0.25">
      <c r="A14" s="98" t="s">
        <v>17</v>
      </c>
      <c r="B14" s="89">
        <f t="shared" ref="B14:R14" si="1">SUM(B12:B13)</f>
        <v>482</v>
      </c>
      <c r="C14" s="100">
        <v>89</v>
      </c>
      <c r="D14" s="89">
        <f t="shared" si="1"/>
        <v>477</v>
      </c>
      <c r="E14" s="100">
        <v>82</v>
      </c>
      <c r="F14" s="1232">
        <f t="shared" si="1"/>
        <v>496</v>
      </c>
      <c r="G14" s="1312">
        <v>74</v>
      </c>
      <c r="H14" s="1315">
        <f t="shared" si="1"/>
        <v>484</v>
      </c>
      <c r="I14" s="1312">
        <v>75</v>
      </c>
      <c r="J14" s="1315">
        <f t="shared" si="1"/>
        <v>530</v>
      </c>
      <c r="K14" s="1312">
        <v>93</v>
      </c>
      <c r="L14" s="1315">
        <f t="shared" si="1"/>
        <v>615</v>
      </c>
      <c r="M14" s="1312">
        <v>92</v>
      </c>
      <c r="N14" s="1315">
        <f t="shared" si="1"/>
        <v>611</v>
      </c>
      <c r="O14" s="1312">
        <v>74</v>
      </c>
      <c r="P14" s="1315">
        <f t="shared" si="1"/>
        <v>611</v>
      </c>
      <c r="Q14" s="1312">
        <v>95</v>
      </c>
      <c r="R14" s="1315">
        <f t="shared" si="1"/>
        <v>594</v>
      </c>
      <c r="S14" s="1312">
        <v>98</v>
      </c>
      <c r="T14" s="89">
        <v>585</v>
      </c>
      <c r="U14" s="1275">
        <f t="shared" ref="U14" si="2">SUM(U12:U13)</f>
        <v>0</v>
      </c>
      <c r="V14" s="1170"/>
      <c r="W14" s="482">
        <f t="shared" si="0"/>
        <v>603.20000000000005</v>
      </c>
      <c r="X14" s="857">
        <f>AVERAGE(O14,M14,K14,S14,Q14)</f>
        <v>90.4</v>
      </c>
    </row>
    <row r="15" spans="1:26" s="23" customFormat="1" ht="15" customHeight="1" x14ac:dyDescent="0.2">
      <c r="A15" s="28" t="s">
        <v>18</v>
      </c>
      <c r="B15" s="249">
        <v>25</v>
      </c>
      <c r="C15" s="250">
        <v>12</v>
      </c>
      <c r="D15" s="249">
        <v>32</v>
      </c>
      <c r="E15" s="251">
        <v>24</v>
      </c>
      <c r="F15" s="249">
        <v>29</v>
      </c>
      <c r="G15" s="716">
        <v>16</v>
      </c>
      <c r="H15" s="249">
        <v>37</v>
      </c>
      <c r="I15" s="716">
        <v>30</v>
      </c>
      <c r="J15" s="249">
        <v>38</v>
      </c>
      <c r="K15" s="716">
        <v>24</v>
      </c>
      <c r="L15" s="249">
        <v>35</v>
      </c>
      <c r="M15" s="716">
        <v>42</v>
      </c>
      <c r="N15" s="249">
        <v>45</v>
      </c>
      <c r="O15" s="716">
        <v>32</v>
      </c>
      <c r="P15" s="249">
        <v>47</v>
      </c>
      <c r="Q15" s="716">
        <v>35</v>
      </c>
      <c r="R15" s="249">
        <v>38</v>
      </c>
      <c r="S15" s="716">
        <v>34</v>
      </c>
      <c r="T15" s="20">
        <v>32</v>
      </c>
      <c r="U15" s="152"/>
      <c r="W15" s="16">
        <f t="shared" si="0"/>
        <v>39.4</v>
      </c>
      <c r="X15" s="565">
        <f t="shared" ref="X15:X17" si="3">AVERAGE(O15,M15,K15,S15,Q15)</f>
        <v>33.4</v>
      </c>
      <c r="Z15" s="23" t="s">
        <v>19</v>
      </c>
    </row>
    <row r="16" spans="1:26" s="23" customFormat="1" ht="15" customHeight="1" x14ac:dyDescent="0.2">
      <c r="A16" s="28" t="s">
        <v>20</v>
      </c>
      <c r="B16" s="249">
        <v>18</v>
      </c>
      <c r="C16" s="250">
        <v>8</v>
      </c>
      <c r="D16" s="249">
        <v>18</v>
      </c>
      <c r="E16" s="251">
        <v>5</v>
      </c>
      <c r="F16" s="249">
        <v>20</v>
      </c>
      <c r="G16" s="716">
        <v>9</v>
      </c>
      <c r="H16" s="249">
        <v>17</v>
      </c>
      <c r="I16" s="716">
        <v>6</v>
      </c>
      <c r="J16" s="249">
        <v>16</v>
      </c>
      <c r="K16" s="716">
        <v>7</v>
      </c>
      <c r="L16" s="249">
        <v>20</v>
      </c>
      <c r="M16" s="716">
        <v>6</v>
      </c>
      <c r="N16" s="249">
        <v>19</v>
      </c>
      <c r="O16" s="716">
        <v>6</v>
      </c>
      <c r="P16" s="249">
        <v>23</v>
      </c>
      <c r="Q16" s="716">
        <v>11</v>
      </c>
      <c r="R16" s="249">
        <v>22</v>
      </c>
      <c r="S16" s="716">
        <v>8</v>
      </c>
      <c r="T16" s="20">
        <v>23</v>
      </c>
      <c r="U16" s="152"/>
      <c r="W16" s="16">
        <f t="shared" si="0"/>
        <v>21.4</v>
      </c>
      <c r="X16" s="565">
        <f t="shared" si="3"/>
        <v>7.6</v>
      </c>
    </row>
    <row r="17" spans="1:24" s="23" customFormat="1" ht="15" customHeight="1" x14ac:dyDescent="0.2">
      <c r="A17" s="257" t="s">
        <v>86</v>
      </c>
      <c r="B17" s="249">
        <v>28</v>
      </c>
      <c r="C17" s="250">
        <v>4</v>
      </c>
      <c r="D17" s="249">
        <v>28</v>
      </c>
      <c r="E17" s="251">
        <v>9</v>
      </c>
      <c r="F17" s="249">
        <v>24</v>
      </c>
      <c r="G17" s="716">
        <v>4</v>
      </c>
      <c r="H17" s="249">
        <v>32</v>
      </c>
      <c r="I17" s="716">
        <v>5</v>
      </c>
      <c r="J17" s="249">
        <v>33</v>
      </c>
      <c r="K17" s="716">
        <v>2</v>
      </c>
      <c r="L17" s="249">
        <v>42</v>
      </c>
      <c r="M17" s="716">
        <v>5</v>
      </c>
      <c r="N17" s="249">
        <v>36</v>
      </c>
      <c r="O17" s="716">
        <v>7</v>
      </c>
      <c r="P17" s="249">
        <v>31</v>
      </c>
      <c r="Q17" s="716">
        <v>9</v>
      </c>
      <c r="R17" s="249">
        <v>36</v>
      </c>
      <c r="S17" s="716">
        <v>3</v>
      </c>
      <c r="T17" s="20">
        <v>41</v>
      </c>
      <c r="U17" s="151"/>
      <c r="W17" s="16">
        <f t="shared" si="0"/>
        <v>37.200000000000003</v>
      </c>
      <c r="X17" s="565">
        <f t="shared" si="3"/>
        <v>5.2</v>
      </c>
    </row>
    <row r="18" spans="1:24" ht="15" customHeight="1" x14ac:dyDescent="0.2">
      <c r="A18" s="268" t="s">
        <v>88</v>
      </c>
      <c r="B18" s="1034"/>
      <c r="C18" s="1171"/>
      <c r="D18" s="1049"/>
      <c r="E18" s="1172"/>
      <c r="F18" s="1049"/>
      <c r="G18" s="584"/>
      <c r="H18" s="1049"/>
      <c r="I18" s="584"/>
      <c r="J18" s="1049"/>
      <c r="K18" s="584"/>
      <c r="L18" s="1049"/>
      <c r="M18" s="584"/>
      <c r="N18" s="1049"/>
      <c r="O18" s="584"/>
      <c r="P18" s="1049"/>
      <c r="Q18" s="584"/>
      <c r="R18" s="1049"/>
      <c r="S18" s="584"/>
      <c r="T18" s="1034"/>
      <c r="U18" s="1294"/>
      <c r="W18" s="16"/>
      <c r="X18" s="856"/>
    </row>
    <row r="19" spans="1:24" s="23" customFormat="1" ht="15" customHeight="1" x14ac:dyDescent="0.2">
      <c r="A19" s="18" t="s">
        <v>15</v>
      </c>
      <c r="B19" s="286">
        <f>22+23</f>
        <v>45</v>
      </c>
      <c r="C19" s="262"/>
      <c r="D19" s="286">
        <v>27</v>
      </c>
      <c r="E19" s="264"/>
      <c r="F19" s="1314">
        <v>46</v>
      </c>
      <c r="G19" s="1227"/>
      <c r="H19" s="1314">
        <v>31</v>
      </c>
      <c r="I19" s="1227"/>
      <c r="J19" s="1314">
        <f>14+19+1</f>
        <v>34</v>
      </c>
      <c r="K19" s="1227"/>
      <c r="L19" s="1314">
        <f>30+17</f>
        <v>47</v>
      </c>
      <c r="M19" s="1227"/>
      <c r="N19" s="1314">
        <v>56</v>
      </c>
      <c r="O19" s="1227"/>
      <c r="P19" s="1314">
        <v>46</v>
      </c>
      <c r="Q19" s="1227"/>
      <c r="R19" s="1314">
        <f>18+19</f>
        <v>37</v>
      </c>
      <c r="S19" s="1227"/>
      <c r="T19" s="20">
        <v>40</v>
      </c>
      <c r="U19" s="151"/>
      <c r="W19" s="16">
        <f>AVERAGE(N19,L19,R19,T19,P19)</f>
        <v>45.2</v>
      </c>
      <c r="X19" s="859"/>
    </row>
    <row r="20" spans="1:24" s="23" customFormat="1" ht="15" customHeight="1" thickBot="1" x14ac:dyDescent="0.25">
      <c r="A20" s="27" t="s">
        <v>16</v>
      </c>
      <c r="B20" s="286">
        <f>33+51+1</f>
        <v>85</v>
      </c>
      <c r="C20" s="263"/>
      <c r="D20" s="286">
        <v>61</v>
      </c>
      <c r="E20" s="265"/>
      <c r="F20" s="1314">
        <v>48</v>
      </c>
      <c r="G20" s="1228"/>
      <c r="H20" s="1314">
        <v>44</v>
      </c>
      <c r="I20" s="1228"/>
      <c r="J20" s="1314">
        <f>27+29</f>
        <v>56</v>
      </c>
      <c r="K20" s="1228"/>
      <c r="L20" s="1314">
        <f>21+34</f>
        <v>55</v>
      </c>
      <c r="M20" s="1228"/>
      <c r="N20" s="1314">
        <v>51</v>
      </c>
      <c r="O20" s="1228"/>
      <c r="P20" s="1314">
        <v>57</v>
      </c>
      <c r="Q20" s="1228"/>
      <c r="R20" s="1314">
        <f>32+37</f>
        <v>69</v>
      </c>
      <c r="S20" s="1228"/>
      <c r="T20" s="29">
        <v>61</v>
      </c>
      <c r="U20" s="152"/>
      <c r="W20" s="16">
        <f>AVERAGE(N20,L20,R20,T20,P20)</f>
        <v>58.6</v>
      </c>
      <c r="X20" s="860"/>
    </row>
    <row r="21" spans="1:24" s="73" customFormat="1" ht="15" customHeight="1" thickBot="1" x14ac:dyDescent="0.25">
      <c r="A21" s="98" t="s">
        <v>17</v>
      </c>
      <c r="B21" s="89">
        <f t="shared" ref="B21:R21" si="4">SUM(B19:B20)</f>
        <v>130</v>
      </c>
      <c r="C21" s="100">
        <v>28</v>
      </c>
      <c r="D21" s="89">
        <f t="shared" si="4"/>
        <v>88</v>
      </c>
      <c r="E21" s="100">
        <v>28</v>
      </c>
      <c r="F21" s="1232">
        <f t="shared" si="4"/>
        <v>94</v>
      </c>
      <c r="G21" s="1312">
        <v>15</v>
      </c>
      <c r="H21" s="1232">
        <f t="shared" si="4"/>
        <v>75</v>
      </c>
      <c r="I21" s="1312">
        <v>13</v>
      </c>
      <c r="J21" s="1232">
        <f t="shared" si="4"/>
        <v>90</v>
      </c>
      <c r="K21" s="1312">
        <v>20</v>
      </c>
      <c r="L21" s="1232">
        <f t="shared" si="4"/>
        <v>102</v>
      </c>
      <c r="M21" s="1312">
        <v>21</v>
      </c>
      <c r="N21" s="1232">
        <f t="shared" si="4"/>
        <v>107</v>
      </c>
      <c r="O21" s="1312">
        <v>19</v>
      </c>
      <c r="P21" s="1232">
        <f t="shared" si="4"/>
        <v>103</v>
      </c>
      <c r="Q21" s="1312">
        <v>18</v>
      </c>
      <c r="R21" s="1232">
        <f t="shared" si="4"/>
        <v>106</v>
      </c>
      <c r="S21" s="1312">
        <v>23</v>
      </c>
      <c r="T21" s="89">
        <v>101</v>
      </c>
      <c r="U21" s="1275">
        <f t="shared" ref="U21" si="5">SUM(U19:U20)</f>
        <v>0</v>
      </c>
      <c r="W21" s="482">
        <f>AVERAGE(N21,L21,R21,T21,P21)</f>
        <v>103.8</v>
      </c>
      <c r="X21" s="857">
        <f>AVERAGE(O21,M21,K21,S21,Q21)</f>
        <v>20.2</v>
      </c>
    </row>
    <row r="22" spans="1:24" ht="15" customHeight="1" x14ac:dyDescent="0.2">
      <c r="A22" s="269" t="s">
        <v>89</v>
      </c>
      <c r="B22" s="13"/>
      <c r="C22" s="14"/>
      <c r="D22" s="11"/>
      <c r="E22" s="12"/>
      <c r="F22" s="11"/>
      <c r="G22" s="1313"/>
      <c r="H22" s="11"/>
      <c r="I22" s="1313"/>
      <c r="J22" s="11"/>
      <c r="K22" s="1313"/>
      <c r="L22" s="11"/>
      <c r="M22" s="1313"/>
      <c r="N22" s="11"/>
      <c r="O22" s="1313"/>
      <c r="P22" s="11"/>
      <c r="Q22" s="1313"/>
      <c r="R22" s="11"/>
      <c r="S22" s="1313"/>
      <c r="T22" s="13"/>
      <c r="U22" s="1318"/>
      <c r="W22" s="469"/>
      <c r="X22" s="565"/>
    </row>
    <row r="23" spans="1:24" s="23" customFormat="1" ht="15" customHeight="1" x14ac:dyDescent="0.2">
      <c r="A23" s="18" t="s">
        <v>15</v>
      </c>
      <c r="B23" s="285">
        <f>5+12</f>
        <v>17</v>
      </c>
      <c r="C23" s="262"/>
      <c r="D23" s="286">
        <v>16</v>
      </c>
      <c r="E23" s="264"/>
      <c r="F23" s="1314">
        <f>32+2</f>
        <v>34</v>
      </c>
      <c r="G23" s="1227"/>
      <c r="H23" s="1314">
        <v>28</v>
      </c>
      <c r="I23" s="1227"/>
      <c r="J23" s="1314">
        <f>12+9+1</f>
        <v>22</v>
      </c>
      <c r="K23" s="1227"/>
      <c r="L23" s="1314">
        <f>18+18</f>
        <v>36</v>
      </c>
      <c r="M23" s="1227"/>
      <c r="N23" s="1314">
        <v>49</v>
      </c>
      <c r="O23" s="1227"/>
      <c r="P23" s="1314">
        <v>51</v>
      </c>
      <c r="Q23" s="1227"/>
      <c r="R23" s="1314">
        <f>17+23</f>
        <v>40</v>
      </c>
      <c r="S23" s="1227"/>
      <c r="T23" s="20">
        <v>45</v>
      </c>
      <c r="U23" s="151"/>
      <c r="W23" s="16">
        <f>AVERAGE(N23,L23,R23,T23,P23)</f>
        <v>44.2</v>
      </c>
      <c r="X23" s="859"/>
    </row>
    <row r="24" spans="1:24" s="23" customFormat="1" ht="15" customHeight="1" thickBot="1" x14ac:dyDescent="0.25">
      <c r="A24" s="27" t="s">
        <v>16</v>
      </c>
      <c r="B24" s="285">
        <f>14+21</f>
        <v>35</v>
      </c>
      <c r="C24" s="263"/>
      <c r="D24" s="286">
        <v>40</v>
      </c>
      <c r="E24" s="265"/>
      <c r="F24" s="1230">
        <v>43</v>
      </c>
      <c r="G24" s="1228"/>
      <c r="H24" s="1230">
        <v>43</v>
      </c>
      <c r="I24" s="1228"/>
      <c r="J24" s="1230">
        <f>24+29</f>
        <v>53</v>
      </c>
      <c r="K24" s="1228"/>
      <c r="L24" s="1230">
        <f>18+30</f>
        <v>48</v>
      </c>
      <c r="M24" s="1228"/>
      <c r="N24" s="1230">
        <v>58</v>
      </c>
      <c r="O24" s="1228"/>
      <c r="P24" s="1230">
        <v>66</v>
      </c>
      <c r="Q24" s="1228"/>
      <c r="R24" s="1230">
        <f>28+40</f>
        <v>68</v>
      </c>
      <c r="S24" s="1228"/>
      <c r="T24" s="29">
        <v>66</v>
      </c>
      <c r="U24" s="152"/>
      <c r="W24" s="16">
        <f>AVERAGE(N24,L24,R24,T24,P24)</f>
        <v>61.2</v>
      </c>
      <c r="X24" s="860"/>
    </row>
    <row r="25" spans="1:24" s="73" customFormat="1" ht="15" customHeight="1" thickBot="1" x14ac:dyDescent="0.25">
      <c r="A25" s="98" t="s">
        <v>17</v>
      </c>
      <c r="B25" s="89">
        <f t="shared" ref="B25:R25" si="6">SUM(B23:B24)</f>
        <v>52</v>
      </c>
      <c r="C25" s="100">
        <v>14</v>
      </c>
      <c r="D25" s="89">
        <f t="shared" si="6"/>
        <v>56</v>
      </c>
      <c r="E25" s="100">
        <v>11</v>
      </c>
      <c r="F25" s="89">
        <f t="shared" si="6"/>
        <v>77</v>
      </c>
      <c r="G25" s="100">
        <v>15</v>
      </c>
      <c r="H25" s="89">
        <f t="shared" si="6"/>
        <v>71</v>
      </c>
      <c r="I25" s="100">
        <v>13</v>
      </c>
      <c r="J25" s="89">
        <f t="shared" si="6"/>
        <v>75</v>
      </c>
      <c r="K25" s="100">
        <v>19</v>
      </c>
      <c r="L25" s="89">
        <f t="shared" si="6"/>
        <v>84</v>
      </c>
      <c r="M25" s="100">
        <v>20</v>
      </c>
      <c r="N25" s="89">
        <f t="shared" si="6"/>
        <v>107</v>
      </c>
      <c r="O25" s="100">
        <v>15</v>
      </c>
      <c r="P25" s="89">
        <f t="shared" si="6"/>
        <v>117</v>
      </c>
      <c r="Q25" s="100">
        <v>19</v>
      </c>
      <c r="R25" s="89">
        <f t="shared" si="6"/>
        <v>108</v>
      </c>
      <c r="S25" s="100">
        <v>26</v>
      </c>
      <c r="T25" s="89">
        <v>111</v>
      </c>
      <c r="U25" s="1275">
        <f t="shared" ref="U25" si="7">SUM(U23:U24)</f>
        <v>0</v>
      </c>
      <c r="W25" s="482">
        <f>AVERAGE(N25,L25,R25,T25,P25)</f>
        <v>105.4</v>
      </c>
      <c r="X25" s="857">
        <f t="shared" ref="X25:X26" si="8">AVERAGE(O25,M25,K25,S25,Q25)</f>
        <v>19.8</v>
      </c>
    </row>
    <row r="26" spans="1:24" s="23" customFormat="1" ht="15" customHeight="1" thickBot="1" x14ac:dyDescent="0.25">
      <c r="A26" s="488" t="s">
        <v>90</v>
      </c>
      <c r="B26" s="253">
        <v>7</v>
      </c>
      <c r="C26" s="254">
        <v>0</v>
      </c>
      <c r="D26" s="253">
        <v>9</v>
      </c>
      <c r="E26" s="255">
        <v>0</v>
      </c>
      <c r="F26" s="256">
        <v>8</v>
      </c>
      <c r="G26" s="255">
        <v>4</v>
      </c>
      <c r="H26" s="256">
        <v>7</v>
      </c>
      <c r="I26" s="255">
        <v>1</v>
      </c>
      <c r="J26" s="256">
        <v>9</v>
      </c>
      <c r="K26" s="255">
        <v>0</v>
      </c>
      <c r="L26" s="256">
        <v>9</v>
      </c>
      <c r="M26" s="255">
        <v>1</v>
      </c>
      <c r="N26" s="256">
        <v>7</v>
      </c>
      <c r="O26" s="255">
        <v>3</v>
      </c>
      <c r="P26" s="256">
        <v>5</v>
      </c>
      <c r="Q26" s="255">
        <v>0</v>
      </c>
      <c r="R26" s="256">
        <v>4</v>
      </c>
      <c r="S26" s="255">
        <v>1</v>
      </c>
      <c r="T26" s="143">
        <v>4</v>
      </c>
      <c r="U26" s="1319"/>
      <c r="W26" s="16">
        <f>AVERAGE(N26,L26,R26,T26,P26)</f>
        <v>5.8</v>
      </c>
      <c r="X26" s="565">
        <f t="shared" si="8"/>
        <v>1</v>
      </c>
    </row>
    <row r="27" spans="1:24" ht="18.75" customHeight="1" thickTop="1" thickBot="1" x14ac:dyDescent="0.25">
      <c r="A27" s="72" t="s">
        <v>71</v>
      </c>
      <c r="B27" s="1375"/>
      <c r="C27" s="1376"/>
      <c r="D27" s="1375"/>
      <c r="E27" s="1376"/>
      <c r="F27" s="1375"/>
      <c r="G27" s="1376"/>
      <c r="H27" s="1375"/>
      <c r="I27" s="1376"/>
      <c r="J27" s="1375"/>
      <c r="K27" s="1376"/>
      <c r="L27" s="1375"/>
      <c r="M27" s="1376"/>
      <c r="N27" s="1375"/>
      <c r="O27" s="1376"/>
      <c r="P27" s="1375"/>
      <c r="Q27" s="1376"/>
      <c r="R27" s="1375"/>
      <c r="S27" s="1376"/>
      <c r="T27" s="1375"/>
      <c r="U27" s="1384"/>
      <c r="W27" s="1378"/>
      <c r="X27" s="1379"/>
    </row>
    <row r="28" spans="1:24" ht="15" customHeight="1" x14ac:dyDescent="0.2">
      <c r="A28" s="1157" t="s">
        <v>266</v>
      </c>
      <c r="B28" s="468"/>
      <c r="C28" s="137"/>
      <c r="D28" s="468"/>
      <c r="E28" s="137"/>
      <c r="F28" s="468"/>
      <c r="G28" s="137"/>
      <c r="H28" s="468"/>
      <c r="I28" s="137"/>
      <c r="J28" s="468"/>
      <c r="K28" s="137"/>
      <c r="L28" s="468"/>
      <c r="M28" s="137"/>
      <c r="N28" s="468"/>
      <c r="O28" s="137"/>
      <c r="P28" s="468"/>
      <c r="Q28" s="137"/>
      <c r="R28" s="468"/>
      <c r="S28" s="137"/>
      <c r="T28" s="468"/>
      <c r="U28" s="138"/>
      <c r="W28" s="6"/>
      <c r="X28" s="852" t="e">
        <f>AVERAGE(O28,M28,I28,K28,Q28)</f>
        <v>#DIV/0!</v>
      </c>
    </row>
    <row r="29" spans="1:24" ht="15" customHeight="1" x14ac:dyDescent="0.2">
      <c r="A29" s="721" t="s">
        <v>94</v>
      </c>
      <c r="B29" s="244"/>
      <c r="C29" s="135">
        <v>0.31</v>
      </c>
      <c r="D29" s="244"/>
      <c r="E29" s="135">
        <v>0.33</v>
      </c>
      <c r="F29" s="244"/>
      <c r="G29" s="135">
        <v>0.32</v>
      </c>
      <c r="H29" s="244"/>
      <c r="I29" s="135">
        <v>0.36</v>
      </c>
      <c r="J29" s="244"/>
      <c r="K29" s="135">
        <v>0.39</v>
      </c>
      <c r="L29" s="244"/>
      <c r="M29" s="135">
        <v>0.43</v>
      </c>
      <c r="N29" s="244"/>
      <c r="O29" s="135">
        <v>0.33</v>
      </c>
      <c r="P29" s="244"/>
      <c r="Q29" s="135">
        <v>0.39</v>
      </c>
      <c r="R29" s="244"/>
      <c r="S29" s="135"/>
      <c r="T29" s="244"/>
      <c r="U29" s="776"/>
      <c r="W29" s="903"/>
      <c r="X29" s="1255">
        <f>AVERAGE(O29,M29,S29,K29,Q29)</f>
        <v>0.38500000000000001</v>
      </c>
    </row>
    <row r="30" spans="1:24" ht="25.5" customHeight="1" x14ac:dyDescent="0.2">
      <c r="A30" s="722" t="s">
        <v>95</v>
      </c>
      <c r="B30" s="244"/>
      <c r="C30" s="135">
        <v>0.65</v>
      </c>
      <c r="D30" s="244"/>
      <c r="E30" s="135">
        <v>0.88</v>
      </c>
      <c r="F30" s="244"/>
      <c r="G30" s="135">
        <v>0.82</v>
      </c>
      <c r="H30" s="244"/>
      <c r="I30" s="135">
        <v>0.9</v>
      </c>
      <c r="J30" s="244"/>
      <c r="K30" s="135">
        <v>0.67</v>
      </c>
      <c r="L30" s="244"/>
      <c r="M30" s="135">
        <v>0.57999999999999996</v>
      </c>
      <c r="N30" s="244"/>
      <c r="O30" s="135">
        <v>0.62</v>
      </c>
      <c r="P30" s="244"/>
      <c r="Q30" s="135">
        <v>0.67</v>
      </c>
      <c r="R30" s="244"/>
      <c r="S30" s="135"/>
      <c r="T30" s="244"/>
      <c r="U30" s="776"/>
      <c r="W30" s="903"/>
      <c r="X30" s="1255">
        <f t="shared" ref="X30:X34" si="9">AVERAGE(O30,M30,S30,K30,Q30)</f>
        <v>0.63500000000000001</v>
      </c>
    </row>
    <row r="31" spans="1:24" ht="25.5" customHeight="1" x14ac:dyDescent="0.2">
      <c r="A31" s="722" t="s">
        <v>96</v>
      </c>
      <c r="B31" s="244"/>
      <c r="C31" s="135">
        <v>0.45</v>
      </c>
      <c r="D31" s="244"/>
      <c r="E31" s="135">
        <v>0.5</v>
      </c>
      <c r="F31" s="244"/>
      <c r="G31" s="135">
        <v>0.36</v>
      </c>
      <c r="H31" s="244"/>
      <c r="I31" s="135">
        <v>0.27</v>
      </c>
      <c r="J31" s="244"/>
      <c r="K31" s="135">
        <v>0.33</v>
      </c>
      <c r="L31" s="244"/>
      <c r="M31" s="135">
        <v>0.5</v>
      </c>
      <c r="N31" s="244"/>
      <c r="O31" s="135">
        <v>0.27</v>
      </c>
      <c r="P31" s="244"/>
      <c r="Q31" s="135">
        <v>0.47</v>
      </c>
      <c r="R31" s="244"/>
      <c r="S31" s="135"/>
      <c r="T31" s="244"/>
      <c r="U31" s="776"/>
      <c r="W31" s="903"/>
      <c r="X31" s="1255">
        <f t="shared" si="9"/>
        <v>0.39250000000000002</v>
      </c>
    </row>
    <row r="32" spans="1:24" ht="25.5" customHeight="1" x14ac:dyDescent="0.2">
      <c r="A32" s="721" t="s">
        <v>97</v>
      </c>
      <c r="B32" s="245"/>
      <c r="C32" s="136">
        <v>0.59</v>
      </c>
      <c r="D32" s="245"/>
      <c r="E32" s="136">
        <v>0.5</v>
      </c>
      <c r="F32" s="245"/>
      <c r="G32" s="136">
        <v>0.63</v>
      </c>
      <c r="H32" s="245"/>
      <c r="I32" s="136">
        <v>0.53</v>
      </c>
      <c r="J32" s="245"/>
      <c r="K32" s="136">
        <v>0.53</v>
      </c>
      <c r="L32" s="245"/>
      <c r="M32" s="136">
        <v>0.49</v>
      </c>
      <c r="N32" s="245"/>
      <c r="O32" s="136">
        <v>0.6</v>
      </c>
      <c r="P32" s="245"/>
      <c r="Q32" s="136">
        <v>0.51</v>
      </c>
      <c r="R32" s="245"/>
      <c r="S32" s="136"/>
      <c r="T32" s="245"/>
      <c r="U32" s="777"/>
      <c r="W32" s="841"/>
      <c r="X32" s="1255">
        <f t="shared" si="9"/>
        <v>0.53249999999999997</v>
      </c>
    </row>
    <row r="33" spans="1:27" ht="25.5" customHeight="1" x14ac:dyDescent="0.2">
      <c r="A33" s="721" t="s">
        <v>98</v>
      </c>
      <c r="B33" s="245"/>
      <c r="C33" s="136">
        <v>0.2</v>
      </c>
      <c r="D33" s="245"/>
      <c r="E33" s="136">
        <v>0.06</v>
      </c>
      <c r="F33" s="245"/>
      <c r="G33" s="136">
        <v>0</v>
      </c>
      <c r="H33" s="245"/>
      <c r="I33" s="136">
        <v>0.1</v>
      </c>
      <c r="J33" s="245"/>
      <c r="K33" s="136">
        <v>0.13</v>
      </c>
      <c r="L33" s="245"/>
      <c r="M33" s="136">
        <v>0.32</v>
      </c>
      <c r="N33" s="245"/>
      <c r="O33" s="136">
        <v>0.23</v>
      </c>
      <c r="P33" s="245"/>
      <c r="Q33" s="136">
        <v>0.2</v>
      </c>
      <c r="R33" s="245"/>
      <c r="S33" s="136"/>
      <c r="T33" s="245"/>
      <c r="U33" s="777"/>
      <c r="W33" s="841"/>
      <c r="X33" s="1255">
        <f t="shared" si="9"/>
        <v>0.22000000000000003</v>
      </c>
    </row>
    <row r="34" spans="1:27" ht="25.5" customHeight="1" x14ac:dyDescent="0.2">
      <c r="A34" s="721" t="s">
        <v>298</v>
      </c>
      <c r="B34" s="245"/>
      <c r="C34" s="136">
        <v>0.36</v>
      </c>
      <c r="D34" s="245"/>
      <c r="E34" s="136">
        <v>0.33</v>
      </c>
      <c r="F34" s="245"/>
      <c r="G34" s="136">
        <v>0.55000000000000004</v>
      </c>
      <c r="H34" s="245"/>
      <c r="I34" s="136">
        <v>0.64</v>
      </c>
      <c r="J34" s="245"/>
      <c r="K34" s="136">
        <v>0.61</v>
      </c>
      <c r="L34" s="245"/>
      <c r="M34" s="136">
        <v>0.44</v>
      </c>
      <c r="N34" s="245"/>
      <c r="O34" s="136">
        <v>0.73</v>
      </c>
      <c r="P34" s="245"/>
      <c r="Q34" s="136">
        <v>0.47</v>
      </c>
      <c r="R34" s="245"/>
      <c r="S34" s="136"/>
      <c r="T34" s="245"/>
      <c r="U34" s="777"/>
      <c r="W34" s="841"/>
      <c r="X34" s="1255">
        <f t="shared" si="9"/>
        <v>0.5625</v>
      </c>
    </row>
    <row r="35" spans="1:27" ht="15" customHeight="1" thickBot="1" x14ac:dyDescent="0.25">
      <c r="A35" s="1158" t="s">
        <v>75</v>
      </c>
      <c r="B35" s="76"/>
      <c r="C35" s="77"/>
      <c r="D35" s="76"/>
      <c r="E35" s="77"/>
      <c r="F35" s="76"/>
      <c r="G35" s="77"/>
      <c r="H35" s="76"/>
      <c r="I35" s="77"/>
      <c r="J35" s="76"/>
      <c r="K35" s="77"/>
      <c r="L35" s="76"/>
      <c r="M35" s="77"/>
      <c r="N35" s="76"/>
      <c r="O35" s="77"/>
      <c r="P35" s="76"/>
      <c r="Q35" s="77"/>
      <c r="R35" s="76"/>
      <c r="S35" s="77"/>
      <c r="T35" s="76"/>
      <c r="U35" s="1173"/>
      <c r="W35" s="904"/>
      <c r="X35" s="543" t="e">
        <f>AVERAGE(O35,M35,S35,U35,Q35)</f>
        <v>#DIV/0!</v>
      </c>
    </row>
    <row r="36" spans="1:27" ht="18.75" customHeight="1" thickTop="1" thickBot="1" x14ac:dyDescent="0.25">
      <c r="A36" s="221" t="s">
        <v>78</v>
      </c>
      <c r="B36" s="1380"/>
      <c r="C36" s="1381"/>
      <c r="D36" s="1380"/>
      <c r="E36" s="1381"/>
      <c r="F36" s="1380"/>
      <c r="G36" s="1381"/>
      <c r="H36" s="1380"/>
      <c r="I36" s="1381"/>
      <c r="J36" s="1380"/>
      <c r="K36" s="1381"/>
      <c r="L36" s="1380"/>
      <c r="M36" s="1381"/>
      <c r="N36" s="1380"/>
      <c r="O36" s="1381"/>
      <c r="P36" s="1380"/>
      <c r="Q36" s="1381"/>
      <c r="R36" s="1380"/>
      <c r="S36" s="1381"/>
      <c r="T36" s="1380"/>
      <c r="U36" s="1383"/>
      <c r="V36" s="226"/>
      <c r="W36" s="1382"/>
      <c r="X36" s="1383"/>
    </row>
    <row r="37" spans="1:27" ht="25.5" customHeight="1" x14ac:dyDescent="0.2">
      <c r="A37" s="1159" t="s">
        <v>91</v>
      </c>
      <c r="B37" s="616"/>
      <c r="C37" s="771">
        <v>26</v>
      </c>
      <c r="D37" s="1168"/>
      <c r="E37" s="771">
        <v>26.1</v>
      </c>
      <c r="F37" s="1168"/>
      <c r="G37" s="771">
        <v>26.4</v>
      </c>
      <c r="H37" s="1168"/>
      <c r="I37" s="771">
        <v>26.4</v>
      </c>
      <c r="J37" s="1168"/>
      <c r="K37" s="771">
        <v>26.9</v>
      </c>
      <c r="L37" s="1168"/>
      <c r="M37" s="771">
        <v>26.9</v>
      </c>
      <c r="N37" s="1168"/>
      <c r="O37" s="771">
        <v>26.9</v>
      </c>
      <c r="P37" s="1168"/>
      <c r="Q37" s="771">
        <v>26.9</v>
      </c>
      <c r="R37" s="1168"/>
      <c r="S37" s="771">
        <v>26.8</v>
      </c>
      <c r="T37" s="1168"/>
      <c r="U37" s="1155"/>
      <c r="V37" s="226"/>
      <c r="W37" s="1154"/>
      <c r="X37" s="1256">
        <f>AVERAGE(O37,M37,U37,Q37,S37)</f>
        <v>26.874999999999996</v>
      </c>
    </row>
    <row r="38" spans="1:27" ht="25.5" customHeight="1" x14ac:dyDescent="0.2">
      <c r="A38" s="1160" t="s">
        <v>92</v>
      </c>
      <c r="B38" s="201"/>
      <c r="C38" s="508">
        <v>24.3</v>
      </c>
      <c r="D38" s="201"/>
      <c r="E38" s="508">
        <v>23.9</v>
      </c>
      <c r="F38" s="201"/>
      <c r="G38" s="508">
        <v>24.9</v>
      </c>
      <c r="H38" s="201"/>
      <c r="I38" s="508">
        <v>24.4</v>
      </c>
      <c r="J38" s="201"/>
      <c r="K38" s="508">
        <v>24.2</v>
      </c>
      <c r="L38" s="201"/>
      <c r="M38" s="508">
        <v>24.6</v>
      </c>
      <c r="N38" s="201"/>
      <c r="O38" s="508">
        <v>24.9</v>
      </c>
      <c r="P38" s="201"/>
      <c r="Q38" s="508">
        <v>25.9</v>
      </c>
      <c r="R38" s="201"/>
      <c r="S38" s="508">
        <v>25.2</v>
      </c>
      <c r="T38" s="201"/>
      <c r="U38" s="617"/>
      <c r="V38" s="226"/>
      <c r="W38" s="1156"/>
      <c r="X38" s="766">
        <f>AVERAGE(O38,M38,U38,Q38,S38)</f>
        <v>25.150000000000002</v>
      </c>
    </row>
    <row r="39" spans="1:27" ht="15" customHeight="1" thickBot="1" x14ac:dyDescent="0.25">
      <c r="A39" s="1161" t="s">
        <v>93</v>
      </c>
      <c r="B39" s="308"/>
      <c r="C39" s="309">
        <v>25.5</v>
      </c>
      <c r="D39" s="308"/>
      <c r="E39" s="309">
        <v>27.5</v>
      </c>
      <c r="F39" s="308"/>
      <c r="G39" s="309">
        <v>26.6</v>
      </c>
      <c r="H39" s="308"/>
      <c r="I39" s="309">
        <v>27.5</v>
      </c>
      <c r="J39" s="308"/>
      <c r="K39" s="309">
        <v>28.4</v>
      </c>
      <c r="L39" s="308"/>
      <c r="M39" s="309">
        <v>27.9</v>
      </c>
      <c r="N39" s="308"/>
      <c r="O39" s="309">
        <v>27</v>
      </c>
      <c r="P39" s="308"/>
      <c r="Q39" s="309">
        <v>27.7</v>
      </c>
      <c r="R39" s="308"/>
      <c r="S39" s="309">
        <v>28.6</v>
      </c>
      <c r="T39" s="308"/>
      <c r="U39" s="310"/>
      <c r="V39" s="226"/>
      <c r="W39" s="515"/>
      <c r="X39" s="1257">
        <f>AVERAGE(O39,M39,U39,Q39,S39)</f>
        <v>27.799999999999997</v>
      </c>
    </row>
    <row r="40" spans="1:27" ht="18.75" customHeight="1" thickTop="1" thickBot="1" x14ac:dyDescent="0.25">
      <c r="A40" s="82" t="s">
        <v>22</v>
      </c>
      <c r="B40" s="1375"/>
      <c r="C40" s="1376"/>
      <c r="D40" s="1375"/>
      <c r="E40" s="1376"/>
      <c r="F40" s="1375"/>
      <c r="G40" s="1376"/>
      <c r="H40" s="1375"/>
      <c r="I40" s="1376"/>
      <c r="J40" s="1375"/>
      <c r="K40" s="1376"/>
      <c r="L40" s="1375"/>
      <c r="M40" s="1376"/>
      <c r="N40" s="1375"/>
      <c r="O40" s="1376"/>
      <c r="P40" s="1375"/>
      <c r="Q40" s="1376"/>
      <c r="R40" s="1375"/>
      <c r="S40" s="1376"/>
      <c r="T40" s="1375"/>
      <c r="U40" s="1384"/>
      <c r="W40" s="1378"/>
      <c r="X40" s="1379"/>
    </row>
    <row r="41" spans="1:27" ht="15" customHeight="1" x14ac:dyDescent="0.2">
      <c r="A41" s="744" t="s">
        <v>24</v>
      </c>
      <c r="B41" s="46"/>
      <c r="C41" s="48">
        <v>7131</v>
      </c>
      <c r="D41" s="45"/>
      <c r="E41" s="47">
        <v>7213</v>
      </c>
      <c r="F41" s="46"/>
      <c r="G41" s="47">
        <v>7564</v>
      </c>
      <c r="H41" s="46"/>
      <c r="I41" s="47">
        <v>7651</v>
      </c>
      <c r="J41" s="46"/>
      <c r="K41" s="47">
        <v>7446</v>
      </c>
      <c r="L41" s="46"/>
      <c r="M41" s="47">
        <v>7980</v>
      </c>
      <c r="N41" s="46"/>
      <c r="O41" s="47">
        <v>7616</v>
      </c>
      <c r="P41" s="46"/>
      <c r="Q41" s="47">
        <v>7279</v>
      </c>
      <c r="R41" s="46"/>
      <c r="S41" s="47">
        <v>7058</v>
      </c>
      <c r="T41" s="46"/>
      <c r="U41" s="1273"/>
      <c r="W41" s="50"/>
      <c r="X41" s="51">
        <f>AVERAGE(O41,M41,S41,K41,Q41)</f>
        <v>7475.8</v>
      </c>
    </row>
    <row r="42" spans="1:27" ht="15" customHeight="1" x14ac:dyDescent="0.2">
      <c r="A42" s="744" t="s">
        <v>25</v>
      </c>
      <c r="B42" s="46"/>
      <c r="C42" s="48">
        <v>9583</v>
      </c>
      <c r="D42" s="45"/>
      <c r="E42" s="47">
        <v>8658</v>
      </c>
      <c r="F42" s="46"/>
      <c r="G42" s="47">
        <v>9281</v>
      </c>
      <c r="H42" s="46"/>
      <c r="I42" s="47">
        <v>9736</v>
      </c>
      <c r="J42" s="46"/>
      <c r="K42" s="47">
        <v>10040</v>
      </c>
      <c r="L42" s="46"/>
      <c r="M42" s="47">
        <v>10458</v>
      </c>
      <c r="N42" s="46"/>
      <c r="O42" s="47">
        <v>10521</v>
      </c>
      <c r="P42" s="46"/>
      <c r="Q42" s="47">
        <v>10585</v>
      </c>
      <c r="R42" s="46"/>
      <c r="S42" s="47">
        <v>10428</v>
      </c>
      <c r="T42" s="46"/>
      <c r="U42" s="1273"/>
      <c r="W42" s="52"/>
      <c r="X42" s="51">
        <f t="shared" ref="X42:X45" si="10">AVERAGE(O42,M42,S42,K42,Q42)</f>
        <v>10406.4</v>
      </c>
    </row>
    <row r="43" spans="1:27" ht="15" customHeight="1" x14ac:dyDescent="0.2">
      <c r="A43" s="744" t="s">
        <v>26</v>
      </c>
      <c r="B43" s="46"/>
      <c r="C43" s="48">
        <v>648</v>
      </c>
      <c r="D43" s="45"/>
      <c r="E43" s="47">
        <v>495</v>
      </c>
      <c r="F43" s="46"/>
      <c r="G43" s="47">
        <v>606</v>
      </c>
      <c r="H43" s="46"/>
      <c r="I43" s="47">
        <v>576</v>
      </c>
      <c r="J43" s="46"/>
      <c r="K43" s="47">
        <v>719</v>
      </c>
      <c r="L43" s="46"/>
      <c r="M43" s="47">
        <v>628</v>
      </c>
      <c r="N43" s="46"/>
      <c r="O43" s="47">
        <v>670</v>
      </c>
      <c r="P43" s="46"/>
      <c r="Q43" s="47">
        <v>687</v>
      </c>
      <c r="R43" s="46"/>
      <c r="S43" s="47">
        <v>678</v>
      </c>
      <c r="T43" s="46"/>
      <c r="U43" s="1273"/>
      <c r="W43" s="52"/>
      <c r="X43" s="51">
        <f t="shared" si="10"/>
        <v>676.4</v>
      </c>
    </row>
    <row r="44" spans="1:27" ht="15" customHeight="1" thickBot="1" x14ac:dyDescent="0.25">
      <c r="A44" s="744" t="s">
        <v>27</v>
      </c>
      <c r="B44" s="92"/>
      <c r="C44" s="54">
        <v>444</v>
      </c>
      <c r="D44" s="45"/>
      <c r="E44" s="53">
        <v>392</v>
      </c>
      <c r="F44" s="46"/>
      <c r="G44" s="53">
        <v>351</v>
      </c>
      <c r="H44" s="46"/>
      <c r="I44" s="53">
        <v>411</v>
      </c>
      <c r="J44" s="46"/>
      <c r="K44" s="53">
        <v>523</v>
      </c>
      <c r="L44" s="46"/>
      <c r="M44" s="53">
        <v>539</v>
      </c>
      <c r="N44" s="46" t="s">
        <v>19</v>
      </c>
      <c r="O44" s="53">
        <v>492</v>
      </c>
      <c r="P44" s="46" t="s">
        <v>19</v>
      </c>
      <c r="Q44" s="53">
        <v>397</v>
      </c>
      <c r="R44" s="46"/>
      <c r="S44" s="53">
        <v>385</v>
      </c>
      <c r="T44" s="92"/>
      <c r="U44" s="1274"/>
      <c r="W44" s="63"/>
      <c r="X44" s="484">
        <f t="shared" si="10"/>
        <v>467.2</v>
      </c>
    </row>
    <row r="45" spans="1:27" ht="15" customHeight="1" thickBot="1" x14ac:dyDescent="0.25">
      <c r="A45" s="55" t="s">
        <v>28</v>
      </c>
      <c r="B45" s="95"/>
      <c r="C45" s="96">
        <f>SUM(C41:C44)</f>
        <v>17806</v>
      </c>
      <c r="D45" s="94"/>
      <c r="E45" s="93">
        <f>SUM(E41:E44)</f>
        <v>16758</v>
      </c>
      <c r="F45" s="95"/>
      <c r="G45" s="93">
        <f>SUM(G41:G44)</f>
        <v>17802</v>
      </c>
      <c r="H45" s="95"/>
      <c r="I45" s="93">
        <f>SUM(I41:I44)</f>
        <v>18374</v>
      </c>
      <c r="J45" s="95"/>
      <c r="K45" s="93">
        <f>SUM(K41:K44)</f>
        <v>18728</v>
      </c>
      <c r="L45" s="95"/>
      <c r="M45" s="93">
        <f>SUM(M41:M44)</f>
        <v>19605</v>
      </c>
      <c r="N45" s="95"/>
      <c r="O45" s="93">
        <f>SUM(O41:O44)</f>
        <v>19299</v>
      </c>
      <c r="P45" s="95"/>
      <c r="Q45" s="93">
        <f>SUM(Q41:Q44)</f>
        <v>18948</v>
      </c>
      <c r="R45" s="95"/>
      <c r="S45" s="93">
        <f>SUM(S41:S44)</f>
        <v>18549</v>
      </c>
      <c r="T45" s="95"/>
      <c r="U45" s="1277">
        <f>SUM(U41:U44)</f>
        <v>0</v>
      </c>
      <c r="W45" s="485"/>
      <c r="X45" s="486">
        <f t="shared" si="10"/>
        <v>19025.8</v>
      </c>
    </row>
    <row r="46" spans="1:27" ht="15" customHeight="1" thickTop="1" thickBot="1" x14ac:dyDescent="0.25">
      <c r="A46" s="1148"/>
      <c r="B46" s="79"/>
      <c r="C46" s="1183"/>
      <c r="D46" s="79"/>
      <c r="E46" s="56"/>
      <c r="F46" s="79"/>
      <c r="G46" s="56"/>
      <c r="H46" s="79"/>
      <c r="I46" s="56"/>
      <c r="J46" s="79"/>
      <c r="K46" s="56"/>
      <c r="L46" s="79"/>
      <c r="M46" s="56"/>
      <c r="N46" s="79"/>
      <c r="O46" s="56"/>
      <c r="P46" s="79"/>
      <c r="Q46" s="56"/>
      <c r="R46" s="79"/>
      <c r="S46" s="56"/>
      <c r="T46" s="79"/>
      <c r="U46" s="56"/>
      <c r="W46" s="670"/>
      <c r="X46" s="674"/>
    </row>
    <row r="47" spans="1:27" ht="15" customHeight="1" thickTop="1" thickBot="1" x14ac:dyDescent="0.25">
      <c r="A47" s="57"/>
      <c r="B47" s="79"/>
      <c r="C47" s="80"/>
      <c r="D47" s="79"/>
      <c r="E47" s="1183"/>
      <c r="F47" s="79"/>
      <c r="G47" s="1183"/>
      <c r="H47" s="79"/>
      <c r="I47" s="1183"/>
      <c r="J47" s="79"/>
      <c r="K47" s="1183"/>
      <c r="L47" s="79"/>
      <c r="M47" s="1183"/>
      <c r="N47" s="79"/>
      <c r="O47" s="1183"/>
      <c r="P47" s="79"/>
      <c r="Q47" s="1183"/>
      <c r="R47" s="79"/>
      <c r="S47" s="1183"/>
      <c r="T47" s="79"/>
      <c r="U47" s="1183"/>
      <c r="V47" s="85"/>
      <c r="W47" s="1184"/>
      <c r="X47" s="1185"/>
    </row>
    <row r="48" spans="1:27" ht="18.75" customHeight="1" thickTop="1" thickBot="1" x14ac:dyDescent="0.25">
      <c r="A48" s="175" t="s">
        <v>29</v>
      </c>
      <c r="B48" s="1385" t="s">
        <v>30</v>
      </c>
      <c r="C48" s="1395"/>
      <c r="D48" s="1385" t="s">
        <v>31</v>
      </c>
      <c r="E48" s="1396"/>
      <c r="F48" s="1385" t="s">
        <v>32</v>
      </c>
      <c r="G48" s="1396"/>
      <c r="H48" s="1385" t="s">
        <v>33</v>
      </c>
      <c r="I48" s="1396"/>
      <c r="J48" s="1385" t="s">
        <v>34</v>
      </c>
      <c r="K48" s="1396"/>
      <c r="L48" s="1385" t="s">
        <v>35</v>
      </c>
      <c r="M48" s="1396"/>
      <c r="N48" s="1385" t="s">
        <v>36</v>
      </c>
      <c r="O48" s="1396"/>
      <c r="P48" s="1385" t="s">
        <v>37</v>
      </c>
      <c r="Q48" s="1396"/>
      <c r="R48" s="1385" t="s">
        <v>38</v>
      </c>
      <c r="S48" s="1396"/>
      <c r="T48" s="1385" t="s">
        <v>302</v>
      </c>
      <c r="U48" s="1386"/>
      <c r="V48" s="869"/>
      <c r="W48" s="1382" t="s">
        <v>9</v>
      </c>
      <c r="X48" s="1383"/>
      <c r="Y48" s="56"/>
      <c r="Z48" s="56"/>
      <c r="AA48" s="57"/>
    </row>
    <row r="49" spans="1:27" ht="15" customHeight="1" x14ac:dyDescent="0.2">
      <c r="A49" s="873" t="s">
        <v>267</v>
      </c>
      <c r="B49" s="177"/>
      <c r="C49" s="154">
        <v>0.318</v>
      </c>
      <c r="D49" s="179"/>
      <c r="E49" s="129">
        <v>0.28699999999999998</v>
      </c>
      <c r="F49" s="181"/>
      <c r="G49" s="129">
        <v>0.33500000000000002</v>
      </c>
      <c r="H49" s="181"/>
      <c r="I49" s="129">
        <v>0.311</v>
      </c>
      <c r="J49" s="181"/>
      <c r="K49" s="129">
        <v>0.33600000000000002</v>
      </c>
      <c r="L49" s="181"/>
      <c r="M49" s="129">
        <v>0.36399999999999999</v>
      </c>
      <c r="N49" s="181"/>
      <c r="O49" s="129">
        <v>0.39200000000000002</v>
      </c>
      <c r="P49" s="181"/>
      <c r="Q49" s="129">
        <v>0.375</v>
      </c>
      <c r="R49" s="181"/>
      <c r="S49" s="129">
        <v>0.39400000000000002</v>
      </c>
      <c r="T49" s="181"/>
      <c r="U49" s="182">
        <v>0.372</v>
      </c>
      <c r="V49" s="651"/>
      <c r="W49" s="469"/>
      <c r="X49" s="594">
        <f>AVERAGE(Q49,O49,M49,U49,S49)</f>
        <v>0.37940000000000007</v>
      </c>
      <c r="Y49" s="56"/>
      <c r="Z49" s="56"/>
      <c r="AA49" s="57"/>
    </row>
    <row r="50" spans="1:27" ht="15" customHeight="1" x14ac:dyDescent="0.2">
      <c r="A50" s="874" t="s">
        <v>268</v>
      </c>
      <c r="B50" s="184"/>
      <c r="C50" s="155">
        <v>3.5000000000000003E-2</v>
      </c>
      <c r="D50" s="184"/>
      <c r="E50" s="131">
        <v>4.2999999999999997E-2</v>
      </c>
      <c r="F50" s="186"/>
      <c r="G50" s="131">
        <v>0.04</v>
      </c>
      <c r="H50" s="186"/>
      <c r="I50" s="131">
        <v>4.2999999999999997E-2</v>
      </c>
      <c r="J50" s="186"/>
      <c r="K50" s="131">
        <v>4.2000000000000003E-2</v>
      </c>
      <c r="L50" s="186"/>
      <c r="M50" s="131">
        <v>5.2999999999999999E-2</v>
      </c>
      <c r="N50" s="186"/>
      <c r="O50" s="131">
        <v>4.3999999999999997E-2</v>
      </c>
      <c r="P50" s="186"/>
      <c r="Q50" s="131">
        <v>4.5999999999999999E-2</v>
      </c>
      <c r="R50" s="186"/>
      <c r="S50" s="131">
        <v>4.4999999999999998E-2</v>
      </c>
      <c r="T50" s="186"/>
      <c r="U50" s="187">
        <v>5.2999999999999999E-2</v>
      </c>
      <c r="V50" s="651"/>
      <c r="W50" s="469"/>
      <c r="X50" s="594">
        <f>AVERAGE(Q50,O50,M50,U50,S50)</f>
        <v>4.82E-2</v>
      </c>
      <c r="Y50" s="56"/>
      <c r="Z50" s="56"/>
      <c r="AA50" s="57"/>
    </row>
    <row r="51" spans="1:27" ht="15" customHeight="1" thickBot="1" x14ac:dyDescent="0.25">
      <c r="A51" s="846" t="s">
        <v>271</v>
      </c>
      <c r="B51" s="1403">
        <f>1-C49-C50</f>
        <v>0.64699999999999991</v>
      </c>
      <c r="C51" s="1404"/>
      <c r="D51" s="1403">
        <f>1-E49-E50</f>
        <v>0.67</v>
      </c>
      <c r="E51" s="1404"/>
      <c r="F51" s="1403">
        <f>1-G49-G50</f>
        <v>0.625</v>
      </c>
      <c r="G51" s="1404"/>
      <c r="H51" s="1403">
        <f>1-I49-I50</f>
        <v>0.64600000000000002</v>
      </c>
      <c r="I51" s="1404"/>
      <c r="J51" s="1403">
        <f>1-K49-K50</f>
        <v>0.62199999999999989</v>
      </c>
      <c r="K51" s="1404"/>
      <c r="L51" s="1403">
        <f>1-M49-M50</f>
        <v>0.58299999999999996</v>
      </c>
      <c r="M51" s="1404"/>
      <c r="N51" s="1403">
        <f>1-O49-O50</f>
        <v>0.56399999999999995</v>
      </c>
      <c r="O51" s="1404"/>
      <c r="P51" s="1403">
        <f>1-Q49-Q50</f>
        <v>0.57899999999999996</v>
      </c>
      <c r="Q51" s="1404"/>
      <c r="R51" s="1403">
        <f>1-S49-S50</f>
        <v>0.56099999999999994</v>
      </c>
      <c r="S51" s="1404"/>
      <c r="T51" s="1403">
        <f>1-U49-U50</f>
        <v>0.57499999999999996</v>
      </c>
      <c r="U51" s="1406"/>
      <c r="V51" s="651"/>
      <c r="W51" s="1390">
        <f>1-X49-X50</f>
        <v>0.57239999999999991</v>
      </c>
      <c r="X51" s="1391"/>
      <c r="Y51" s="56"/>
      <c r="Z51" s="56"/>
      <c r="AA51" s="57"/>
    </row>
    <row r="52" spans="1:27" s="3" customFormat="1" ht="18" customHeight="1" thickTop="1" thickBot="1" x14ac:dyDescent="0.25">
      <c r="A52" s="194" t="s">
        <v>67</v>
      </c>
      <c r="B52" s="227" t="s">
        <v>39</v>
      </c>
      <c r="C52" s="788" t="s">
        <v>74</v>
      </c>
      <c r="D52" s="789" t="s">
        <v>39</v>
      </c>
      <c r="E52" s="228" t="s">
        <v>74</v>
      </c>
      <c r="F52" s="227" t="s">
        <v>39</v>
      </c>
      <c r="G52" s="788" t="s">
        <v>74</v>
      </c>
      <c r="H52" s="789" t="s">
        <v>39</v>
      </c>
      <c r="I52" s="228" t="s">
        <v>74</v>
      </c>
      <c r="J52" s="789" t="s">
        <v>39</v>
      </c>
      <c r="K52" s="228" t="s">
        <v>74</v>
      </c>
      <c r="L52" s="789" t="s">
        <v>39</v>
      </c>
      <c r="M52" s="228" t="s">
        <v>74</v>
      </c>
      <c r="N52" s="789" t="s">
        <v>39</v>
      </c>
      <c r="O52" s="228" t="s">
        <v>74</v>
      </c>
      <c r="P52" s="789" t="s">
        <v>39</v>
      </c>
      <c r="Q52" s="228" t="s">
        <v>74</v>
      </c>
      <c r="R52" s="789" t="s">
        <v>39</v>
      </c>
      <c r="S52" s="228" t="s">
        <v>74</v>
      </c>
      <c r="T52" s="227" t="s">
        <v>39</v>
      </c>
      <c r="U52" s="790" t="s">
        <v>74</v>
      </c>
      <c r="V52" s="230"/>
      <c r="W52" s="791" t="s">
        <v>39</v>
      </c>
      <c r="X52" s="790" t="s">
        <v>74</v>
      </c>
    </row>
    <row r="53" spans="1:27" ht="15" customHeight="1" x14ac:dyDescent="0.2">
      <c r="A53" s="899" t="s">
        <v>68</v>
      </c>
      <c r="B53" s="1162"/>
      <c r="C53" s="1163"/>
      <c r="D53" s="1162"/>
      <c r="E53" s="1163"/>
      <c r="F53" s="1162"/>
      <c r="G53" s="1163"/>
      <c r="H53" s="234">
        <v>13</v>
      </c>
      <c r="I53" s="235">
        <f>+H53/H16</f>
        <v>0.76470588235294112</v>
      </c>
      <c r="J53" s="234">
        <v>13</v>
      </c>
      <c r="K53" s="235">
        <f>+J53/J16</f>
        <v>0.8125</v>
      </c>
      <c r="L53" s="234">
        <v>20</v>
      </c>
      <c r="M53" s="235">
        <f>+L53/L16</f>
        <v>1</v>
      </c>
      <c r="N53" s="234">
        <v>16</v>
      </c>
      <c r="O53" s="235">
        <f>+N53/N16</f>
        <v>0.84210526315789469</v>
      </c>
      <c r="P53" s="234">
        <v>22</v>
      </c>
      <c r="Q53" s="235">
        <f>+P53/P16</f>
        <v>0.95652173913043481</v>
      </c>
      <c r="R53" s="234">
        <v>20</v>
      </c>
      <c r="S53" s="235">
        <f>+R53/R16</f>
        <v>0.90909090909090906</v>
      </c>
      <c r="T53" s="234"/>
      <c r="U53" s="236">
        <f>+T53/T16</f>
        <v>0</v>
      </c>
      <c r="V53" s="226"/>
      <c r="W53" s="237">
        <f>AVERAGE(N53,L53,R53,T53,P53)</f>
        <v>19.5</v>
      </c>
      <c r="X53" s="236">
        <f>+W53/W16</f>
        <v>0.91121495327102808</v>
      </c>
    </row>
    <row r="54" spans="1:27" ht="15" customHeight="1" x14ac:dyDescent="0.2">
      <c r="A54" s="677" t="s">
        <v>232</v>
      </c>
      <c r="B54" s="1164"/>
      <c r="C54" s="1165"/>
      <c r="D54" s="1164"/>
      <c r="E54" s="1165"/>
      <c r="F54" s="1164"/>
      <c r="G54" s="1165"/>
      <c r="H54" s="645">
        <v>28</v>
      </c>
      <c r="I54" s="646">
        <f>+H54/H17</f>
        <v>0.875</v>
      </c>
      <c r="J54" s="645">
        <v>31</v>
      </c>
      <c r="K54" s="646">
        <f>+J54/J17</f>
        <v>0.93939393939393945</v>
      </c>
      <c r="L54" s="645">
        <v>36</v>
      </c>
      <c r="M54" s="646">
        <f>+L54/L17</f>
        <v>0.8571428571428571</v>
      </c>
      <c r="N54" s="645">
        <v>30</v>
      </c>
      <c r="O54" s="646">
        <f>+N54/N17</f>
        <v>0.83333333333333337</v>
      </c>
      <c r="P54" s="645">
        <v>25</v>
      </c>
      <c r="Q54" s="646">
        <f>+P54/P17</f>
        <v>0.80645161290322576</v>
      </c>
      <c r="R54" s="645">
        <v>34</v>
      </c>
      <c r="S54" s="646">
        <f>+R54/R17</f>
        <v>0.94444444444444442</v>
      </c>
      <c r="T54" s="645"/>
      <c r="U54" s="480">
        <f>+T54/T17</f>
        <v>0</v>
      </c>
      <c r="V54" s="226"/>
      <c r="W54" s="237">
        <f>AVERAGE(N54,L54,R54,T54,P54)</f>
        <v>31.25</v>
      </c>
      <c r="X54" s="480">
        <f>+W54/W17</f>
        <v>0.84005376344086014</v>
      </c>
    </row>
    <row r="55" spans="1:27" ht="15" customHeight="1" thickBot="1" x14ac:dyDescent="0.25">
      <c r="A55" s="751" t="s">
        <v>233</v>
      </c>
      <c r="B55" s="1166"/>
      <c r="C55" s="1167"/>
      <c r="D55" s="1166"/>
      <c r="E55" s="1167"/>
      <c r="F55" s="1166"/>
      <c r="G55" s="1167"/>
      <c r="H55" s="239">
        <v>6</v>
      </c>
      <c r="I55" s="240">
        <f>+H55/H26</f>
        <v>0.8571428571428571</v>
      </c>
      <c r="J55" s="239">
        <v>9</v>
      </c>
      <c r="K55" s="240">
        <f>+J55/J26</f>
        <v>1</v>
      </c>
      <c r="L55" s="239">
        <v>9</v>
      </c>
      <c r="M55" s="240">
        <f>+L55/L26</f>
        <v>1</v>
      </c>
      <c r="N55" s="239">
        <v>6</v>
      </c>
      <c r="O55" s="240">
        <f>+N55/N26</f>
        <v>0.8571428571428571</v>
      </c>
      <c r="P55" s="239">
        <v>5</v>
      </c>
      <c r="Q55" s="240">
        <f>+P55/P26</f>
        <v>1</v>
      </c>
      <c r="R55" s="239">
        <v>4</v>
      </c>
      <c r="S55" s="240">
        <f>+R55/R26</f>
        <v>1</v>
      </c>
      <c r="T55" s="239"/>
      <c r="U55" s="241">
        <f>+T55/T26</f>
        <v>0</v>
      </c>
      <c r="V55" s="226"/>
      <c r="W55" s="242">
        <f>AVERAGE(N55,L55,R55,T55,P55)</f>
        <v>6</v>
      </c>
      <c r="X55" s="241">
        <f>+W55/W26</f>
        <v>1.0344827586206897</v>
      </c>
    </row>
    <row r="56" spans="1:27" s="85" customFormat="1" ht="15" customHeight="1" thickTop="1" x14ac:dyDescent="0.2">
      <c r="A56" s="37" t="s">
        <v>288</v>
      </c>
      <c r="B56" s="650"/>
      <c r="C56" s="650"/>
      <c r="D56" s="650"/>
      <c r="E56" s="650"/>
      <c r="F56" s="650"/>
      <c r="G56" s="650"/>
      <c r="H56" s="650"/>
      <c r="I56" s="650"/>
      <c r="J56" s="650"/>
      <c r="K56" s="650"/>
      <c r="L56" s="650"/>
      <c r="M56" s="650"/>
      <c r="N56" s="650"/>
      <c r="O56" s="650"/>
      <c r="P56" s="650"/>
      <c r="Q56" s="650"/>
      <c r="R56" s="650"/>
      <c r="S56" s="650"/>
      <c r="T56" s="650"/>
      <c r="U56" s="650"/>
      <c r="V56" s="651"/>
      <c r="W56" s="650"/>
      <c r="X56" s="650"/>
      <c r="Y56" s="56"/>
      <c r="Z56" s="56"/>
      <c r="AA56" s="57"/>
    </row>
    <row r="57" spans="1:27" s="85" customFormat="1" ht="15" customHeight="1" thickBot="1" x14ac:dyDescent="0.25">
      <c r="A57" s="37"/>
      <c r="B57" s="650"/>
      <c r="C57" s="650"/>
      <c r="D57" s="650"/>
      <c r="E57" s="650"/>
      <c r="F57" s="650"/>
      <c r="G57" s="650"/>
      <c r="H57" s="650"/>
      <c r="I57" s="650"/>
      <c r="J57" s="650"/>
      <c r="K57" s="650"/>
      <c r="L57" s="650"/>
      <c r="M57" s="650"/>
      <c r="N57" s="650"/>
      <c r="O57" s="650"/>
      <c r="P57" s="650"/>
      <c r="Q57" s="650"/>
      <c r="R57" s="650"/>
      <c r="S57" s="650"/>
      <c r="T57" s="650"/>
      <c r="U57" s="650"/>
      <c r="V57" s="651"/>
      <c r="W57" s="650"/>
      <c r="X57" s="650"/>
      <c r="Y57" s="56"/>
      <c r="Z57" s="56"/>
      <c r="AA57" s="57"/>
    </row>
    <row r="58" spans="1:27" s="1" customFormat="1" ht="18.75" customHeight="1" thickTop="1" thickBot="1" x14ac:dyDescent="0.25">
      <c r="A58" s="175" t="s">
        <v>247</v>
      </c>
      <c r="B58" s="1385" t="s">
        <v>30</v>
      </c>
      <c r="C58" s="1395"/>
      <c r="D58" s="1385" t="s">
        <v>31</v>
      </c>
      <c r="E58" s="1396"/>
      <c r="F58" s="1385" t="s">
        <v>32</v>
      </c>
      <c r="G58" s="1396"/>
      <c r="H58" s="1385" t="s">
        <v>33</v>
      </c>
      <c r="I58" s="1396"/>
      <c r="J58" s="1385" t="s">
        <v>34</v>
      </c>
      <c r="K58" s="1396"/>
      <c r="L58" s="1385" t="s">
        <v>35</v>
      </c>
      <c r="M58" s="1396"/>
      <c r="N58" s="1385" t="s">
        <v>36</v>
      </c>
      <c r="O58" s="1396"/>
      <c r="P58" s="1385" t="s">
        <v>37</v>
      </c>
      <c r="Q58" s="1396"/>
      <c r="R58" s="1385" t="s">
        <v>38</v>
      </c>
      <c r="S58" s="1396"/>
      <c r="T58" s="1385" t="s">
        <v>302</v>
      </c>
      <c r="U58" s="1386"/>
      <c r="V58" s="195"/>
      <c r="W58" s="1382" t="s">
        <v>9</v>
      </c>
      <c r="X58" s="1383"/>
    </row>
    <row r="59" spans="1:27" s="1" customFormat="1" ht="24" x14ac:dyDescent="0.2">
      <c r="A59" s="715" t="s">
        <v>289</v>
      </c>
      <c r="B59" s="711"/>
      <c r="C59" s="529"/>
      <c r="D59" s="711"/>
      <c r="E59" s="712"/>
      <c r="F59" s="711"/>
      <c r="G59" s="712"/>
      <c r="H59" s="711"/>
      <c r="I59" s="712"/>
      <c r="J59" s="711"/>
      <c r="K59" s="712"/>
      <c r="L59" s="711"/>
      <c r="M59" s="712"/>
      <c r="N59" s="711"/>
      <c r="O59" s="712"/>
      <c r="P59" s="711"/>
      <c r="Q59" s="712"/>
      <c r="R59" s="711"/>
      <c r="S59" s="712"/>
      <c r="T59" s="713"/>
      <c r="U59" s="714"/>
      <c r="V59" s="195"/>
      <c r="W59" s="272"/>
      <c r="X59" s="271"/>
    </row>
    <row r="60" spans="1:27" s="1" customFormat="1" ht="24" x14ac:dyDescent="0.2">
      <c r="A60" s="721" t="s">
        <v>237</v>
      </c>
      <c r="B60" s="186"/>
      <c r="C60" s="653">
        <v>39</v>
      </c>
      <c r="D60" s="186"/>
      <c r="E60" s="653">
        <v>37</v>
      </c>
      <c r="F60" s="186"/>
      <c r="G60" s="653">
        <v>35</v>
      </c>
      <c r="H60" s="186"/>
      <c r="I60" s="653">
        <v>37</v>
      </c>
      <c r="J60" s="186"/>
      <c r="K60" s="653">
        <v>39</v>
      </c>
      <c r="L60" s="186"/>
      <c r="M60" s="653">
        <v>34</v>
      </c>
      <c r="N60" s="186"/>
      <c r="O60" s="653">
        <v>36</v>
      </c>
      <c r="P60" s="186"/>
      <c r="Q60" s="653">
        <v>34</v>
      </c>
      <c r="R60" s="186"/>
      <c r="S60" s="653">
        <v>37</v>
      </c>
      <c r="T60" s="654"/>
      <c r="U60" s="659"/>
      <c r="V60" s="195"/>
      <c r="W60" s="347"/>
      <c r="X60" s="659">
        <f>AVERAGE(O60,M60,S60,U60,Q60)</f>
        <v>35.25</v>
      </c>
    </row>
    <row r="61" spans="1:27" s="1" customFormat="1" ht="24" x14ac:dyDescent="0.2">
      <c r="A61" s="721" t="s">
        <v>239</v>
      </c>
      <c r="B61" s="654"/>
      <c r="C61" s="716">
        <v>39</v>
      </c>
      <c r="D61" s="654"/>
      <c r="E61" s="716">
        <v>37</v>
      </c>
      <c r="F61" s="654"/>
      <c r="G61" s="716">
        <v>35</v>
      </c>
      <c r="H61" s="654"/>
      <c r="I61" s="716">
        <v>37</v>
      </c>
      <c r="J61" s="654"/>
      <c r="K61" s="716">
        <v>39</v>
      </c>
      <c r="L61" s="654"/>
      <c r="M61" s="716">
        <v>34</v>
      </c>
      <c r="N61" s="654"/>
      <c r="O61" s="716">
        <v>36</v>
      </c>
      <c r="P61" s="654"/>
      <c r="Q61" s="716">
        <v>34</v>
      </c>
      <c r="R61" s="654"/>
      <c r="S61" s="716">
        <v>37</v>
      </c>
      <c r="T61" s="654"/>
      <c r="U61" s="659"/>
      <c r="V61" s="195"/>
      <c r="W61" s="1252"/>
      <c r="X61" s="394">
        <f t="shared" ref="X61:X62" si="11">AVERAGE(O61,M61,S61,U61,Q61)</f>
        <v>35.25</v>
      </c>
    </row>
    <row r="62" spans="1:27" s="1" customFormat="1" ht="15" customHeight="1" thickBot="1" x14ac:dyDescent="0.25">
      <c r="A62" s="942" t="s">
        <v>238</v>
      </c>
      <c r="B62" s="943"/>
      <c r="C62" s="944">
        <v>31.4</v>
      </c>
      <c r="D62" s="943"/>
      <c r="E62" s="944">
        <f>0.95+30.4</f>
        <v>31.349999999999998</v>
      </c>
      <c r="F62" s="943"/>
      <c r="G62" s="944">
        <v>28.42</v>
      </c>
      <c r="H62" s="943"/>
      <c r="I62" s="944">
        <v>30.6</v>
      </c>
      <c r="J62" s="943"/>
      <c r="K62" s="944">
        <v>32.96</v>
      </c>
      <c r="L62" s="943"/>
      <c r="M62" s="944">
        <v>30.43</v>
      </c>
      <c r="N62" s="943"/>
      <c r="O62" s="944">
        <v>31.25</v>
      </c>
      <c r="P62" s="943"/>
      <c r="Q62" s="944">
        <v>30.4</v>
      </c>
      <c r="R62" s="943"/>
      <c r="S62" s="944">
        <f>31.59+1.66</f>
        <v>33.25</v>
      </c>
      <c r="T62" s="956"/>
      <c r="U62" s="947"/>
      <c r="V62" s="195"/>
      <c r="W62" s="950"/>
      <c r="X62" s="1253">
        <f t="shared" si="11"/>
        <v>31.332500000000003</v>
      </c>
    </row>
    <row r="63" spans="1:27" s="1" customFormat="1" ht="18" customHeight="1" thickBot="1" x14ac:dyDescent="0.25">
      <c r="A63" s="795" t="s">
        <v>264</v>
      </c>
      <c r="B63" s="1057" t="s">
        <v>40</v>
      </c>
      <c r="C63" s="1058" t="s">
        <v>41</v>
      </c>
      <c r="D63" s="1057" t="s">
        <v>40</v>
      </c>
      <c r="E63" s="1058" t="s">
        <v>41</v>
      </c>
      <c r="F63" s="1057" t="s">
        <v>40</v>
      </c>
      <c r="G63" s="1058" t="s">
        <v>41</v>
      </c>
      <c r="H63" s="1057" t="s">
        <v>40</v>
      </c>
      <c r="I63" s="1058" t="s">
        <v>41</v>
      </c>
      <c r="J63" s="1057" t="s">
        <v>40</v>
      </c>
      <c r="K63" s="1058" t="s">
        <v>41</v>
      </c>
      <c r="L63" s="1057" t="s">
        <v>40</v>
      </c>
      <c r="M63" s="1058" t="s">
        <v>41</v>
      </c>
      <c r="N63" s="1057" t="s">
        <v>40</v>
      </c>
      <c r="O63" s="1058" t="s">
        <v>41</v>
      </c>
      <c r="P63" s="1057" t="s">
        <v>40</v>
      </c>
      <c r="Q63" s="1058" t="s">
        <v>41</v>
      </c>
      <c r="R63" s="1057" t="s">
        <v>40</v>
      </c>
      <c r="S63" s="1058" t="s">
        <v>41</v>
      </c>
      <c r="T63" s="1057" t="s">
        <v>40</v>
      </c>
      <c r="U63" s="1059" t="s">
        <v>41</v>
      </c>
      <c r="V63" s="599"/>
      <c r="W63" s="1254" t="s">
        <v>40</v>
      </c>
      <c r="X63" s="804" t="s">
        <v>41</v>
      </c>
    </row>
    <row r="64" spans="1:27" s="1" customFormat="1" ht="15" customHeight="1" x14ac:dyDescent="0.2">
      <c r="A64" s="680" t="s">
        <v>42</v>
      </c>
      <c r="B64" s="1034"/>
      <c r="C64" s="1052"/>
      <c r="D64" s="1049"/>
      <c r="E64" s="1043"/>
      <c r="F64" s="1034"/>
      <c r="G64" s="1043"/>
      <c r="H64" s="1034"/>
      <c r="I64" s="1043"/>
      <c r="J64" s="1034"/>
      <c r="K64" s="1043"/>
      <c r="L64" s="1034"/>
      <c r="M64" s="1043"/>
      <c r="N64" s="1034"/>
      <c r="O64" s="1043"/>
      <c r="P64" s="1034"/>
      <c r="Q64" s="1043"/>
      <c r="R64" s="1034"/>
      <c r="S64" s="1043"/>
      <c r="T64" s="1034"/>
      <c r="U64" s="1035"/>
      <c r="W64" s="1029"/>
      <c r="X64" s="1030"/>
    </row>
    <row r="65" spans="1:24" s="1" customFormat="1" ht="15" customHeight="1" x14ac:dyDescent="0.2">
      <c r="A65" s="678" t="s">
        <v>43</v>
      </c>
      <c r="B65" s="258"/>
      <c r="C65" s="1053">
        <v>43</v>
      </c>
      <c r="D65" s="260"/>
      <c r="E65" s="1044">
        <v>43</v>
      </c>
      <c r="F65" s="258"/>
      <c r="G65" s="1044">
        <v>41</v>
      </c>
      <c r="H65" s="258"/>
      <c r="I65" s="1044">
        <v>43</v>
      </c>
      <c r="J65" s="13">
        <v>46</v>
      </c>
      <c r="K65" s="1044">
        <v>46</v>
      </c>
      <c r="L65" s="13">
        <v>41</v>
      </c>
      <c r="M65" s="1044">
        <v>41</v>
      </c>
      <c r="N65" s="13">
        <v>43</v>
      </c>
      <c r="O65" s="1044">
        <v>43</v>
      </c>
      <c r="P65" s="13">
        <v>44</v>
      </c>
      <c r="Q65" s="1044">
        <v>44</v>
      </c>
      <c r="R65" s="13">
        <v>46</v>
      </c>
      <c r="S65" s="1044">
        <v>46</v>
      </c>
      <c r="T65" s="1151"/>
      <c r="U65" s="1037"/>
      <c r="W65" s="936">
        <f>AVERAGE(T65,L65,N65,P65,R65)</f>
        <v>43.5</v>
      </c>
      <c r="X65" s="1031">
        <f t="shared" ref="X65:X70" si="12">AVERAGE(O65,M65,S65,U65,Q65)</f>
        <v>43.5</v>
      </c>
    </row>
    <row r="66" spans="1:24" s="1" customFormat="1" ht="15" customHeight="1" x14ac:dyDescent="0.2">
      <c r="A66" s="678" t="s">
        <v>44</v>
      </c>
      <c r="B66" s="258"/>
      <c r="C66" s="1053">
        <v>8</v>
      </c>
      <c r="D66" s="260"/>
      <c r="E66" s="1044">
        <v>4</v>
      </c>
      <c r="F66" s="258"/>
      <c r="G66" s="1044">
        <v>5</v>
      </c>
      <c r="H66" s="258"/>
      <c r="I66" s="1044">
        <v>4</v>
      </c>
      <c r="J66" s="13">
        <v>3</v>
      </c>
      <c r="K66" s="1044">
        <v>5</v>
      </c>
      <c r="L66" s="13">
        <v>4.3</v>
      </c>
      <c r="M66" s="1044">
        <v>6</v>
      </c>
      <c r="N66" s="13">
        <v>2.4</v>
      </c>
      <c r="O66" s="1044">
        <v>4</v>
      </c>
      <c r="P66" s="13">
        <v>2</v>
      </c>
      <c r="Q66" s="1044">
        <v>3</v>
      </c>
      <c r="R66" s="13">
        <v>2.2000000000000002</v>
      </c>
      <c r="S66" s="1044">
        <v>4</v>
      </c>
      <c r="T66" s="1151"/>
      <c r="U66" s="1037"/>
      <c r="W66" s="936">
        <f t="shared" ref="W66:W70" si="13">AVERAGE(T66,L66,N66,P66,R66)</f>
        <v>2.7249999999999996</v>
      </c>
      <c r="X66" s="1031">
        <f t="shared" si="12"/>
        <v>4.25</v>
      </c>
    </row>
    <row r="67" spans="1:24" s="1" customFormat="1" ht="15" customHeight="1" x14ac:dyDescent="0.2">
      <c r="A67" s="676" t="s">
        <v>45</v>
      </c>
      <c r="B67" s="13"/>
      <c r="C67" s="1054"/>
      <c r="D67" s="11"/>
      <c r="E67" s="1045"/>
      <c r="F67" s="13"/>
      <c r="G67" s="1045"/>
      <c r="H67" s="13"/>
      <c r="I67" s="1045"/>
      <c r="J67" s="13"/>
      <c r="K67" s="1045"/>
      <c r="L67" s="13"/>
      <c r="M67" s="1045"/>
      <c r="N67" s="13"/>
      <c r="O67" s="1045"/>
      <c r="P67" s="13"/>
      <c r="Q67" s="1045"/>
      <c r="R67" s="13"/>
      <c r="S67" s="1045"/>
      <c r="T67" s="1151"/>
      <c r="U67" s="1038"/>
      <c r="W67" s="936"/>
      <c r="X67" s="1031"/>
    </row>
    <row r="68" spans="1:24" s="1" customFormat="1" ht="15" customHeight="1" x14ac:dyDescent="0.2">
      <c r="A68" s="678" t="s">
        <v>43</v>
      </c>
      <c r="B68" s="258"/>
      <c r="C68" s="1054">
        <v>7</v>
      </c>
      <c r="D68" s="260"/>
      <c r="E68" s="1045">
        <v>8</v>
      </c>
      <c r="F68" s="258"/>
      <c r="G68" s="1045">
        <v>7</v>
      </c>
      <c r="H68" s="258"/>
      <c r="I68" s="1045">
        <v>5</v>
      </c>
      <c r="J68" s="13">
        <v>5</v>
      </c>
      <c r="K68" s="1045">
        <v>5</v>
      </c>
      <c r="L68" s="13">
        <v>8</v>
      </c>
      <c r="M68" s="1045">
        <v>8</v>
      </c>
      <c r="N68" s="13">
        <v>7</v>
      </c>
      <c r="O68" s="1045">
        <v>7</v>
      </c>
      <c r="P68" s="13">
        <v>7</v>
      </c>
      <c r="Q68" s="1045">
        <v>7</v>
      </c>
      <c r="R68" s="13">
        <v>6</v>
      </c>
      <c r="S68" s="1045">
        <v>6</v>
      </c>
      <c r="T68" s="1151"/>
      <c r="U68" s="1038"/>
      <c r="W68" s="936">
        <f t="shared" si="13"/>
        <v>7</v>
      </c>
      <c r="X68" s="1031">
        <f t="shared" si="12"/>
        <v>7</v>
      </c>
    </row>
    <row r="69" spans="1:24" s="1" customFormat="1" ht="15" customHeight="1" thickBot="1" x14ac:dyDescent="0.25">
      <c r="A69" s="939" t="s">
        <v>44</v>
      </c>
      <c r="B69" s="1017"/>
      <c r="C69" s="1054">
        <v>2</v>
      </c>
      <c r="D69" s="1050"/>
      <c r="E69" s="1045">
        <v>1</v>
      </c>
      <c r="F69" s="1017"/>
      <c r="G69" s="1056">
        <v>1</v>
      </c>
      <c r="H69" s="1017"/>
      <c r="I69" s="1056">
        <v>3</v>
      </c>
      <c r="J69" s="1047">
        <v>1.4</v>
      </c>
      <c r="K69" s="1056">
        <v>3</v>
      </c>
      <c r="L69" s="1047">
        <v>1.4</v>
      </c>
      <c r="M69" s="1056">
        <v>3</v>
      </c>
      <c r="N69" s="1047">
        <v>1.5</v>
      </c>
      <c r="O69" s="1056">
        <v>2</v>
      </c>
      <c r="P69" s="1047">
        <v>1.8</v>
      </c>
      <c r="Q69" s="1056">
        <v>2</v>
      </c>
      <c r="R69" s="1047">
        <v>1.4</v>
      </c>
      <c r="S69" s="1056">
        <v>2</v>
      </c>
      <c r="T69" s="1152"/>
      <c r="U69" s="1040"/>
      <c r="W69" s="1020">
        <f t="shared" si="13"/>
        <v>1.5249999999999999</v>
      </c>
      <c r="X69" s="1032">
        <f t="shared" si="12"/>
        <v>2.25</v>
      </c>
    </row>
    <row r="70" spans="1:24" s="1" customFormat="1" ht="15" customHeight="1" thickBot="1" x14ac:dyDescent="0.25">
      <c r="A70" s="796" t="s">
        <v>28</v>
      </c>
      <c r="B70" s="1149"/>
      <c r="C70" s="1055">
        <f>SUM(C65:C69)</f>
        <v>60</v>
      </c>
      <c r="D70" s="1149"/>
      <c r="E70" s="1046">
        <f>SUM(E65:E69)</f>
        <v>56</v>
      </c>
      <c r="F70" s="1150"/>
      <c r="G70" s="1046">
        <f>SUM(G65:G69)</f>
        <v>54</v>
      </c>
      <c r="H70" s="1150"/>
      <c r="I70" s="1046">
        <f t="shared" ref="I70:S70" si="14">SUM(I65:I69)</f>
        <v>55</v>
      </c>
      <c r="J70" s="1048">
        <f t="shared" si="14"/>
        <v>55.4</v>
      </c>
      <c r="K70" s="1046">
        <f t="shared" si="14"/>
        <v>59</v>
      </c>
      <c r="L70" s="1048">
        <f t="shared" si="14"/>
        <v>54.699999999999996</v>
      </c>
      <c r="M70" s="1046">
        <f t="shared" si="14"/>
        <v>58</v>
      </c>
      <c r="N70" s="1048">
        <f t="shared" si="14"/>
        <v>53.9</v>
      </c>
      <c r="O70" s="1046">
        <f t="shared" si="14"/>
        <v>56</v>
      </c>
      <c r="P70" s="1048">
        <f t="shared" si="14"/>
        <v>54.8</v>
      </c>
      <c r="Q70" s="1046">
        <f t="shared" si="14"/>
        <v>56</v>
      </c>
      <c r="R70" s="1048">
        <f t="shared" si="14"/>
        <v>55.6</v>
      </c>
      <c r="S70" s="1046">
        <f t="shared" si="14"/>
        <v>58</v>
      </c>
      <c r="T70" s="1153">
        <f t="shared" ref="T70:U70" si="15">SUM(T65:T69)</f>
        <v>0</v>
      </c>
      <c r="U70" s="1042">
        <f t="shared" si="15"/>
        <v>0</v>
      </c>
      <c r="W70" s="1028">
        <f t="shared" si="13"/>
        <v>43.8</v>
      </c>
      <c r="X70" s="1033">
        <f t="shared" si="12"/>
        <v>45.6</v>
      </c>
    </row>
    <row r="71" spans="1:24" s="1" customFormat="1" ht="18" customHeight="1" thickBot="1" x14ac:dyDescent="0.25">
      <c r="A71" s="795" t="s">
        <v>253</v>
      </c>
      <c r="B71" s="801" t="s">
        <v>39</v>
      </c>
      <c r="C71" s="954" t="s">
        <v>46</v>
      </c>
      <c r="D71" s="801" t="s">
        <v>39</v>
      </c>
      <c r="E71" s="798" t="s">
        <v>46</v>
      </c>
      <c r="F71" s="799" t="s">
        <v>39</v>
      </c>
      <c r="G71" s="798" t="s">
        <v>46</v>
      </c>
      <c r="H71" s="799" t="s">
        <v>39</v>
      </c>
      <c r="I71" s="798" t="s">
        <v>46</v>
      </c>
      <c r="J71" s="799" t="s">
        <v>39</v>
      </c>
      <c r="K71" s="798" t="s">
        <v>46</v>
      </c>
      <c r="L71" s="799" t="s">
        <v>39</v>
      </c>
      <c r="M71" s="798" t="s">
        <v>46</v>
      </c>
      <c r="N71" s="799" t="s">
        <v>39</v>
      </c>
      <c r="O71" s="798" t="s">
        <v>46</v>
      </c>
      <c r="P71" s="799" t="s">
        <v>39</v>
      </c>
      <c r="Q71" s="798" t="s">
        <v>46</v>
      </c>
      <c r="R71" s="799" t="s">
        <v>39</v>
      </c>
      <c r="S71" s="798" t="s">
        <v>46</v>
      </c>
      <c r="T71" s="799" t="s">
        <v>39</v>
      </c>
      <c r="U71" s="804" t="s">
        <v>46</v>
      </c>
      <c r="V71" s="195"/>
      <c r="W71" s="832" t="s">
        <v>39</v>
      </c>
      <c r="X71" s="804" t="s">
        <v>46</v>
      </c>
    </row>
    <row r="72" spans="1:24" s="1" customFormat="1" ht="18" customHeight="1" x14ac:dyDescent="0.2">
      <c r="A72" s="680" t="s">
        <v>265</v>
      </c>
      <c r="B72" s="938"/>
      <c r="C72" s="196"/>
      <c r="D72" s="938"/>
      <c r="E72" s="197"/>
      <c r="F72" s="937"/>
      <c r="G72" s="197"/>
      <c r="H72" s="937"/>
      <c r="I72" s="197"/>
      <c r="J72" s="937"/>
      <c r="K72" s="197"/>
      <c r="L72" s="937"/>
      <c r="M72" s="197"/>
      <c r="N72" s="937"/>
      <c r="O72" s="197"/>
      <c r="P72" s="937"/>
      <c r="Q72" s="197"/>
      <c r="R72" s="937"/>
      <c r="S72" s="197"/>
      <c r="T72" s="937"/>
      <c r="U72" s="199"/>
      <c r="V72" s="195"/>
      <c r="W72" s="1026"/>
      <c r="X72" s="199"/>
    </row>
    <row r="73" spans="1:24" s="1" customFormat="1" ht="15" customHeight="1" x14ac:dyDescent="0.2">
      <c r="A73" s="706" t="s">
        <v>47</v>
      </c>
      <c r="B73" s="201">
        <f>35+3+2+8</f>
        <v>48</v>
      </c>
      <c r="C73" s="191">
        <f t="shared" ref="C73:C80" si="16">B73/C$70</f>
        <v>0.8</v>
      </c>
      <c r="D73" s="156">
        <f>5+38+4</f>
        <v>47</v>
      </c>
      <c r="E73" s="192">
        <f t="shared" ref="E73:E80" si="17">D73/E$70</f>
        <v>0.8392857142857143</v>
      </c>
      <c r="F73" s="160">
        <v>45</v>
      </c>
      <c r="G73" s="192">
        <f t="shared" ref="G73:G80" si="18">F73/G$70</f>
        <v>0.83333333333333337</v>
      </c>
      <c r="H73" s="160">
        <v>42</v>
      </c>
      <c r="I73" s="192">
        <f t="shared" ref="I73:I80" si="19">H73/I$70</f>
        <v>0.76363636363636367</v>
      </c>
      <c r="J73" s="160">
        <f>6+40</f>
        <v>46</v>
      </c>
      <c r="K73" s="192">
        <f t="shared" ref="K73:K80" si="20">J73/K$70</f>
        <v>0.77966101694915257</v>
      </c>
      <c r="L73" s="160">
        <f>6+38</f>
        <v>44</v>
      </c>
      <c r="M73" s="192">
        <f t="shared" ref="M73:M78" si="21">L73/M$70</f>
        <v>0.75862068965517238</v>
      </c>
      <c r="N73" s="160">
        <f>5+36</f>
        <v>41</v>
      </c>
      <c r="O73" s="192">
        <f t="shared" ref="O73:Q78" si="22">N73/O$70</f>
        <v>0.7321428571428571</v>
      </c>
      <c r="P73" s="160">
        <v>43</v>
      </c>
      <c r="Q73" s="192">
        <f t="shared" si="22"/>
        <v>0.7678571428571429</v>
      </c>
      <c r="R73" s="160">
        <v>45</v>
      </c>
      <c r="S73" s="192">
        <f t="shared" ref="S73:S78" si="23">R73/S$70</f>
        <v>0.77586206896551724</v>
      </c>
      <c r="T73" s="202"/>
      <c r="U73" s="203" t="e">
        <f t="shared" ref="U73:U78" si="24">T73/U$70</f>
        <v>#DIV/0!</v>
      </c>
      <c r="V73" s="666"/>
      <c r="W73" s="205">
        <f>AVERAGE(N73,L73,R73,T73,P73)</f>
        <v>43.25</v>
      </c>
      <c r="X73" s="206" t="e">
        <f>AVERAGE(O73,M73,S73,U73,Q73)</f>
        <v>#DIV/0!</v>
      </c>
    </row>
    <row r="74" spans="1:24" s="1" customFormat="1" ht="15" customHeight="1" x14ac:dyDescent="0.2">
      <c r="A74" s="207" t="s">
        <v>48</v>
      </c>
      <c r="B74" s="201">
        <v>0</v>
      </c>
      <c r="C74" s="191">
        <f t="shared" si="16"/>
        <v>0</v>
      </c>
      <c r="D74" s="156">
        <v>0</v>
      </c>
      <c r="E74" s="192">
        <f t="shared" si="17"/>
        <v>0</v>
      </c>
      <c r="F74" s="160">
        <v>0</v>
      </c>
      <c r="G74" s="192">
        <f t="shared" si="18"/>
        <v>0</v>
      </c>
      <c r="H74" s="160">
        <v>0</v>
      </c>
      <c r="I74" s="192">
        <f t="shared" si="19"/>
        <v>0</v>
      </c>
      <c r="J74" s="160">
        <f>0</f>
        <v>0</v>
      </c>
      <c r="K74" s="192">
        <f t="shared" si="20"/>
        <v>0</v>
      </c>
      <c r="L74" s="160">
        <v>0</v>
      </c>
      <c r="M74" s="192">
        <f t="shared" si="21"/>
        <v>0</v>
      </c>
      <c r="N74" s="160">
        <v>0</v>
      </c>
      <c r="O74" s="192">
        <f t="shared" si="22"/>
        <v>0</v>
      </c>
      <c r="P74" s="160">
        <v>0</v>
      </c>
      <c r="Q74" s="192">
        <f t="shared" si="22"/>
        <v>0</v>
      </c>
      <c r="R74" s="160">
        <v>1</v>
      </c>
      <c r="S74" s="192">
        <f t="shared" si="23"/>
        <v>1.7241379310344827E-2</v>
      </c>
      <c r="T74" s="202"/>
      <c r="U74" s="203" t="e">
        <f t="shared" si="24"/>
        <v>#DIV/0!</v>
      </c>
      <c r="V74" s="666"/>
      <c r="W74" s="205">
        <f t="shared" ref="W74:X92" si="25">AVERAGE(N74,L74,R74,T74,P74)</f>
        <v>0.25</v>
      </c>
      <c r="X74" s="206" t="e">
        <f t="shared" si="25"/>
        <v>#DIV/0!</v>
      </c>
    </row>
    <row r="75" spans="1:24" s="1" customFormat="1" ht="15" customHeight="1" x14ac:dyDescent="0.2">
      <c r="A75" s="207" t="s">
        <v>49</v>
      </c>
      <c r="B75" s="201">
        <f>2</f>
        <v>2</v>
      </c>
      <c r="C75" s="191">
        <f t="shared" si="16"/>
        <v>3.3333333333333333E-2</v>
      </c>
      <c r="D75" s="156">
        <f>1+1</f>
        <v>2</v>
      </c>
      <c r="E75" s="192">
        <f t="shared" si="17"/>
        <v>3.5714285714285712E-2</v>
      </c>
      <c r="F75" s="160">
        <v>2</v>
      </c>
      <c r="G75" s="192">
        <f t="shared" si="18"/>
        <v>3.7037037037037035E-2</v>
      </c>
      <c r="H75" s="160">
        <v>3</v>
      </c>
      <c r="I75" s="192">
        <f t="shared" si="19"/>
        <v>5.4545454545454543E-2</v>
      </c>
      <c r="J75" s="160">
        <f>0+2</f>
        <v>2</v>
      </c>
      <c r="K75" s="192">
        <f t="shared" si="20"/>
        <v>3.3898305084745763E-2</v>
      </c>
      <c r="L75" s="160">
        <v>2</v>
      </c>
      <c r="M75" s="192">
        <f t="shared" si="21"/>
        <v>3.4482758620689655E-2</v>
      </c>
      <c r="N75" s="160">
        <v>2</v>
      </c>
      <c r="O75" s="192">
        <f t="shared" si="22"/>
        <v>3.5714285714285712E-2</v>
      </c>
      <c r="P75" s="160">
        <v>3</v>
      </c>
      <c r="Q75" s="192">
        <f t="shared" si="22"/>
        <v>5.3571428571428568E-2</v>
      </c>
      <c r="R75" s="160">
        <v>3</v>
      </c>
      <c r="S75" s="192">
        <f t="shared" si="23"/>
        <v>5.1724137931034482E-2</v>
      </c>
      <c r="T75" s="202"/>
      <c r="U75" s="203" t="e">
        <f t="shared" si="24"/>
        <v>#DIV/0!</v>
      </c>
      <c r="V75" s="666"/>
      <c r="W75" s="205">
        <f t="shared" si="25"/>
        <v>2.5</v>
      </c>
      <c r="X75" s="206" t="e">
        <f t="shared" si="25"/>
        <v>#DIV/0!</v>
      </c>
    </row>
    <row r="76" spans="1:24" s="1" customFormat="1" ht="15" customHeight="1" x14ac:dyDescent="0.2">
      <c r="A76" s="207" t="s">
        <v>50</v>
      </c>
      <c r="B76" s="201">
        <v>0</v>
      </c>
      <c r="C76" s="191">
        <f t="shared" si="16"/>
        <v>0</v>
      </c>
      <c r="D76" s="156">
        <v>0</v>
      </c>
      <c r="E76" s="192">
        <f t="shared" si="17"/>
        <v>0</v>
      </c>
      <c r="F76" s="160">
        <v>0</v>
      </c>
      <c r="G76" s="192">
        <f t="shared" si="18"/>
        <v>0</v>
      </c>
      <c r="H76" s="160">
        <v>0</v>
      </c>
      <c r="I76" s="192">
        <f t="shared" si="19"/>
        <v>0</v>
      </c>
      <c r="J76" s="160">
        <f>0</f>
        <v>0</v>
      </c>
      <c r="K76" s="192">
        <f t="shared" si="20"/>
        <v>0</v>
      </c>
      <c r="L76" s="160">
        <v>0</v>
      </c>
      <c r="M76" s="192">
        <f t="shared" si="21"/>
        <v>0</v>
      </c>
      <c r="N76" s="160">
        <v>0</v>
      </c>
      <c r="O76" s="192">
        <f t="shared" si="22"/>
        <v>0</v>
      </c>
      <c r="P76" s="160">
        <v>0</v>
      </c>
      <c r="Q76" s="192">
        <f t="shared" si="22"/>
        <v>0</v>
      </c>
      <c r="R76" s="160">
        <v>0</v>
      </c>
      <c r="S76" s="192">
        <f t="shared" si="23"/>
        <v>0</v>
      </c>
      <c r="T76" s="202"/>
      <c r="U76" s="203" t="e">
        <f t="shared" si="24"/>
        <v>#DIV/0!</v>
      </c>
      <c r="V76" s="666"/>
      <c r="W76" s="205">
        <f t="shared" si="25"/>
        <v>0</v>
      </c>
      <c r="X76" s="206" t="e">
        <f t="shared" si="25"/>
        <v>#DIV/0!</v>
      </c>
    </row>
    <row r="77" spans="1:24" s="1" customFormat="1" ht="15" customHeight="1" x14ac:dyDescent="0.2">
      <c r="A77" s="207" t="s">
        <v>51</v>
      </c>
      <c r="B77" s="201">
        <f>3+1</f>
        <v>4</v>
      </c>
      <c r="C77" s="191">
        <f t="shared" si="16"/>
        <v>6.6666666666666666E-2</v>
      </c>
      <c r="D77" s="156">
        <f>3+2</f>
        <v>5</v>
      </c>
      <c r="E77" s="192">
        <f t="shared" si="17"/>
        <v>8.9285714285714288E-2</v>
      </c>
      <c r="F77" s="160">
        <v>5</v>
      </c>
      <c r="G77" s="192">
        <f t="shared" si="18"/>
        <v>9.2592592592592587E-2</v>
      </c>
      <c r="H77" s="160">
        <v>8</v>
      </c>
      <c r="I77" s="192">
        <f t="shared" si="19"/>
        <v>0.14545454545454545</v>
      </c>
      <c r="J77" s="160">
        <f>0+7</f>
        <v>7</v>
      </c>
      <c r="K77" s="192">
        <f t="shared" si="20"/>
        <v>0.11864406779661017</v>
      </c>
      <c r="L77" s="160">
        <f>1+6</f>
        <v>7</v>
      </c>
      <c r="M77" s="192">
        <f t="shared" si="21"/>
        <v>0.1206896551724138</v>
      </c>
      <c r="N77" s="160">
        <v>8</v>
      </c>
      <c r="O77" s="192">
        <f t="shared" si="22"/>
        <v>0.14285714285714285</v>
      </c>
      <c r="P77" s="160">
        <v>7</v>
      </c>
      <c r="Q77" s="192">
        <f t="shared" si="22"/>
        <v>0.125</v>
      </c>
      <c r="R77" s="160">
        <v>6</v>
      </c>
      <c r="S77" s="192">
        <f t="shared" si="23"/>
        <v>0.10344827586206896</v>
      </c>
      <c r="T77" s="202"/>
      <c r="U77" s="203" t="e">
        <f t="shared" si="24"/>
        <v>#DIV/0!</v>
      </c>
      <c r="V77" s="666"/>
      <c r="W77" s="205">
        <f t="shared" si="25"/>
        <v>7</v>
      </c>
      <c r="X77" s="206" t="e">
        <f t="shared" si="25"/>
        <v>#DIV/0!</v>
      </c>
    </row>
    <row r="78" spans="1:24" s="1" customFormat="1" ht="15" customHeight="1" x14ac:dyDescent="0.2">
      <c r="A78" s="207" t="s">
        <v>52</v>
      </c>
      <c r="B78" s="201">
        <f>3+3</f>
        <v>6</v>
      </c>
      <c r="C78" s="191">
        <f t="shared" si="16"/>
        <v>0.1</v>
      </c>
      <c r="D78" s="156">
        <f>1+1</f>
        <v>2</v>
      </c>
      <c r="E78" s="192">
        <f t="shared" si="17"/>
        <v>3.5714285714285712E-2</v>
      </c>
      <c r="F78" s="160">
        <v>2</v>
      </c>
      <c r="G78" s="192">
        <f t="shared" si="18"/>
        <v>3.7037037037037035E-2</v>
      </c>
      <c r="H78" s="160">
        <v>1</v>
      </c>
      <c r="I78" s="192">
        <f t="shared" si="19"/>
        <v>1.8181818181818181E-2</v>
      </c>
      <c r="J78" s="160">
        <f>1+1</f>
        <v>2</v>
      </c>
      <c r="K78" s="192">
        <f t="shared" si="20"/>
        <v>3.3898305084745763E-2</v>
      </c>
      <c r="L78" s="160">
        <v>3</v>
      </c>
      <c r="M78" s="192">
        <f t="shared" si="21"/>
        <v>5.1724137931034482E-2</v>
      </c>
      <c r="N78" s="160">
        <v>3</v>
      </c>
      <c r="O78" s="192">
        <f t="shared" si="22"/>
        <v>5.3571428571428568E-2</v>
      </c>
      <c r="P78" s="160">
        <v>1</v>
      </c>
      <c r="Q78" s="192">
        <f t="shared" si="22"/>
        <v>1.7857142857142856E-2</v>
      </c>
      <c r="R78" s="160">
        <v>1</v>
      </c>
      <c r="S78" s="192">
        <f t="shared" si="23"/>
        <v>1.7241379310344827E-2</v>
      </c>
      <c r="T78" s="202"/>
      <c r="U78" s="203" t="e">
        <f t="shared" si="24"/>
        <v>#DIV/0!</v>
      </c>
      <c r="V78" s="666"/>
      <c r="W78" s="205">
        <f t="shared" si="25"/>
        <v>2</v>
      </c>
      <c r="X78" s="206" t="e">
        <f t="shared" si="25"/>
        <v>#DIV/0!</v>
      </c>
    </row>
    <row r="79" spans="1:24" s="1" customFormat="1" ht="15" customHeight="1" x14ac:dyDescent="0.2">
      <c r="A79" s="207" t="s">
        <v>53</v>
      </c>
      <c r="B79" s="164"/>
      <c r="C79" s="165">
        <f t="shared" si="16"/>
        <v>0</v>
      </c>
      <c r="D79" s="1223"/>
      <c r="E79" s="1224"/>
      <c r="F79" s="1225"/>
      <c r="G79" s="1224"/>
      <c r="H79" s="162">
        <v>0</v>
      </c>
      <c r="I79" s="192">
        <f t="shared" si="19"/>
        <v>0</v>
      </c>
      <c r="J79" s="162">
        <f>0</f>
        <v>0</v>
      </c>
      <c r="K79" s="192">
        <f t="shared" si="20"/>
        <v>0</v>
      </c>
      <c r="L79" s="162">
        <v>0</v>
      </c>
      <c r="M79" s="192">
        <f>L79/M$70</f>
        <v>0</v>
      </c>
      <c r="N79" s="162">
        <v>0</v>
      </c>
      <c r="O79" s="192">
        <f>N79/O$70</f>
        <v>0</v>
      </c>
      <c r="P79" s="162">
        <v>0</v>
      </c>
      <c r="Q79" s="192">
        <f>P79/Q$70</f>
        <v>0</v>
      </c>
      <c r="R79" s="162">
        <v>0</v>
      </c>
      <c r="S79" s="192">
        <f>R79/S$70</f>
        <v>0</v>
      </c>
      <c r="T79" s="202"/>
      <c r="U79" s="203" t="e">
        <f>T79/U$70</f>
        <v>#DIV/0!</v>
      </c>
      <c r="V79" s="666"/>
      <c r="W79" s="205">
        <f t="shared" si="25"/>
        <v>0</v>
      </c>
      <c r="X79" s="206" t="e">
        <f t="shared" si="25"/>
        <v>#DIV/0!</v>
      </c>
    </row>
    <row r="80" spans="1:24" s="1" customFormat="1" ht="15" customHeight="1" thickBot="1" x14ac:dyDescent="0.25">
      <c r="A80" s="696" t="s">
        <v>54</v>
      </c>
      <c r="B80" s="190">
        <v>0</v>
      </c>
      <c r="C80" s="724">
        <f t="shared" si="16"/>
        <v>0</v>
      </c>
      <c r="D80" s="158">
        <v>0</v>
      </c>
      <c r="E80" s="725">
        <f t="shared" si="17"/>
        <v>0</v>
      </c>
      <c r="F80" s="162">
        <v>0</v>
      </c>
      <c r="G80" s="725">
        <f t="shared" si="18"/>
        <v>0</v>
      </c>
      <c r="H80" s="162">
        <v>1</v>
      </c>
      <c r="I80" s="725">
        <f t="shared" si="19"/>
        <v>1.8181818181818181E-2</v>
      </c>
      <c r="J80" s="162">
        <f>1+1</f>
        <v>2</v>
      </c>
      <c r="K80" s="725">
        <f t="shared" si="20"/>
        <v>3.3898305084745763E-2</v>
      </c>
      <c r="L80" s="162">
        <v>2</v>
      </c>
      <c r="M80" s="725">
        <f>L80/M$70</f>
        <v>3.4482758620689655E-2</v>
      </c>
      <c r="N80" s="162">
        <v>2</v>
      </c>
      <c r="O80" s="725">
        <f>N80/O$70</f>
        <v>3.5714285714285712E-2</v>
      </c>
      <c r="P80" s="162">
        <v>2</v>
      </c>
      <c r="Q80" s="725">
        <f>P80/Q$70</f>
        <v>3.5714285714285712E-2</v>
      </c>
      <c r="R80" s="162">
        <v>2</v>
      </c>
      <c r="S80" s="725">
        <f>R80/S$70</f>
        <v>3.4482758620689655E-2</v>
      </c>
      <c r="T80" s="193"/>
      <c r="U80" s="726" t="e">
        <f>T80/U$70</f>
        <v>#DIV/0!</v>
      </c>
      <c r="V80" s="666"/>
      <c r="W80" s="727">
        <f t="shared" si="25"/>
        <v>2</v>
      </c>
      <c r="X80" s="728" t="e">
        <f t="shared" si="25"/>
        <v>#DIV/0!</v>
      </c>
    </row>
    <row r="81" spans="1:24" s="1" customFormat="1" ht="18" customHeight="1" x14ac:dyDescent="0.2">
      <c r="A81" s="680" t="s">
        <v>55</v>
      </c>
      <c r="B81" s="731"/>
      <c r="C81" s="732"/>
      <c r="D81" s="912"/>
      <c r="E81" s="733"/>
      <c r="F81" s="914"/>
      <c r="G81" s="733"/>
      <c r="H81" s="914"/>
      <c r="I81" s="733"/>
      <c r="J81" s="914"/>
      <c r="K81" s="733"/>
      <c r="L81" s="914"/>
      <c r="M81" s="733"/>
      <c r="N81" s="914"/>
      <c r="O81" s="733"/>
      <c r="P81" s="914"/>
      <c r="Q81" s="733"/>
      <c r="R81" s="914"/>
      <c r="S81" s="733"/>
      <c r="T81" s="734"/>
      <c r="U81" s="735"/>
      <c r="V81" s="666"/>
      <c r="W81" s="736"/>
      <c r="X81" s="737"/>
    </row>
    <row r="82" spans="1:24" s="1" customFormat="1" ht="15" customHeight="1" x14ac:dyDescent="0.2">
      <c r="A82" s="200" t="s">
        <v>56</v>
      </c>
      <c r="B82" s="208">
        <v>41</v>
      </c>
      <c r="C82" s="191">
        <f>B82/C$70</f>
        <v>0.68333333333333335</v>
      </c>
      <c r="D82" s="132">
        <f>2+31+5</f>
        <v>38</v>
      </c>
      <c r="E82" s="192">
        <f>D82/E$70</f>
        <v>0.6785714285714286</v>
      </c>
      <c r="F82" s="48">
        <f>32+3</f>
        <v>35</v>
      </c>
      <c r="G82" s="192">
        <f>F82/G$70</f>
        <v>0.64814814814814814</v>
      </c>
      <c r="H82" s="48">
        <v>34</v>
      </c>
      <c r="I82" s="192">
        <f>H82/I$70</f>
        <v>0.61818181818181817</v>
      </c>
      <c r="J82" s="48">
        <f>4+34</f>
        <v>38</v>
      </c>
      <c r="K82" s="192">
        <f>J82/K$70</f>
        <v>0.64406779661016944</v>
      </c>
      <c r="L82" s="48">
        <f>6+32</f>
        <v>38</v>
      </c>
      <c r="M82" s="192">
        <f>L82/M$70</f>
        <v>0.65517241379310343</v>
      </c>
      <c r="N82" s="48">
        <f>4+33</f>
        <v>37</v>
      </c>
      <c r="O82" s="192">
        <f>N82/O$70</f>
        <v>0.6607142857142857</v>
      </c>
      <c r="P82" s="48">
        <v>36</v>
      </c>
      <c r="Q82" s="192">
        <f>P82/Q$70</f>
        <v>0.6428571428571429</v>
      </c>
      <c r="R82" s="48">
        <v>35</v>
      </c>
      <c r="S82" s="192">
        <f>R82/S$70</f>
        <v>0.60344827586206895</v>
      </c>
      <c r="T82" s="209"/>
      <c r="U82" s="203" t="e">
        <f>T82/U$70</f>
        <v>#DIV/0!</v>
      </c>
      <c r="V82" s="666"/>
      <c r="W82" s="205">
        <f t="shared" si="25"/>
        <v>36.5</v>
      </c>
      <c r="X82" s="206" t="e">
        <f t="shared" si="25"/>
        <v>#DIV/0!</v>
      </c>
    </row>
    <row r="83" spans="1:24" s="1" customFormat="1" ht="15" customHeight="1" thickBot="1" x14ac:dyDescent="0.25">
      <c r="A83" s="696" t="s">
        <v>57</v>
      </c>
      <c r="B83" s="729">
        <v>19</v>
      </c>
      <c r="C83" s="724">
        <f>B83/C$70</f>
        <v>0.31666666666666665</v>
      </c>
      <c r="D83" s="910">
        <f>3+12+3</f>
        <v>18</v>
      </c>
      <c r="E83" s="725">
        <f>D83/E$70</f>
        <v>0.32142857142857145</v>
      </c>
      <c r="F83" s="911">
        <f>16+3</f>
        <v>19</v>
      </c>
      <c r="G83" s="725">
        <f>F83/G$70</f>
        <v>0.35185185185185186</v>
      </c>
      <c r="H83" s="911">
        <v>21</v>
      </c>
      <c r="I83" s="725">
        <f>H83/I$70</f>
        <v>0.38181818181818183</v>
      </c>
      <c r="J83" s="911">
        <f>4+17</f>
        <v>21</v>
      </c>
      <c r="K83" s="725">
        <f>J83/K$70</f>
        <v>0.3559322033898305</v>
      </c>
      <c r="L83" s="911">
        <f>3+17</f>
        <v>20</v>
      </c>
      <c r="M83" s="725">
        <f>L83/M$70</f>
        <v>0.34482758620689657</v>
      </c>
      <c r="N83" s="911">
        <f>2+17</f>
        <v>19</v>
      </c>
      <c r="O83" s="725">
        <f>N83/O$70</f>
        <v>0.3392857142857143</v>
      </c>
      <c r="P83" s="911">
        <v>20</v>
      </c>
      <c r="Q83" s="725">
        <f>P83/Q$70</f>
        <v>0.35714285714285715</v>
      </c>
      <c r="R83" s="911">
        <v>23</v>
      </c>
      <c r="S83" s="725">
        <f>R83/S$70</f>
        <v>0.39655172413793105</v>
      </c>
      <c r="T83" s="730"/>
      <c r="U83" s="726" t="e">
        <f>T83/U$70</f>
        <v>#DIV/0!</v>
      </c>
      <c r="V83" s="666"/>
      <c r="W83" s="727">
        <f t="shared" si="25"/>
        <v>20.5</v>
      </c>
      <c r="X83" s="728" t="e">
        <f t="shared" si="25"/>
        <v>#DIV/0!</v>
      </c>
    </row>
    <row r="84" spans="1:24" s="1" customFormat="1" ht="18" customHeight="1" x14ac:dyDescent="0.2">
      <c r="A84" s="680" t="s">
        <v>58</v>
      </c>
      <c r="B84" s="738"/>
      <c r="C84" s="739"/>
      <c r="D84" s="917"/>
      <c r="E84" s="740"/>
      <c r="F84" s="918"/>
      <c r="G84" s="740"/>
      <c r="H84" s="918"/>
      <c r="I84" s="740"/>
      <c r="J84" s="918"/>
      <c r="K84" s="740"/>
      <c r="L84" s="918"/>
      <c r="M84" s="740"/>
      <c r="N84" s="918"/>
      <c r="O84" s="740"/>
      <c r="P84" s="918"/>
      <c r="Q84" s="740"/>
      <c r="R84" s="918"/>
      <c r="S84" s="740"/>
      <c r="T84" s="741"/>
      <c r="U84" s="742"/>
      <c r="V84" s="666"/>
      <c r="W84" s="736"/>
      <c r="X84" s="737"/>
    </row>
    <row r="85" spans="1:24" s="1" customFormat="1" ht="15" customHeight="1" x14ac:dyDescent="0.2">
      <c r="A85" s="200" t="s">
        <v>59</v>
      </c>
      <c r="B85" s="210">
        <v>28</v>
      </c>
      <c r="C85" s="191">
        <f>B85/C$70</f>
        <v>0.46666666666666667</v>
      </c>
      <c r="D85" s="133">
        <f>26+3</f>
        <v>29</v>
      </c>
      <c r="E85" s="192">
        <f>D85/E$70</f>
        <v>0.5178571428571429</v>
      </c>
      <c r="F85" s="134">
        <v>27</v>
      </c>
      <c r="G85" s="192">
        <f>F85/G$70</f>
        <v>0.5</v>
      </c>
      <c r="H85" s="134">
        <v>28</v>
      </c>
      <c r="I85" s="192">
        <f>H85/I$70</f>
        <v>0.50909090909090904</v>
      </c>
      <c r="J85" s="134">
        <f>0+28</f>
        <v>28</v>
      </c>
      <c r="K85" s="192">
        <f>J85/K$70</f>
        <v>0.47457627118644069</v>
      </c>
      <c r="L85" s="134">
        <f>1+28</f>
        <v>29</v>
      </c>
      <c r="M85" s="192">
        <f>L85/M$70</f>
        <v>0.5</v>
      </c>
      <c r="N85" s="134">
        <f>1+28</f>
        <v>29</v>
      </c>
      <c r="O85" s="192">
        <f>N85/O$70</f>
        <v>0.5178571428571429</v>
      </c>
      <c r="P85" s="134">
        <v>26</v>
      </c>
      <c r="Q85" s="192">
        <f>P85/Q$70</f>
        <v>0.4642857142857143</v>
      </c>
      <c r="R85" s="134">
        <v>27</v>
      </c>
      <c r="S85" s="192">
        <f>R85/S$70</f>
        <v>0.46551724137931033</v>
      </c>
      <c r="T85" s="211"/>
      <c r="U85" s="203" t="e">
        <f>T85/U$70</f>
        <v>#DIV/0!</v>
      </c>
      <c r="V85" s="666"/>
      <c r="W85" s="205">
        <f t="shared" si="25"/>
        <v>27.75</v>
      </c>
      <c r="X85" s="206" t="e">
        <f t="shared" si="25"/>
        <v>#DIV/0!</v>
      </c>
    </row>
    <row r="86" spans="1:24" s="1" customFormat="1" ht="15" customHeight="1" x14ac:dyDescent="0.2">
      <c r="A86" s="200" t="s">
        <v>60</v>
      </c>
      <c r="B86" s="210">
        <v>12</v>
      </c>
      <c r="C86" s="191">
        <f>B86/C$70</f>
        <v>0.2</v>
      </c>
      <c r="D86" s="133">
        <v>11</v>
      </c>
      <c r="E86" s="192">
        <f>D86/E$70</f>
        <v>0.19642857142857142</v>
      </c>
      <c r="F86" s="134">
        <v>11</v>
      </c>
      <c r="G86" s="192">
        <f>F86/G$70</f>
        <v>0.20370370370370369</v>
      </c>
      <c r="H86" s="134">
        <v>10</v>
      </c>
      <c r="I86" s="192">
        <f>H86/I$70</f>
        <v>0.18181818181818182</v>
      </c>
      <c r="J86" s="134">
        <f>0+13</f>
        <v>13</v>
      </c>
      <c r="K86" s="192">
        <f>J86/K$70</f>
        <v>0.22033898305084745</v>
      </c>
      <c r="L86" s="134">
        <v>11</v>
      </c>
      <c r="M86" s="192">
        <f>L86/M$70</f>
        <v>0.18965517241379309</v>
      </c>
      <c r="N86" s="134">
        <v>11</v>
      </c>
      <c r="O86" s="192">
        <f>N86/O$70</f>
        <v>0.19642857142857142</v>
      </c>
      <c r="P86" s="134">
        <v>15</v>
      </c>
      <c r="Q86" s="192">
        <f>P86/Q$70</f>
        <v>0.26785714285714285</v>
      </c>
      <c r="R86" s="134">
        <v>15</v>
      </c>
      <c r="S86" s="192">
        <f>R86/S$70</f>
        <v>0.25862068965517243</v>
      </c>
      <c r="T86" s="211"/>
      <c r="U86" s="203" t="e">
        <f>T86/U$70</f>
        <v>#DIV/0!</v>
      </c>
      <c r="V86" s="666"/>
      <c r="W86" s="205">
        <f t="shared" si="25"/>
        <v>13</v>
      </c>
      <c r="X86" s="206" t="e">
        <f t="shared" si="25"/>
        <v>#DIV/0!</v>
      </c>
    </row>
    <row r="87" spans="1:24" s="1" customFormat="1" ht="15" customHeight="1" thickBot="1" x14ac:dyDescent="0.25">
      <c r="A87" s="696" t="s">
        <v>61</v>
      </c>
      <c r="B87" s="729">
        <v>20</v>
      </c>
      <c r="C87" s="724">
        <f>B87/C$70</f>
        <v>0.33333333333333331</v>
      </c>
      <c r="D87" s="910">
        <f>5+6+5</f>
        <v>16</v>
      </c>
      <c r="E87" s="725">
        <f>D87/E$70</f>
        <v>0.2857142857142857</v>
      </c>
      <c r="F87" s="911">
        <v>16</v>
      </c>
      <c r="G87" s="725">
        <f>F87/G$70</f>
        <v>0.29629629629629628</v>
      </c>
      <c r="H87" s="911">
        <v>17</v>
      </c>
      <c r="I87" s="725">
        <f>H87/I$70</f>
        <v>0.30909090909090908</v>
      </c>
      <c r="J87" s="911">
        <f>8+10</f>
        <v>18</v>
      </c>
      <c r="K87" s="725">
        <f>J87/K$70</f>
        <v>0.30508474576271188</v>
      </c>
      <c r="L87" s="911">
        <v>18</v>
      </c>
      <c r="M87" s="725">
        <f>L87/M$70</f>
        <v>0.31034482758620691</v>
      </c>
      <c r="N87" s="911">
        <f>5+11</f>
        <v>16</v>
      </c>
      <c r="O87" s="725">
        <f>N87/O$70</f>
        <v>0.2857142857142857</v>
      </c>
      <c r="P87" s="911">
        <v>15</v>
      </c>
      <c r="Q87" s="725">
        <f>P87/Q$70</f>
        <v>0.26785714285714285</v>
      </c>
      <c r="R87" s="911">
        <v>16</v>
      </c>
      <c r="S87" s="725">
        <f>R87/S$70</f>
        <v>0.27586206896551724</v>
      </c>
      <c r="T87" s="730"/>
      <c r="U87" s="726" t="e">
        <f>T87/U$70</f>
        <v>#DIV/0!</v>
      </c>
      <c r="V87" s="666"/>
      <c r="W87" s="727">
        <f t="shared" si="25"/>
        <v>16.25</v>
      </c>
      <c r="X87" s="728" t="e">
        <f t="shared" si="25"/>
        <v>#DIV/0!</v>
      </c>
    </row>
    <row r="88" spans="1:24" s="1" customFormat="1" ht="18" customHeight="1" x14ac:dyDescent="0.2">
      <c r="A88" s="680" t="s">
        <v>62</v>
      </c>
      <c r="B88" s="738"/>
      <c r="C88" s="739"/>
      <c r="D88" s="917"/>
      <c r="E88" s="740"/>
      <c r="F88" s="918"/>
      <c r="G88" s="740"/>
      <c r="H88" s="918"/>
      <c r="I88" s="740"/>
      <c r="J88" s="918"/>
      <c r="K88" s="740"/>
      <c r="L88" s="918"/>
      <c r="M88" s="740"/>
      <c r="N88" s="918"/>
      <c r="O88" s="740"/>
      <c r="P88" s="918"/>
      <c r="Q88" s="740"/>
      <c r="R88" s="918"/>
      <c r="S88" s="740"/>
      <c r="T88" s="741"/>
      <c r="U88" s="742"/>
      <c r="V88" s="666"/>
      <c r="W88" s="736"/>
      <c r="X88" s="737"/>
    </row>
    <row r="89" spans="1:24" s="1" customFormat="1" ht="15" customHeight="1" x14ac:dyDescent="0.2">
      <c r="A89" s="200" t="s">
        <v>63</v>
      </c>
      <c r="B89" s="210">
        <v>58</v>
      </c>
      <c r="C89" s="191">
        <f>B89/C$70</f>
        <v>0.96666666666666667</v>
      </c>
      <c r="D89" s="133">
        <f>3+40+8</f>
        <v>51</v>
      </c>
      <c r="E89" s="192">
        <f>D89/E$70</f>
        <v>0.9107142857142857</v>
      </c>
      <c r="F89" s="134">
        <v>49</v>
      </c>
      <c r="G89" s="192">
        <f>F89/G$70</f>
        <v>0.90740740740740744</v>
      </c>
      <c r="H89" s="134">
        <v>51</v>
      </c>
      <c r="I89" s="192">
        <f>H89/I$70</f>
        <v>0.92727272727272725</v>
      </c>
      <c r="J89" s="134">
        <f>6+49</f>
        <v>55</v>
      </c>
      <c r="K89" s="192">
        <f>J89/K$70</f>
        <v>0.93220338983050843</v>
      </c>
      <c r="L89" s="134">
        <f>7+47</f>
        <v>54</v>
      </c>
      <c r="M89" s="192">
        <f>L89/M$70</f>
        <v>0.93103448275862066</v>
      </c>
      <c r="N89" s="134">
        <f>4+49</f>
        <v>53</v>
      </c>
      <c r="O89" s="192">
        <f>N89/O$70</f>
        <v>0.9464285714285714</v>
      </c>
      <c r="P89" s="134">
        <v>52</v>
      </c>
      <c r="Q89" s="192">
        <f>P89/Q$70</f>
        <v>0.9285714285714286</v>
      </c>
      <c r="R89" s="134">
        <v>55</v>
      </c>
      <c r="S89" s="192">
        <f>R89/S$70</f>
        <v>0.94827586206896552</v>
      </c>
      <c r="T89" s="211"/>
      <c r="U89" s="203" t="e">
        <f>T89/U$70</f>
        <v>#DIV/0!</v>
      </c>
      <c r="V89" s="666"/>
      <c r="W89" s="205">
        <f t="shared" si="25"/>
        <v>53.5</v>
      </c>
      <c r="X89" s="206" t="e">
        <f t="shared" si="25"/>
        <v>#DIV/0!</v>
      </c>
    </row>
    <row r="90" spans="1:24" s="1" customFormat="1" ht="15" customHeight="1" x14ac:dyDescent="0.2">
      <c r="A90" s="200" t="s">
        <v>64</v>
      </c>
      <c r="B90" s="210">
        <v>2</v>
      </c>
      <c r="C90" s="191">
        <f>B90/C$70</f>
        <v>3.3333333333333333E-2</v>
      </c>
      <c r="D90" s="133">
        <f>2+3</f>
        <v>5</v>
      </c>
      <c r="E90" s="192">
        <f>D90/E$70</f>
        <v>8.9285714285714288E-2</v>
      </c>
      <c r="F90" s="134">
        <v>5</v>
      </c>
      <c r="G90" s="192">
        <f>F90/G$70</f>
        <v>9.2592592592592587E-2</v>
      </c>
      <c r="H90" s="134">
        <v>4</v>
      </c>
      <c r="I90" s="192">
        <f>H90/I$70</f>
        <v>7.2727272727272724E-2</v>
      </c>
      <c r="J90" s="134">
        <f>2+2</f>
        <v>4</v>
      </c>
      <c r="K90" s="192">
        <f>J90/K$70</f>
        <v>6.7796610169491525E-2</v>
      </c>
      <c r="L90" s="134">
        <f>2+2</f>
        <v>4</v>
      </c>
      <c r="M90" s="192">
        <f>L90/M$70</f>
        <v>6.8965517241379309E-2</v>
      </c>
      <c r="N90" s="134">
        <f>2+1</f>
        <v>3</v>
      </c>
      <c r="O90" s="192">
        <f>N90/O$70</f>
        <v>5.3571428571428568E-2</v>
      </c>
      <c r="P90" s="134">
        <v>4</v>
      </c>
      <c r="Q90" s="192">
        <f>P90/Q$70</f>
        <v>7.1428571428571425E-2</v>
      </c>
      <c r="R90" s="134">
        <v>2</v>
      </c>
      <c r="S90" s="192">
        <f>R90/S$70</f>
        <v>3.4482758620689655E-2</v>
      </c>
      <c r="T90" s="211"/>
      <c r="U90" s="203" t="e">
        <f>T90/U$70</f>
        <v>#DIV/0!</v>
      </c>
      <c r="V90" s="666"/>
      <c r="W90" s="205">
        <f t="shared" si="25"/>
        <v>3.25</v>
      </c>
      <c r="X90" s="206" t="e">
        <f t="shared" si="25"/>
        <v>#DIV/0!</v>
      </c>
    </row>
    <row r="91" spans="1:24" s="1" customFormat="1" ht="15" customHeight="1" x14ac:dyDescent="0.2">
      <c r="A91" s="200" t="s">
        <v>65</v>
      </c>
      <c r="B91" s="210">
        <v>0</v>
      </c>
      <c r="C91" s="191">
        <f>B91/C$70</f>
        <v>0</v>
      </c>
      <c r="D91" s="133">
        <v>0</v>
      </c>
      <c r="E91" s="192">
        <f>D91/E$70</f>
        <v>0</v>
      </c>
      <c r="F91" s="134">
        <v>0</v>
      </c>
      <c r="G91" s="192">
        <f>F91/G$70</f>
        <v>0</v>
      </c>
      <c r="H91" s="134">
        <v>0</v>
      </c>
      <c r="I91" s="192">
        <f>H91/I$70</f>
        <v>0</v>
      </c>
      <c r="J91" s="134">
        <v>0</v>
      </c>
      <c r="K91" s="192">
        <f>J91/K$70</f>
        <v>0</v>
      </c>
      <c r="L91" s="134">
        <v>0</v>
      </c>
      <c r="M91" s="192">
        <f>L91/M$70</f>
        <v>0</v>
      </c>
      <c r="N91" s="134">
        <v>0</v>
      </c>
      <c r="O91" s="192">
        <f>N91/O$70</f>
        <v>0</v>
      </c>
      <c r="P91" s="134">
        <v>0</v>
      </c>
      <c r="Q91" s="192">
        <f>P91/Q$70</f>
        <v>0</v>
      </c>
      <c r="R91" s="134">
        <v>1</v>
      </c>
      <c r="S91" s="192">
        <f>R91/S$70</f>
        <v>1.7241379310344827E-2</v>
      </c>
      <c r="T91" s="211"/>
      <c r="U91" s="203" t="e">
        <f>T91/U$70</f>
        <v>#DIV/0!</v>
      </c>
      <c r="V91" s="195"/>
      <c r="W91" s="205">
        <f t="shared" si="25"/>
        <v>0.25</v>
      </c>
      <c r="X91" s="206" t="e">
        <f t="shared" si="25"/>
        <v>#DIV/0!</v>
      </c>
    </row>
    <row r="92" spans="1:24" s="1" customFormat="1" ht="15" customHeight="1" thickBot="1" x14ac:dyDescent="0.25">
      <c r="A92" s="212" t="s">
        <v>66</v>
      </c>
      <c r="B92" s="246">
        <v>0</v>
      </c>
      <c r="C92" s="214">
        <f>B92/C$70</f>
        <v>0</v>
      </c>
      <c r="D92" s="159">
        <v>0</v>
      </c>
      <c r="E92" s="215">
        <f>D92/E$70</f>
        <v>0</v>
      </c>
      <c r="F92" s="163">
        <v>0</v>
      </c>
      <c r="G92" s="215">
        <f>F92/G$70</f>
        <v>0</v>
      </c>
      <c r="H92" s="163">
        <v>0</v>
      </c>
      <c r="I92" s="215">
        <f>H92/I$70</f>
        <v>0</v>
      </c>
      <c r="J92" s="163">
        <v>0</v>
      </c>
      <c r="K92" s="215">
        <f>J92/K$70</f>
        <v>0</v>
      </c>
      <c r="L92" s="163">
        <v>0</v>
      </c>
      <c r="M92" s="215">
        <f>L92/M$70</f>
        <v>0</v>
      </c>
      <c r="N92" s="163">
        <v>0</v>
      </c>
      <c r="O92" s="215">
        <f>N92/O$70</f>
        <v>0</v>
      </c>
      <c r="P92" s="163">
        <v>0</v>
      </c>
      <c r="Q92" s="215">
        <f>P92/Q$70</f>
        <v>0</v>
      </c>
      <c r="R92" s="163">
        <v>0</v>
      </c>
      <c r="S92" s="215">
        <f>R92/S$70</f>
        <v>0</v>
      </c>
      <c r="T92" s="217"/>
      <c r="U92" s="218" t="e">
        <f>T92/U$70</f>
        <v>#DIV/0!</v>
      </c>
      <c r="V92" s="195"/>
      <c r="W92" s="219">
        <f t="shared" si="25"/>
        <v>0</v>
      </c>
      <c r="X92" s="220" t="e">
        <f t="shared" si="25"/>
        <v>#DIV/0!</v>
      </c>
    </row>
    <row r="93" spans="1:24" ht="13.5" thickTop="1" x14ac:dyDescent="0.2">
      <c r="A93" s="743" t="s">
        <v>248</v>
      </c>
    </row>
    <row r="94" spans="1:24" x14ac:dyDescent="0.2">
      <c r="A94" s="1"/>
      <c r="H94" s="65" t="s">
        <v>19</v>
      </c>
      <c r="J94" s="65" t="s">
        <v>19</v>
      </c>
      <c r="L94" s="65" t="s">
        <v>19</v>
      </c>
      <c r="N94" s="65" t="s">
        <v>19</v>
      </c>
      <c r="P94" s="65" t="s">
        <v>19</v>
      </c>
      <c r="R94" s="65" t="s">
        <v>19</v>
      </c>
      <c r="T94" s="65" t="s">
        <v>19</v>
      </c>
    </row>
    <row r="95" spans="1:24" x14ac:dyDescent="0.2">
      <c r="A95" s="1"/>
    </row>
    <row r="96" spans="1:24" x14ac:dyDescent="0.2">
      <c r="A96" s="1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x14ac:dyDescent="0.2">
      <c r="A100" s="1"/>
    </row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x14ac:dyDescent="0.2">
      <c r="A107" s="1"/>
    </row>
    <row r="108" spans="1:1" x14ac:dyDescent="0.2">
      <c r="A108" s="1"/>
    </row>
    <row r="109" spans="1:1" x14ac:dyDescent="0.2">
      <c r="A109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x14ac:dyDescent="0.2">
      <c r="A120" s="1"/>
    </row>
    <row r="121" spans="1:1" x14ac:dyDescent="0.2">
      <c r="A121" s="1"/>
    </row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x14ac:dyDescent="0.2">
      <c r="A128" s="1"/>
    </row>
    <row r="129" spans="1:1" x14ac:dyDescent="0.2">
      <c r="A129" s="1"/>
    </row>
    <row r="130" spans="1:1" x14ac:dyDescent="0.2">
      <c r="A130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x14ac:dyDescent="0.2">
      <c r="A152" s="1"/>
    </row>
    <row r="153" spans="1:1" x14ac:dyDescent="0.2">
      <c r="A153" s="1"/>
    </row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  <row r="177" spans="1:1" x14ac:dyDescent="0.2">
      <c r="A177" s="1"/>
    </row>
    <row r="178" spans="1:1" x14ac:dyDescent="0.2">
      <c r="A178" s="1"/>
    </row>
    <row r="179" spans="1:1" x14ac:dyDescent="0.2">
      <c r="A179" s="1"/>
    </row>
    <row r="180" spans="1:1" x14ac:dyDescent="0.2">
      <c r="A180" s="1"/>
    </row>
    <row r="181" spans="1:1" x14ac:dyDescent="0.2">
      <c r="A181" s="1"/>
    </row>
    <row r="182" spans="1:1" x14ac:dyDescent="0.2">
      <c r="A182" s="1"/>
    </row>
    <row r="183" spans="1:1" x14ac:dyDescent="0.2">
      <c r="A183" s="1"/>
    </row>
    <row r="184" spans="1:1" x14ac:dyDescent="0.2">
      <c r="A184" s="1"/>
    </row>
    <row r="185" spans="1:1" x14ac:dyDescent="0.2">
      <c r="A185" s="1"/>
    </row>
    <row r="186" spans="1:1" x14ac:dyDescent="0.2">
      <c r="A186" s="1"/>
    </row>
    <row r="187" spans="1:1" x14ac:dyDescent="0.2">
      <c r="A187" s="1"/>
    </row>
    <row r="188" spans="1:1" x14ac:dyDescent="0.2">
      <c r="A188" s="1"/>
    </row>
    <row r="189" spans="1:1" x14ac:dyDescent="0.2">
      <c r="A189" s="1"/>
    </row>
    <row r="190" spans="1:1" x14ac:dyDescent="0.2">
      <c r="A190" s="1"/>
    </row>
    <row r="191" spans="1:1" x14ac:dyDescent="0.2">
      <c r="A191" s="1"/>
    </row>
    <row r="192" spans="1:1" x14ac:dyDescent="0.2">
      <c r="A192" s="1"/>
    </row>
    <row r="193" spans="1:1" x14ac:dyDescent="0.2">
      <c r="A193" s="1"/>
    </row>
    <row r="194" spans="1:1" x14ac:dyDescent="0.2">
      <c r="A194" s="1"/>
    </row>
    <row r="195" spans="1:1" x14ac:dyDescent="0.2">
      <c r="A195" s="1"/>
    </row>
    <row r="196" spans="1:1" x14ac:dyDescent="0.2">
      <c r="A196" s="1"/>
    </row>
    <row r="197" spans="1:1" x14ac:dyDescent="0.2">
      <c r="A197" s="1"/>
    </row>
    <row r="198" spans="1:1" x14ac:dyDescent="0.2">
      <c r="A198" s="1"/>
    </row>
    <row r="199" spans="1:1" x14ac:dyDescent="0.2">
      <c r="A199" s="1"/>
    </row>
    <row r="200" spans="1:1" x14ac:dyDescent="0.2">
      <c r="A200" s="1"/>
    </row>
    <row r="201" spans="1:1" x14ac:dyDescent="0.2">
      <c r="A201" s="1"/>
    </row>
    <row r="202" spans="1:1" x14ac:dyDescent="0.2">
      <c r="A202" s="1"/>
    </row>
    <row r="203" spans="1:1" x14ac:dyDescent="0.2">
      <c r="A203" s="1"/>
    </row>
    <row r="204" spans="1:1" x14ac:dyDescent="0.2">
      <c r="A204" s="1"/>
    </row>
    <row r="205" spans="1:1" x14ac:dyDescent="0.2">
      <c r="A205" s="1"/>
    </row>
    <row r="206" spans="1:1" x14ac:dyDescent="0.2">
      <c r="A206" s="1"/>
    </row>
    <row r="207" spans="1:1" x14ac:dyDescent="0.2">
      <c r="A207" s="1"/>
    </row>
    <row r="208" spans="1:1" x14ac:dyDescent="0.2">
      <c r="A208" s="1"/>
    </row>
    <row r="209" spans="1:1" x14ac:dyDescent="0.2">
      <c r="A209" s="1"/>
    </row>
    <row r="210" spans="1:1" x14ac:dyDescent="0.2">
      <c r="A210" s="1"/>
    </row>
    <row r="211" spans="1:1" x14ac:dyDescent="0.2">
      <c r="A211" s="1"/>
    </row>
    <row r="212" spans="1:1" x14ac:dyDescent="0.2">
      <c r="A212" s="1"/>
    </row>
    <row r="213" spans="1:1" x14ac:dyDescent="0.2">
      <c r="A213" s="1"/>
    </row>
    <row r="214" spans="1:1" x14ac:dyDescent="0.2">
      <c r="A214" s="1"/>
    </row>
    <row r="215" spans="1:1" x14ac:dyDescent="0.2">
      <c r="A215" s="1"/>
    </row>
    <row r="216" spans="1:1" x14ac:dyDescent="0.2">
      <c r="A216" s="1"/>
    </row>
    <row r="217" spans="1:1" x14ac:dyDescent="0.2">
      <c r="A217" s="1"/>
    </row>
    <row r="218" spans="1:1" x14ac:dyDescent="0.2">
      <c r="A218" s="1"/>
    </row>
    <row r="219" spans="1:1" x14ac:dyDescent="0.2">
      <c r="A219" s="1"/>
    </row>
    <row r="220" spans="1:1" x14ac:dyDescent="0.2">
      <c r="A220" s="1"/>
    </row>
    <row r="221" spans="1:1" x14ac:dyDescent="0.2">
      <c r="A221" s="1"/>
    </row>
    <row r="222" spans="1:1" x14ac:dyDescent="0.2">
      <c r="A222" s="1"/>
    </row>
    <row r="223" spans="1:1" x14ac:dyDescent="0.2">
      <c r="A223" s="1"/>
    </row>
    <row r="224" spans="1:1" x14ac:dyDescent="0.2">
      <c r="A224" s="1"/>
    </row>
    <row r="225" spans="1:1" x14ac:dyDescent="0.2">
      <c r="A225" s="1"/>
    </row>
    <row r="226" spans="1:1" x14ac:dyDescent="0.2">
      <c r="A226" s="1"/>
    </row>
    <row r="227" spans="1:1" x14ac:dyDescent="0.2">
      <c r="A227" s="1"/>
    </row>
    <row r="228" spans="1:1" x14ac:dyDescent="0.2">
      <c r="A228" s="1"/>
    </row>
    <row r="229" spans="1:1" x14ac:dyDescent="0.2">
      <c r="A229" s="1"/>
    </row>
    <row r="230" spans="1:1" x14ac:dyDescent="0.2">
      <c r="A230" s="1"/>
    </row>
    <row r="231" spans="1:1" x14ac:dyDescent="0.2">
      <c r="A231" s="1"/>
    </row>
    <row r="232" spans="1:1" x14ac:dyDescent="0.2">
      <c r="A232" s="1"/>
    </row>
    <row r="233" spans="1:1" x14ac:dyDescent="0.2">
      <c r="A233" s="1"/>
    </row>
    <row r="234" spans="1:1" x14ac:dyDescent="0.2">
      <c r="A234" s="1"/>
    </row>
    <row r="235" spans="1:1" x14ac:dyDescent="0.2">
      <c r="A235" s="1"/>
    </row>
    <row r="236" spans="1:1" x14ac:dyDescent="0.2">
      <c r="A236" s="1"/>
    </row>
    <row r="237" spans="1:1" x14ac:dyDescent="0.2">
      <c r="A237" s="1"/>
    </row>
    <row r="238" spans="1:1" x14ac:dyDescent="0.2">
      <c r="A238" s="1"/>
    </row>
    <row r="239" spans="1:1" x14ac:dyDescent="0.2">
      <c r="A239" s="1"/>
    </row>
    <row r="240" spans="1:1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6" spans="1:1" x14ac:dyDescent="0.2">
      <c r="A296" s="1"/>
    </row>
    <row r="297" spans="1:1" x14ac:dyDescent="0.2">
      <c r="A297" s="1"/>
    </row>
    <row r="298" spans="1:1" x14ac:dyDescent="0.2">
      <c r="A298" s="1"/>
    </row>
    <row r="299" spans="1:1" x14ac:dyDescent="0.2">
      <c r="A299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  <row r="303" spans="1:1" x14ac:dyDescent="0.2">
      <c r="A303" s="1"/>
    </row>
    <row r="304" spans="1:1" x14ac:dyDescent="0.2">
      <c r="A304" s="1"/>
    </row>
    <row r="305" spans="1:1" x14ac:dyDescent="0.2">
      <c r="A305" s="1"/>
    </row>
    <row r="306" spans="1:1" x14ac:dyDescent="0.2">
      <c r="A306" s="1"/>
    </row>
    <row r="307" spans="1:1" x14ac:dyDescent="0.2">
      <c r="A307" s="1"/>
    </row>
    <row r="308" spans="1:1" x14ac:dyDescent="0.2">
      <c r="A308" s="1"/>
    </row>
    <row r="309" spans="1:1" x14ac:dyDescent="0.2">
      <c r="A309" s="1"/>
    </row>
    <row r="310" spans="1:1" x14ac:dyDescent="0.2">
      <c r="A310" s="1"/>
    </row>
    <row r="311" spans="1:1" x14ac:dyDescent="0.2">
      <c r="A311" s="1"/>
    </row>
    <row r="312" spans="1:1" x14ac:dyDescent="0.2">
      <c r="A312" s="1"/>
    </row>
    <row r="313" spans="1:1" x14ac:dyDescent="0.2">
      <c r="A313" s="1"/>
    </row>
    <row r="314" spans="1:1" x14ac:dyDescent="0.2">
      <c r="A314" s="1"/>
    </row>
    <row r="315" spans="1:1" x14ac:dyDescent="0.2">
      <c r="A315" s="1"/>
    </row>
    <row r="316" spans="1:1" x14ac:dyDescent="0.2">
      <c r="A316" s="1"/>
    </row>
    <row r="317" spans="1:1" x14ac:dyDescent="0.2">
      <c r="A317" s="1"/>
    </row>
    <row r="318" spans="1:1" x14ac:dyDescent="0.2">
      <c r="A318" s="1"/>
    </row>
    <row r="319" spans="1:1" x14ac:dyDescent="0.2">
      <c r="A319" s="1"/>
    </row>
    <row r="320" spans="1:1" x14ac:dyDescent="0.2">
      <c r="A320" s="1"/>
    </row>
    <row r="321" spans="1:1" x14ac:dyDescent="0.2">
      <c r="A321" s="1"/>
    </row>
    <row r="322" spans="1:1" x14ac:dyDescent="0.2">
      <c r="A322" s="1"/>
    </row>
    <row r="323" spans="1:1" x14ac:dyDescent="0.2">
      <c r="A323" s="1"/>
    </row>
    <row r="324" spans="1:1" x14ac:dyDescent="0.2">
      <c r="A324" s="1"/>
    </row>
    <row r="325" spans="1:1" x14ac:dyDescent="0.2">
      <c r="A325" s="1"/>
    </row>
    <row r="326" spans="1:1" x14ac:dyDescent="0.2">
      <c r="A326" s="1"/>
    </row>
    <row r="327" spans="1:1" x14ac:dyDescent="0.2">
      <c r="A327" s="1"/>
    </row>
    <row r="328" spans="1:1" x14ac:dyDescent="0.2">
      <c r="A328" s="1"/>
    </row>
    <row r="329" spans="1:1" x14ac:dyDescent="0.2">
      <c r="A329" s="1"/>
    </row>
    <row r="330" spans="1:1" x14ac:dyDescent="0.2">
      <c r="A330" s="1"/>
    </row>
    <row r="331" spans="1:1" x14ac:dyDescent="0.2">
      <c r="A331" s="1"/>
    </row>
    <row r="332" spans="1:1" x14ac:dyDescent="0.2">
      <c r="A332" s="1"/>
    </row>
    <row r="333" spans="1:1" x14ac:dyDescent="0.2">
      <c r="A333" s="1"/>
    </row>
    <row r="334" spans="1:1" x14ac:dyDescent="0.2">
      <c r="A334" s="1"/>
    </row>
    <row r="335" spans="1:1" x14ac:dyDescent="0.2">
      <c r="A335" s="1"/>
    </row>
    <row r="336" spans="1:1" x14ac:dyDescent="0.2">
      <c r="A336" s="1"/>
    </row>
    <row r="337" spans="1:1" x14ac:dyDescent="0.2">
      <c r="A337" s="1"/>
    </row>
    <row r="338" spans="1:1" x14ac:dyDescent="0.2">
      <c r="A338" s="1"/>
    </row>
    <row r="339" spans="1:1" x14ac:dyDescent="0.2">
      <c r="A339" s="1"/>
    </row>
    <row r="340" spans="1:1" x14ac:dyDescent="0.2">
      <c r="A340" s="1"/>
    </row>
    <row r="341" spans="1:1" x14ac:dyDescent="0.2">
      <c r="A341" s="1"/>
    </row>
    <row r="342" spans="1:1" x14ac:dyDescent="0.2">
      <c r="A342" s="1"/>
    </row>
    <row r="343" spans="1:1" x14ac:dyDescent="0.2">
      <c r="A343" s="1"/>
    </row>
    <row r="344" spans="1:1" x14ac:dyDescent="0.2">
      <c r="A344" s="1"/>
    </row>
    <row r="345" spans="1:1" x14ac:dyDescent="0.2">
      <c r="A345" s="1"/>
    </row>
    <row r="346" spans="1:1" x14ac:dyDescent="0.2">
      <c r="A346" s="1"/>
    </row>
    <row r="347" spans="1:1" x14ac:dyDescent="0.2">
      <c r="A347" s="1"/>
    </row>
    <row r="348" spans="1:1" x14ac:dyDescent="0.2">
      <c r="A348" s="1"/>
    </row>
    <row r="349" spans="1:1" x14ac:dyDescent="0.2">
      <c r="A349" s="1"/>
    </row>
    <row r="350" spans="1:1" x14ac:dyDescent="0.2">
      <c r="A350" s="1"/>
    </row>
    <row r="351" spans="1:1" x14ac:dyDescent="0.2">
      <c r="A351" s="1"/>
    </row>
    <row r="352" spans="1:1" x14ac:dyDescent="0.2">
      <c r="A352" s="1"/>
    </row>
    <row r="353" spans="1:1" x14ac:dyDescent="0.2">
      <c r="A353" s="1"/>
    </row>
    <row r="354" spans="1:1" x14ac:dyDescent="0.2">
      <c r="A354" s="1"/>
    </row>
    <row r="355" spans="1:1" x14ac:dyDescent="0.2">
      <c r="A355" s="1"/>
    </row>
    <row r="356" spans="1:1" x14ac:dyDescent="0.2">
      <c r="A356" s="1"/>
    </row>
    <row r="357" spans="1:1" x14ac:dyDescent="0.2">
      <c r="A357" s="1"/>
    </row>
    <row r="358" spans="1:1" x14ac:dyDescent="0.2">
      <c r="A358" s="1"/>
    </row>
    <row r="359" spans="1:1" x14ac:dyDescent="0.2">
      <c r="A359" s="1"/>
    </row>
    <row r="360" spans="1:1" x14ac:dyDescent="0.2">
      <c r="A360" s="1"/>
    </row>
    <row r="361" spans="1:1" x14ac:dyDescent="0.2">
      <c r="A361" s="1"/>
    </row>
    <row r="362" spans="1:1" x14ac:dyDescent="0.2">
      <c r="A362" s="1"/>
    </row>
    <row r="363" spans="1:1" x14ac:dyDescent="0.2">
      <c r="A363" s="1"/>
    </row>
    <row r="364" spans="1:1" x14ac:dyDescent="0.2">
      <c r="A364" s="1"/>
    </row>
    <row r="365" spans="1:1" x14ac:dyDescent="0.2">
      <c r="A365" s="1"/>
    </row>
    <row r="366" spans="1:1" x14ac:dyDescent="0.2">
      <c r="A366" s="1"/>
    </row>
    <row r="367" spans="1:1" x14ac:dyDescent="0.2">
      <c r="A367" s="1"/>
    </row>
    <row r="368" spans="1:1" x14ac:dyDescent="0.2">
      <c r="A368" s="1"/>
    </row>
    <row r="369" spans="1:1" x14ac:dyDescent="0.2">
      <c r="A369" s="1"/>
    </row>
    <row r="370" spans="1:1" x14ac:dyDescent="0.2">
      <c r="A370" s="1"/>
    </row>
    <row r="371" spans="1:1" x14ac:dyDescent="0.2">
      <c r="A371" s="1"/>
    </row>
    <row r="372" spans="1:1" x14ac:dyDescent="0.2">
      <c r="A372" s="1"/>
    </row>
    <row r="373" spans="1:1" x14ac:dyDescent="0.2">
      <c r="A373" s="1"/>
    </row>
    <row r="374" spans="1:1" x14ac:dyDescent="0.2">
      <c r="A374" s="1"/>
    </row>
    <row r="375" spans="1:1" x14ac:dyDescent="0.2">
      <c r="A375" s="1"/>
    </row>
    <row r="376" spans="1:1" x14ac:dyDescent="0.2">
      <c r="A376" s="1"/>
    </row>
    <row r="377" spans="1:1" x14ac:dyDescent="0.2">
      <c r="A377" s="1"/>
    </row>
    <row r="378" spans="1:1" x14ac:dyDescent="0.2">
      <c r="A378" s="1"/>
    </row>
    <row r="379" spans="1:1" x14ac:dyDescent="0.2">
      <c r="A379" s="1"/>
    </row>
    <row r="380" spans="1:1" x14ac:dyDescent="0.2">
      <c r="A380" s="1"/>
    </row>
    <row r="381" spans="1:1" x14ac:dyDescent="0.2">
      <c r="A381" s="1"/>
    </row>
    <row r="382" spans="1:1" x14ac:dyDescent="0.2">
      <c r="A382" s="1"/>
    </row>
    <row r="383" spans="1:1" x14ac:dyDescent="0.2">
      <c r="A383" s="1"/>
    </row>
    <row r="384" spans="1:1" x14ac:dyDescent="0.2">
      <c r="A384" s="1"/>
    </row>
    <row r="385" spans="1:1" x14ac:dyDescent="0.2">
      <c r="A385" s="1"/>
    </row>
    <row r="386" spans="1:1" x14ac:dyDescent="0.2">
      <c r="A386" s="1"/>
    </row>
    <row r="387" spans="1:1" x14ac:dyDescent="0.2">
      <c r="A387" s="1"/>
    </row>
    <row r="388" spans="1:1" x14ac:dyDescent="0.2">
      <c r="A388" s="1"/>
    </row>
    <row r="389" spans="1:1" x14ac:dyDescent="0.2">
      <c r="A389" s="1"/>
    </row>
    <row r="390" spans="1:1" x14ac:dyDescent="0.2">
      <c r="A390" s="1"/>
    </row>
    <row r="391" spans="1:1" x14ac:dyDescent="0.2">
      <c r="A391" s="1"/>
    </row>
    <row r="392" spans="1:1" x14ac:dyDescent="0.2">
      <c r="A392" s="1"/>
    </row>
    <row r="393" spans="1:1" x14ac:dyDescent="0.2">
      <c r="A393" s="1"/>
    </row>
    <row r="394" spans="1:1" x14ac:dyDescent="0.2">
      <c r="A394" s="1"/>
    </row>
    <row r="395" spans="1:1" x14ac:dyDescent="0.2">
      <c r="A395" s="1"/>
    </row>
    <row r="396" spans="1:1" x14ac:dyDescent="0.2">
      <c r="A396" s="1"/>
    </row>
    <row r="397" spans="1:1" x14ac:dyDescent="0.2">
      <c r="A397" s="1"/>
    </row>
    <row r="398" spans="1:1" x14ac:dyDescent="0.2">
      <c r="A398" s="1"/>
    </row>
    <row r="399" spans="1:1" x14ac:dyDescent="0.2">
      <c r="A399" s="1"/>
    </row>
    <row r="400" spans="1:1" x14ac:dyDescent="0.2">
      <c r="A400" s="1"/>
    </row>
    <row r="401" spans="1:1" x14ac:dyDescent="0.2">
      <c r="A401" s="1"/>
    </row>
    <row r="402" spans="1:1" x14ac:dyDescent="0.2">
      <c r="A402" s="1"/>
    </row>
    <row r="403" spans="1:1" x14ac:dyDescent="0.2">
      <c r="A403" s="1"/>
    </row>
    <row r="404" spans="1:1" x14ac:dyDescent="0.2">
      <c r="A404" s="1"/>
    </row>
    <row r="405" spans="1:1" x14ac:dyDescent="0.2">
      <c r="A405" s="1"/>
    </row>
    <row r="406" spans="1:1" x14ac:dyDescent="0.2">
      <c r="A406" s="1"/>
    </row>
    <row r="407" spans="1:1" x14ac:dyDescent="0.2">
      <c r="A407" s="1"/>
    </row>
    <row r="408" spans="1:1" x14ac:dyDescent="0.2">
      <c r="A408" s="1"/>
    </row>
    <row r="409" spans="1:1" x14ac:dyDescent="0.2">
      <c r="A409" s="1"/>
    </row>
    <row r="410" spans="1:1" x14ac:dyDescent="0.2">
      <c r="A410" s="1"/>
    </row>
    <row r="411" spans="1:1" x14ac:dyDescent="0.2">
      <c r="A411" s="1"/>
    </row>
    <row r="412" spans="1:1" x14ac:dyDescent="0.2">
      <c r="A412" s="1"/>
    </row>
    <row r="413" spans="1:1" x14ac:dyDescent="0.2">
      <c r="A413" s="1"/>
    </row>
    <row r="414" spans="1:1" x14ac:dyDescent="0.2">
      <c r="A414" s="1"/>
    </row>
    <row r="415" spans="1:1" x14ac:dyDescent="0.2">
      <c r="A415" s="1"/>
    </row>
    <row r="416" spans="1:1" x14ac:dyDescent="0.2">
      <c r="A416" s="1"/>
    </row>
    <row r="417" spans="1:1" x14ac:dyDescent="0.2">
      <c r="A417" s="1"/>
    </row>
    <row r="418" spans="1:1" x14ac:dyDescent="0.2">
      <c r="A418" s="1"/>
    </row>
    <row r="419" spans="1:1" x14ac:dyDescent="0.2">
      <c r="A419" s="1"/>
    </row>
    <row r="420" spans="1:1" x14ac:dyDescent="0.2">
      <c r="A420" s="1"/>
    </row>
    <row r="421" spans="1:1" x14ac:dyDescent="0.2">
      <c r="A421" s="1"/>
    </row>
    <row r="422" spans="1:1" x14ac:dyDescent="0.2">
      <c r="A422" s="1"/>
    </row>
    <row r="423" spans="1:1" x14ac:dyDescent="0.2">
      <c r="A423" s="1"/>
    </row>
    <row r="424" spans="1:1" x14ac:dyDescent="0.2">
      <c r="A424" s="1"/>
    </row>
    <row r="425" spans="1:1" x14ac:dyDescent="0.2">
      <c r="A425" s="1"/>
    </row>
    <row r="426" spans="1:1" x14ac:dyDescent="0.2">
      <c r="A426" s="1"/>
    </row>
    <row r="427" spans="1:1" x14ac:dyDescent="0.2">
      <c r="A427" s="1"/>
    </row>
    <row r="428" spans="1:1" x14ac:dyDescent="0.2">
      <c r="A428" s="1"/>
    </row>
    <row r="429" spans="1:1" x14ac:dyDescent="0.2">
      <c r="A429" s="1"/>
    </row>
    <row r="430" spans="1:1" x14ac:dyDescent="0.2">
      <c r="A430" s="1"/>
    </row>
    <row r="431" spans="1:1" x14ac:dyDescent="0.2">
      <c r="A431" s="1"/>
    </row>
    <row r="432" spans="1:1" x14ac:dyDescent="0.2">
      <c r="A432" s="1"/>
    </row>
    <row r="433" spans="1:1" x14ac:dyDescent="0.2">
      <c r="A433" s="1"/>
    </row>
    <row r="434" spans="1:1" x14ac:dyDescent="0.2">
      <c r="A434" s="1"/>
    </row>
    <row r="435" spans="1:1" x14ac:dyDescent="0.2">
      <c r="A435" s="1"/>
    </row>
    <row r="436" spans="1:1" x14ac:dyDescent="0.2">
      <c r="A436" s="1"/>
    </row>
    <row r="437" spans="1:1" x14ac:dyDescent="0.2">
      <c r="A437" s="1"/>
    </row>
    <row r="438" spans="1:1" x14ac:dyDescent="0.2">
      <c r="A438" s="1"/>
    </row>
    <row r="439" spans="1:1" x14ac:dyDescent="0.2">
      <c r="A439" s="1"/>
    </row>
  </sheetData>
  <mergeCells count="77">
    <mergeCell ref="W9:X9"/>
    <mergeCell ref="B9:C9"/>
    <mergeCell ref="D9:E9"/>
    <mergeCell ref="F9:G9"/>
    <mergeCell ref="H9:I9"/>
    <mergeCell ref="J9:K9"/>
    <mergeCell ref="R9:S9"/>
    <mergeCell ref="T9:U9"/>
    <mergeCell ref="L27:M27"/>
    <mergeCell ref="N27:O27"/>
    <mergeCell ref="L9:M9"/>
    <mergeCell ref="N9:O9"/>
    <mergeCell ref="P9:Q9"/>
    <mergeCell ref="B27:C27"/>
    <mergeCell ref="D27:E27"/>
    <mergeCell ref="F27:G27"/>
    <mergeCell ref="H27:I27"/>
    <mergeCell ref="J27:K27"/>
    <mergeCell ref="P36:Q36"/>
    <mergeCell ref="R36:S36"/>
    <mergeCell ref="W36:X36"/>
    <mergeCell ref="R27:S27"/>
    <mergeCell ref="W27:X27"/>
    <mergeCell ref="P27:Q27"/>
    <mergeCell ref="T27:U27"/>
    <mergeCell ref="T36:U36"/>
    <mergeCell ref="J36:K36"/>
    <mergeCell ref="L36:M36"/>
    <mergeCell ref="N36:O36"/>
    <mergeCell ref="B36:C36"/>
    <mergeCell ref="D36:E36"/>
    <mergeCell ref="F36:G36"/>
    <mergeCell ref="H36:I36"/>
    <mergeCell ref="B48:C48"/>
    <mergeCell ref="D48:E48"/>
    <mergeCell ref="F48:G48"/>
    <mergeCell ref="H48:I48"/>
    <mergeCell ref="P48:Q48"/>
    <mergeCell ref="J48:K48"/>
    <mergeCell ref="L48:M48"/>
    <mergeCell ref="N48:O48"/>
    <mergeCell ref="R40:S40"/>
    <mergeCell ref="W40:X40"/>
    <mergeCell ref="P40:Q40"/>
    <mergeCell ref="B40:C40"/>
    <mergeCell ref="D40:E40"/>
    <mergeCell ref="F40:G40"/>
    <mergeCell ref="H40:I40"/>
    <mergeCell ref="J40:K40"/>
    <mergeCell ref="L40:M40"/>
    <mergeCell ref="N40:O40"/>
    <mergeCell ref="T40:U40"/>
    <mergeCell ref="R48:S48"/>
    <mergeCell ref="W51:X51"/>
    <mergeCell ref="P51:Q51"/>
    <mergeCell ref="R51:S51"/>
    <mergeCell ref="J51:K51"/>
    <mergeCell ref="L51:M51"/>
    <mergeCell ref="N51:O51"/>
    <mergeCell ref="W48:X48"/>
    <mergeCell ref="T48:U48"/>
    <mergeCell ref="T51:U51"/>
    <mergeCell ref="P58:Q58"/>
    <mergeCell ref="R58:S58"/>
    <mergeCell ref="W58:X58"/>
    <mergeCell ref="B58:C58"/>
    <mergeCell ref="D58:E58"/>
    <mergeCell ref="F58:G58"/>
    <mergeCell ref="H58:I58"/>
    <mergeCell ref="J58:K58"/>
    <mergeCell ref="T58:U58"/>
    <mergeCell ref="B51:C51"/>
    <mergeCell ref="D51:E51"/>
    <mergeCell ref="F51:G51"/>
    <mergeCell ref="L58:M58"/>
    <mergeCell ref="N58:O58"/>
    <mergeCell ref="H51:I51"/>
  </mergeCells>
  <pageMargins left="0.5" right="0.5" top="0.5" bottom="0.5" header="0.5" footer="0.25"/>
  <pageSetup scale="70" orientation="landscape" r:id="rId1"/>
  <headerFooter alignWithMargins="0">
    <oddFooter>&amp;L&amp;9Prepared by Planning and Analysis&amp;C&amp;9&amp;P of &amp;N&amp;R&amp;9Updated &amp;D</oddFooter>
  </headerFooter>
  <rowBreaks count="3" manualBreakCount="3">
    <brk id="46" max="21" man="1"/>
    <brk id="57" max="21" man="1"/>
    <brk id="92" max="21" man="1"/>
  </rowBreaks>
  <colBreaks count="1" manualBreakCount="1">
    <brk id="21" max="1048575" man="1"/>
  </colBreaks>
  <ignoredErrors>
    <ignoredError sqref="A73:N9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G422"/>
  <sheetViews>
    <sheetView zoomScaleNormal="100" zoomScaleSheetLayoutView="100" workbookViewId="0">
      <pane xSplit="1" ySplit="8" topLeftCell="T9" activePane="bottomRight" state="frozen"/>
      <selection activeCell="T36" sqref="T36:U36"/>
      <selection pane="topRight" activeCell="T36" sqref="T36:U36"/>
      <selection pane="bottomLeft" activeCell="T36" sqref="T36:U36"/>
      <selection pane="bottomRight" activeCell="T36" sqref="T36:U36"/>
    </sheetView>
  </sheetViews>
  <sheetFormatPr defaultColWidth="10.28515625" defaultRowHeight="12.75" x14ac:dyDescent="0.2"/>
  <cols>
    <col min="1" max="1" width="32.7109375" customWidth="1"/>
    <col min="2" max="2" width="6.7109375" hidden="1" customWidth="1"/>
    <col min="3" max="3" width="10.7109375" hidden="1" customWidth="1"/>
    <col min="4" max="4" width="6.7109375" hidden="1" customWidth="1"/>
    <col min="5" max="5" width="10.7109375" hidden="1" customWidth="1"/>
    <col min="6" max="6" width="6.7109375" customWidth="1"/>
    <col min="7" max="7" width="10.7109375" customWidth="1"/>
    <col min="8" max="8" width="6.7109375" customWidth="1"/>
    <col min="9" max="9" width="10.7109375" customWidth="1"/>
    <col min="10" max="10" width="6.7109375" customWidth="1"/>
    <col min="11" max="11" width="10.7109375" customWidth="1"/>
    <col min="12" max="12" width="6.7109375" customWidth="1"/>
    <col min="13" max="13" width="10.7109375" customWidth="1"/>
    <col min="14" max="14" width="6.7109375" customWidth="1"/>
    <col min="15" max="15" width="10.7109375" customWidth="1"/>
    <col min="16" max="16" width="6.7109375" customWidth="1"/>
    <col min="17" max="17" width="10.7109375" customWidth="1"/>
    <col min="18" max="18" width="6.7109375" customWidth="1"/>
    <col min="19" max="19" width="10.7109375" customWidth="1"/>
    <col min="20" max="20" width="6.7109375" customWidth="1"/>
    <col min="21" max="21" width="10.7109375" customWidth="1"/>
    <col min="22" max="22" width="3.28515625" customWidth="1"/>
    <col min="23" max="23" width="6.7109375" customWidth="1"/>
    <col min="24" max="24" width="10.7109375" customWidth="1"/>
    <col min="25" max="25" width="1.5703125" customWidth="1"/>
  </cols>
  <sheetData>
    <row r="1" spans="1:33" s="1" customFormat="1" ht="15.75" x14ac:dyDescent="0.25">
      <c r="A1" s="667" t="s">
        <v>240</v>
      </c>
      <c r="B1"/>
      <c r="C1"/>
      <c r="D1"/>
      <c r="E1"/>
      <c r="F1" s="564"/>
      <c r="G1" s="564"/>
      <c r="H1" s="564"/>
      <c r="I1" s="564"/>
    </row>
    <row r="2" spans="1:33" s="1" customFormat="1" ht="15.75" x14ac:dyDescent="0.25">
      <c r="A2" s="667" t="s">
        <v>241</v>
      </c>
      <c r="B2"/>
      <c r="C2"/>
      <c r="D2"/>
      <c r="E2"/>
      <c r="F2" s="564"/>
      <c r="G2" s="564"/>
      <c r="H2" s="564"/>
      <c r="I2" s="564"/>
    </row>
    <row r="3" spans="1:33" s="1" customFormat="1" ht="5.25" customHeight="1" x14ac:dyDescent="0.25">
      <c r="A3" s="667"/>
      <c r="B3"/>
      <c r="C3"/>
      <c r="D3"/>
      <c r="E3"/>
      <c r="F3" s="564"/>
      <c r="G3" s="564"/>
      <c r="H3" s="564"/>
      <c r="I3" s="564"/>
    </row>
    <row r="4" spans="1:33" s="1" customFormat="1" ht="15.75" x14ac:dyDescent="0.25">
      <c r="A4" s="668" t="s">
        <v>261</v>
      </c>
      <c r="B4"/>
      <c r="C4"/>
      <c r="D4"/>
      <c r="E4"/>
      <c r="F4" s="564"/>
      <c r="G4" s="564"/>
      <c r="H4" s="564"/>
      <c r="I4" s="564"/>
    </row>
    <row r="5" spans="1:33" s="1" customFormat="1" ht="6" customHeight="1" x14ac:dyDescent="0.25">
      <c r="A5" s="668"/>
      <c r="B5"/>
      <c r="C5"/>
      <c r="D5"/>
      <c r="E5"/>
      <c r="F5" s="564"/>
      <c r="G5" s="564"/>
      <c r="H5" s="564"/>
      <c r="I5" s="564"/>
    </row>
    <row r="6" spans="1:33" x14ac:dyDescent="0.2">
      <c r="A6" s="3" t="s">
        <v>257</v>
      </c>
      <c r="B6" s="1"/>
      <c r="C6" s="1"/>
      <c r="D6" s="1"/>
      <c r="E6" s="1"/>
      <c r="F6" s="2"/>
      <c r="G6" s="2"/>
      <c r="H6" s="2"/>
      <c r="I6" s="2"/>
      <c r="AG6" s="1"/>
    </row>
    <row r="7" spans="1:33" s="1" customFormat="1" x14ac:dyDescent="0.2">
      <c r="A7" s="720">
        <v>3670020070</v>
      </c>
      <c r="B7" s="670"/>
      <c r="C7" s="670"/>
      <c r="D7" s="670"/>
      <c r="E7" s="670"/>
      <c r="F7" s="671"/>
      <c r="G7" s="671"/>
      <c r="H7" s="671"/>
      <c r="I7" s="671"/>
      <c r="J7" s="671"/>
      <c r="K7" s="671"/>
      <c r="L7" s="671"/>
      <c r="M7" s="671"/>
      <c r="N7" s="671"/>
      <c r="O7" s="671" t="s">
        <v>19</v>
      </c>
      <c r="P7" s="671"/>
      <c r="Q7" s="671" t="s">
        <v>19</v>
      </c>
      <c r="R7" s="671"/>
      <c r="S7" s="671" t="s">
        <v>19</v>
      </c>
      <c r="T7" s="671"/>
      <c r="U7" s="671" t="s">
        <v>19</v>
      </c>
      <c r="V7" s="671"/>
      <c r="W7" s="671" t="s">
        <v>19</v>
      </c>
      <c r="X7" s="671"/>
      <c r="Y7" s="671" t="s">
        <v>19</v>
      </c>
      <c r="Z7" s="671"/>
      <c r="AA7" s="671" t="s">
        <v>19</v>
      </c>
      <c r="AB7" s="671"/>
      <c r="AC7" s="671" t="s">
        <v>19</v>
      </c>
    </row>
    <row r="8" spans="1:33" s="1" customFormat="1" ht="12" customHeight="1" thickBot="1" x14ac:dyDescent="0.25">
      <c r="A8" s="894"/>
      <c r="B8" s="670"/>
      <c r="C8" s="670"/>
      <c r="D8" s="670"/>
      <c r="E8" s="670"/>
      <c r="F8" s="671"/>
      <c r="G8" s="671"/>
      <c r="H8" s="671"/>
      <c r="I8" s="671"/>
      <c r="J8" s="671"/>
      <c r="K8" s="671"/>
      <c r="L8" s="671"/>
      <c r="M8" s="671"/>
      <c r="N8" s="671"/>
      <c r="O8" s="671"/>
      <c r="P8" s="671"/>
      <c r="Q8" s="671"/>
      <c r="R8" s="671"/>
      <c r="S8" s="671"/>
      <c r="T8" s="671"/>
      <c r="U8" s="671"/>
      <c r="V8" s="671"/>
      <c r="W8" s="671"/>
      <c r="X8" s="671"/>
      <c r="Y8" s="671"/>
      <c r="Z8" s="671"/>
      <c r="AA8" s="671"/>
      <c r="AB8" s="671"/>
      <c r="AC8" s="671"/>
    </row>
    <row r="9" spans="1:33" ht="15" customHeight="1" thickTop="1" x14ac:dyDescent="0.2">
      <c r="A9" s="4"/>
      <c r="B9" s="1401" t="s">
        <v>0</v>
      </c>
      <c r="C9" s="1398"/>
      <c r="D9" s="1401" t="s">
        <v>1</v>
      </c>
      <c r="E9" s="1398"/>
      <c r="F9" s="1401" t="s">
        <v>2</v>
      </c>
      <c r="G9" s="1398"/>
      <c r="H9" s="1401" t="s">
        <v>3</v>
      </c>
      <c r="I9" s="1398"/>
      <c r="J9" s="1401" t="s">
        <v>4</v>
      </c>
      <c r="K9" s="1398"/>
      <c r="L9" s="1401" t="s">
        <v>5</v>
      </c>
      <c r="M9" s="1398"/>
      <c r="N9" s="1401" t="s">
        <v>6</v>
      </c>
      <c r="O9" s="1398"/>
      <c r="P9" s="1401" t="s">
        <v>7</v>
      </c>
      <c r="Q9" s="1398"/>
      <c r="R9" s="1401" t="s">
        <v>8</v>
      </c>
      <c r="S9" s="1398"/>
      <c r="T9" s="1401" t="s">
        <v>301</v>
      </c>
      <c r="U9" s="1402"/>
      <c r="W9" s="1407" t="s">
        <v>9</v>
      </c>
      <c r="X9" s="1408"/>
    </row>
    <row r="10" spans="1:33" ht="30" customHeight="1" thickBot="1" x14ac:dyDescent="0.25">
      <c r="A10" s="70" t="s">
        <v>246</v>
      </c>
      <c r="B10" s="782" t="s">
        <v>262</v>
      </c>
      <c r="C10" s="783" t="s">
        <v>263</v>
      </c>
      <c r="D10" s="784" t="s">
        <v>262</v>
      </c>
      <c r="E10" s="783" t="s">
        <v>263</v>
      </c>
      <c r="F10" s="782" t="s">
        <v>262</v>
      </c>
      <c r="G10" s="783" t="s">
        <v>263</v>
      </c>
      <c r="H10" s="782" t="s">
        <v>262</v>
      </c>
      <c r="I10" s="783" t="s">
        <v>263</v>
      </c>
      <c r="J10" s="782" t="s">
        <v>262</v>
      </c>
      <c r="K10" s="783" t="s">
        <v>263</v>
      </c>
      <c r="L10" s="782" t="s">
        <v>262</v>
      </c>
      <c r="M10" s="783" t="s">
        <v>263</v>
      </c>
      <c r="N10" s="782" t="s">
        <v>262</v>
      </c>
      <c r="O10" s="783" t="s">
        <v>263</v>
      </c>
      <c r="P10" s="782" t="s">
        <v>262</v>
      </c>
      <c r="Q10" s="783" t="s">
        <v>263</v>
      </c>
      <c r="R10" s="782" t="s">
        <v>262</v>
      </c>
      <c r="S10" s="783" t="s">
        <v>263</v>
      </c>
      <c r="T10" s="782" t="s">
        <v>262</v>
      </c>
      <c r="U10" s="785" t="s">
        <v>263</v>
      </c>
      <c r="W10" s="1316" t="s">
        <v>262</v>
      </c>
      <c r="X10" s="1317" t="s">
        <v>263</v>
      </c>
    </row>
    <row r="11" spans="1:33" ht="15" customHeight="1" x14ac:dyDescent="0.2">
      <c r="A11" s="270" t="s">
        <v>99</v>
      </c>
      <c r="B11" s="13"/>
      <c r="C11" s="14"/>
      <c r="D11" s="11"/>
      <c r="E11" s="12"/>
      <c r="F11" s="13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2"/>
      <c r="R11" s="13"/>
      <c r="S11" s="12"/>
      <c r="T11" s="13"/>
      <c r="U11" s="15"/>
      <c r="W11" s="16"/>
      <c r="X11" s="855"/>
    </row>
    <row r="12" spans="1:33" s="23" customFormat="1" ht="15" customHeight="1" x14ac:dyDescent="0.2">
      <c r="A12" s="18" t="s">
        <v>15</v>
      </c>
      <c r="B12" s="285">
        <f>34+16+1</f>
        <v>51</v>
      </c>
      <c r="C12" s="262"/>
      <c r="D12" s="1229">
        <v>41</v>
      </c>
      <c r="E12" s="1227"/>
      <c r="F12" s="1229">
        <v>24</v>
      </c>
      <c r="G12" s="1227"/>
      <c r="H12" s="1229">
        <v>45</v>
      </c>
      <c r="I12" s="1227"/>
      <c r="J12" s="1229">
        <f>28+15+1</f>
        <v>44</v>
      </c>
      <c r="K12" s="1227"/>
      <c r="L12" s="1229">
        <f>33+20</f>
        <v>53</v>
      </c>
      <c r="M12" s="1227"/>
      <c r="N12" s="1229">
        <v>63</v>
      </c>
      <c r="O12" s="1227"/>
      <c r="P12" s="1229">
        <v>69</v>
      </c>
      <c r="Q12" s="1227"/>
      <c r="R12" s="1229">
        <f>25+24</f>
        <v>49</v>
      </c>
      <c r="S12" s="1227"/>
      <c r="T12" s="20">
        <v>52</v>
      </c>
      <c r="U12" s="266"/>
      <c r="W12" s="16">
        <f>AVERAGE(N12,L12,R12,T12,P12)</f>
        <v>57.2</v>
      </c>
      <c r="X12" s="859"/>
    </row>
    <row r="13" spans="1:33" s="23" customFormat="1" ht="15" customHeight="1" thickBot="1" x14ac:dyDescent="0.25">
      <c r="A13" s="27" t="s">
        <v>16</v>
      </c>
      <c r="B13" s="285">
        <f>14+23</f>
        <v>37</v>
      </c>
      <c r="C13" s="263"/>
      <c r="D13" s="1230">
        <v>37</v>
      </c>
      <c r="E13" s="1228"/>
      <c r="F13" s="1230">
        <v>36</v>
      </c>
      <c r="G13" s="1228"/>
      <c r="H13" s="1230">
        <v>39</v>
      </c>
      <c r="I13" s="1228"/>
      <c r="J13" s="1230">
        <f>20+21</f>
        <v>41</v>
      </c>
      <c r="K13" s="1228"/>
      <c r="L13" s="1230">
        <f>24+27</f>
        <v>51</v>
      </c>
      <c r="M13" s="1228"/>
      <c r="N13" s="1230">
        <v>54</v>
      </c>
      <c r="O13" s="1228"/>
      <c r="P13" s="1230">
        <v>53</v>
      </c>
      <c r="Q13" s="1228"/>
      <c r="R13" s="1230">
        <f>27+36</f>
        <v>63</v>
      </c>
      <c r="S13" s="1228"/>
      <c r="T13" s="29">
        <v>67</v>
      </c>
      <c r="U13" s="267"/>
      <c r="W13" s="16">
        <f t="shared" ref="W13:W17" si="0">AVERAGE(N13,L13,R13,T13,P13)</f>
        <v>57.6</v>
      </c>
      <c r="X13" s="860"/>
    </row>
    <row r="14" spans="1:33" s="73" customFormat="1" ht="15" customHeight="1" thickBot="1" x14ac:dyDescent="0.25">
      <c r="A14" s="98" t="s">
        <v>17</v>
      </c>
      <c r="B14" s="640">
        <f t="shared" ref="B14:R14" si="1">SUM(B12:B13)</f>
        <v>88</v>
      </c>
      <c r="C14" s="100">
        <v>12</v>
      </c>
      <c r="D14" s="89">
        <f t="shared" si="1"/>
        <v>78</v>
      </c>
      <c r="E14" s="100">
        <v>10</v>
      </c>
      <c r="F14" s="89">
        <f t="shared" si="1"/>
        <v>60</v>
      </c>
      <c r="G14" s="100">
        <v>5</v>
      </c>
      <c r="H14" s="89">
        <f t="shared" si="1"/>
        <v>84</v>
      </c>
      <c r="I14" s="100">
        <v>10</v>
      </c>
      <c r="J14" s="89">
        <f t="shared" si="1"/>
        <v>85</v>
      </c>
      <c r="K14" s="100">
        <v>9</v>
      </c>
      <c r="L14" s="89">
        <f t="shared" si="1"/>
        <v>104</v>
      </c>
      <c r="M14" s="100">
        <v>10</v>
      </c>
      <c r="N14" s="640">
        <f t="shared" si="1"/>
        <v>117</v>
      </c>
      <c r="O14" s="100">
        <v>14</v>
      </c>
      <c r="P14" s="89">
        <f t="shared" si="1"/>
        <v>122</v>
      </c>
      <c r="Q14" s="100">
        <v>18</v>
      </c>
      <c r="R14" s="89">
        <f t="shared" si="1"/>
        <v>112</v>
      </c>
      <c r="S14" s="100">
        <v>15</v>
      </c>
      <c r="T14" s="89">
        <v>119</v>
      </c>
      <c r="U14" s="875"/>
      <c r="W14" s="482">
        <f t="shared" si="0"/>
        <v>114.8</v>
      </c>
      <c r="X14" s="857">
        <f>AVERAGE(O14,M14,K14,S14,Q14)</f>
        <v>13.2</v>
      </c>
    </row>
    <row r="15" spans="1:33" s="23" customFormat="1" ht="15" customHeight="1" x14ac:dyDescent="0.2">
      <c r="A15" s="28" t="s">
        <v>18</v>
      </c>
      <c r="B15" s="273">
        <v>3</v>
      </c>
      <c r="C15" s="274">
        <v>1</v>
      </c>
      <c r="D15" s="275">
        <v>4</v>
      </c>
      <c r="E15" s="25">
        <v>6</v>
      </c>
      <c r="F15" s="273">
        <v>7</v>
      </c>
      <c r="G15" s="25">
        <v>6</v>
      </c>
      <c r="H15" s="273">
        <v>13</v>
      </c>
      <c r="I15" s="25">
        <v>4</v>
      </c>
      <c r="J15" s="273">
        <v>18</v>
      </c>
      <c r="K15" s="25">
        <v>12</v>
      </c>
      <c r="L15" s="273">
        <v>18</v>
      </c>
      <c r="M15" s="25">
        <v>6</v>
      </c>
      <c r="N15" s="273">
        <v>24</v>
      </c>
      <c r="O15" s="25">
        <v>15</v>
      </c>
      <c r="P15" s="273">
        <v>18</v>
      </c>
      <c r="Q15" s="25">
        <v>11</v>
      </c>
      <c r="R15" s="273">
        <v>23</v>
      </c>
      <c r="S15" s="25">
        <v>11</v>
      </c>
      <c r="T15" s="20">
        <v>13</v>
      </c>
      <c r="U15" s="267"/>
      <c r="W15" s="16">
        <f t="shared" si="0"/>
        <v>19.2</v>
      </c>
      <c r="X15" s="565">
        <f t="shared" ref="X15:X17" si="2">AVERAGE(O15,M15,K15,S15,Q15)</f>
        <v>11</v>
      </c>
      <c r="Z15" s="23" t="s">
        <v>19</v>
      </c>
    </row>
    <row r="16" spans="1:33" s="23" customFormat="1" ht="15" customHeight="1" x14ac:dyDescent="0.2">
      <c r="A16" s="28" t="s">
        <v>20</v>
      </c>
      <c r="B16" s="273">
        <v>4</v>
      </c>
      <c r="C16" s="274">
        <v>5</v>
      </c>
      <c r="D16" s="275">
        <v>2</v>
      </c>
      <c r="E16" s="25">
        <v>3</v>
      </c>
      <c r="F16" s="273">
        <v>3</v>
      </c>
      <c r="G16" s="25">
        <v>1</v>
      </c>
      <c r="H16" s="273">
        <v>3</v>
      </c>
      <c r="I16" s="25">
        <v>2</v>
      </c>
      <c r="J16" s="273">
        <v>5</v>
      </c>
      <c r="K16" s="25">
        <v>5</v>
      </c>
      <c r="L16" s="273">
        <v>1</v>
      </c>
      <c r="M16" s="25">
        <v>3</v>
      </c>
      <c r="N16" s="273">
        <v>1</v>
      </c>
      <c r="O16" s="25">
        <v>2</v>
      </c>
      <c r="P16" s="273">
        <v>4</v>
      </c>
      <c r="Q16" s="25">
        <v>6</v>
      </c>
      <c r="R16" s="273">
        <v>3</v>
      </c>
      <c r="S16" s="25">
        <v>1</v>
      </c>
      <c r="T16" s="20">
        <v>2</v>
      </c>
      <c r="U16" s="267"/>
      <c r="W16" s="16">
        <f t="shared" si="0"/>
        <v>2.2000000000000002</v>
      </c>
      <c r="X16" s="565">
        <f t="shared" si="2"/>
        <v>3.4</v>
      </c>
    </row>
    <row r="17" spans="1:27" s="23" customFormat="1" ht="15" customHeight="1" thickBot="1" x14ac:dyDescent="0.25">
      <c r="A17" s="30" t="s">
        <v>86</v>
      </c>
      <c r="B17" s="276">
        <v>72</v>
      </c>
      <c r="C17" s="277">
        <v>7</v>
      </c>
      <c r="D17" s="278">
        <v>73</v>
      </c>
      <c r="E17" s="32">
        <v>11</v>
      </c>
      <c r="F17" s="276">
        <v>64</v>
      </c>
      <c r="G17" s="32">
        <v>15</v>
      </c>
      <c r="H17" s="276">
        <v>64</v>
      </c>
      <c r="I17" s="32">
        <v>10</v>
      </c>
      <c r="J17" s="276">
        <v>66</v>
      </c>
      <c r="K17" s="32">
        <v>9</v>
      </c>
      <c r="L17" s="276">
        <v>70</v>
      </c>
      <c r="M17" s="32">
        <v>9</v>
      </c>
      <c r="N17" s="276">
        <v>64</v>
      </c>
      <c r="O17" s="32">
        <v>12</v>
      </c>
      <c r="P17" s="276">
        <v>61</v>
      </c>
      <c r="Q17" s="32">
        <v>12</v>
      </c>
      <c r="R17" s="276">
        <v>57</v>
      </c>
      <c r="S17" s="32">
        <v>7</v>
      </c>
      <c r="T17" s="33">
        <v>59</v>
      </c>
      <c r="U17" s="639"/>
      <c r="W17" s="16">
        <f t="shared" si="0"/>
        <v>62.2</v>
      </c>
      <c r="X17" s="565">
        <f t="shared" si="2"/>
        <v>9.8000000000000007</v>
      </c>
    </row>
    <row r="18" spans="1:27" ht="18" customHeight="1" thickTop="1" thickBot="1" x14ac:dyDescent="0.25">
      <c r="A18" s="72" t="s">
        <v>71</v>
      </c>
      <c r="B18" s="1375"/>
      <c r="C18" s="1376"/>
      <c r="D18" s="1375"/>
      <c r="E18" s="1376"/>
      <c r="F18" s="1375"/>
      <c r="G18" s="1376"/>
      <c r="H18" s="1375"/>
      <c r="I18" s="1376"/>
      <c r="J18" s="1375"/>
      <c r="K18" s="1376"/>
      <c r="L18" s="1375"/>
      <c r="M18" s="1376"/>
      <c r="N18" s="1375"/>
      <c r="O18" s="1376"/>
      <c r="P18" s="1375"/>
      <c r="Q18" s="1376"/>
      <c r="R18" s="1375"/>
      <c r="S18" s="1376"/>
      <c r="T18" s="1375"/>
      <c r="U18" s="1384"/>
      <c r="W18" s="1378"/>
      <c r="X18" s="1379"/>
    </row>
    <row r="19" spans="1:27" ht="15" customHeight="1" x14ac:dyDescent="0.2">
      <c r="A19" s="749" t="s">
        <v>266</v>
      </c>
      <c r="B19" s="244"/>
      <c r="C19" s="137"/>
      <c r="D19" s="244"/>
      <c r="E19" s="137"/>
      <c r="F19" s="244"/>
      <c r="G19" s="137"/>
      <c r="H19" s="244"/>
      <c r="I19" s="137"/>
      <c r="J19" s="244"/>
      <c r="K19" s="137"/>
      <c r="L19" s="244"/>
      <c r="M19" s="137"/>
      <c r="N19" s="244"/>
      <c r="O19" s="137"/>
      <c r="P19" s="244"/>
      <c r="Q19" s="137"/>
      <c r="R19" s="244"/>
      <c r="S19" s="137"/>
      <c r="T19" s="468"/>
      <c r="U19" s="138"/>
      <c r="W19" s="902"/>
      <c r="X19" s="852" t="e">
        <f>AVERAGE(O19,M19,I19,K19,Q19)</f>
        <v>#DIV/0!</v>
      </c>
    </row>
    <row r="20" spans="1:27" ht="15" customHeight="1" x14ac:dyDescent="0.2">
      <c r="A20" s="744" t="s">
        <v>72</v>
      </c>
      <c r="B20" s="244"/>
      <c r="C20" s="135">
        <f>(2)/(7+2)</f>
        <v>0.22222222222222221</v>
      </c>
      <c r="D20" s="244"/>
      <c r="E20" s="135">
        <v>0.13</v>
      </c>
      <c r="F20" s="244"/>
      <c r="G20" s="135">
        <v>0.5</v>
      </c>
      <c r="H20" s="244"/>
      <c r="I20" s="135">
        <v>0.33</v>
      </c>
      <c r="J20" s="244"/>
      <c r="K20" s="135">
        <v>0.44</v>
      </c>
      <c r="L20" s="244"/>
      <c r="M20" s="135">
        <v>0.56000000000000005</v>
      </c>
      <c r="N20" s="244"/>
      <c r="O20" s="135">
        <v>0.5</v>
      </c>
      <c r="P20" s="244"/>
      <c r="Q20" s="135">
        <v>0.69</v>
      </c>
      <c r="R20" s="244"/>
      <c r="S20" s="135"/>
      <c r="T20" s="244"/>
      <c r="U20" s="776"/>
      <c r="W20" s="903"/>
      <c r="X20" s="1255">
        <f t="shared" ref="X20:X21" si="3">AVERAGE(O20,M20,K20,S20,Q20)</f>
        <v>0.54749999999999999</v>
      </c>
    </row>
    <row r="21" spans="1:27" ht="15" customHeight="1" x14ac:dyDescent="0.2">
      <c r="A21" s="744" t="s">
        <v>73</v>
      </c>
      <c r="B21" s="245"/>
      <c r="C21" s="136">
        <f>(4+2)/(7+2)</f>
        <v>0.66666666666666663</v>
      </c>
      <c r="D21" s="245"/>
      <c r="E21" s="136">
        <v>0.63</v>
      </c>
      <c r="F21" s="245"/>
      <c r="G21" s="136">
        <v>0.5</v>
      </c>
      <c r="H21" s="245"/>
      <c r="I21" s="136">
        <v>0.67</v>
      </c>
      <c r="J21" s="245"/>
      <c r="K21" s="136">
        <v>0.44</v>
      </c>
      <c r="L21" s="245"/>
      <c r="M21" s="136">
        <v>0.44</v>
      </c>
      <c r="N21" s="245"/>
      <c r="O21" s="136">
        <v>0.4</v>
      </c>
      <c r="P21" s="245"/>
      <c r="Q21" s="136">
        <v>0.25</v>
      </c>
      <c r="R21" s="245"/>
      <c r="S21" s="136"/>
      <c r="T21" s="245"/>
      <c r="U21" s="777"/>
      <c r="W21" s="841"/>
      <c r="X21" s="1255">
        <f t="shared" si="3"/>
        <v>0.38250000000000001</v>
      </c>
    </row>
    <row r="22" spans="1:27" ht="15" customHeight="1" thickBot="1" x14ac:dyDescent="0.25">
      <c r="A22" s="750" t="s">
        <v>75</v>
      </c>
      <c r="B22" s="76"/>
      <c r="C22" s="77"/>
      <c r="D22" s="76"/>
      <c r="E22" s="77"/>
      <c r="F22" s="76"/>
      <c r="G22" s="77"/>
      <c r="H22" s="76"/>
      <c r="I22" s="77"/>
      <c r="J22" s="76"/>
      <c r="K22" s="77"/>
      <c r="L22" s="76"/>
      <c r="M22" s="77"/>
      <c r="N22" s="76"/>
      <c r="O22" s="77"/>
      <c r="P22" s="76"/>
      <c r="Q22" s="77"/>
      <c r="R22" s="76"/>
      <c r="S22" s="77"/>
      <c r="T22" s="76"/>
      <c r="U22" s="78"/>
      <c r="W22" s="904"/>
      <c r="X22" s="543" t="e">
        <f>AVERAGE(O22,M22,S22,U22,Q22)</f>
        <v>#DIV/0!</v>
      </c>
    </row>
    <row r="23" spans="1:27" ht="18" customHeight="1" thickTop="1" thickBot="1" x14ac:dyDescent="0.25">
      <c r="A23" s="221" t="s">
        <v>78</v>
      </c>
      <c r="B23" s="1380"/>
      <c r="C23" s="1381"/>
      <c r="D23" s="1380"/>
      <c r="E23" s="1381"/>
      <c r="F23" s="1380"/>
      <c r="G23" s="1381"/>
      <c r="H23" s="1380"/>
      <c r="I23" s="1381"/>
      <c r="J23" s="1380"/>
      <c r="K23" s="1381"/>
      <c r="L23" s="1380"/>
      <c r="M23" s="1381"/>
      <c r="N23" s="1380"/>
      <c r="O23" s="1381"/>
      <c r="P23" s="1380"/>
      <c r="Q23" s="1381"/>
      <c r="R23" s="1380"/>
      <c r="S23" s="1381"/>
      <c r="T23" s="1380"/>
      <c r="U23" s="1383"/>
      <c r="V23" s="226"/>
      <c r="W23" s="1382"/>
      <c r="X23" s="1383"/>
    </row>
    <row r="24" spans="1:27" ht="15" customHeight="1" thickBot="1" x14ac:dyDescent="0.25">
      <c r="A24" s="847" t="s">
        <v>207</v>
      </c>
      <c r="B24" s="223"/>
      <c r="C24" s="224">
        <v>27.8</v>
      </c>
      <c r="D24" s="223"/>
      <c r="E24" s="224">
        <v>28</v>
      </c>
      <c r="F24" s="223"/>
      <c r="G24" s="224">
        <v>26.5</v>
      </c>
      <c r="H24" s="223"/>
      <c r="I24" s="224">
        <v>26.7</v>
      </c>
      <c r="J24" s="223"/>
      <c r="K24" s="224">
        <v>27.2</v>
      </c>
      <c r="L24" s="223"/>
      <c r="M24" s="224">
        <v>27.8</v>
      </c>
      <c r="N24" s="223"/>
      <c r="O24" s="224">
        <v>27.8</v>
      </c>
      <c r="P24" s="223"/>
      <c r="Q24" s="224">
        <v>27.7</v>
      </c>
      <c r="R24" s="223"/>
      <c r="S24" s="224">
        <v>27.6</v>
      </c>
      <c r="T24" s="223"/>
      <c r="U24" s="225"/>
      <c r="V24" s="226"/>
      <c r="W24" s="247"/>
      <c r="X24" s="757">
        <f>AVERAGE(O24,M24,S24,U24,Q24)</f>
        <v>27.725000000000001</v>
      </c>
    </row>
    <row r="25" spans="1:27" ht="18" customHeight="1" thickTop="1" thickBot="1" x14ac:dyDescent="0.25">
      <c r="A25" s="82" t="s">
        <v>22</v>
      </c>
      <c r="B25" s="1375"/>
      <c r="C25" s="1376"/>
      <c r="D25" s="1375"/>
      <c r="E25" s="1376"/>
      <c r="F25" s="1375"/>
      <c r="G25" s="1376"/>
      <c r="H25" s="1375"/>
      <c r="I25" s="1376"/>
      <c r="J25" s="1375"/>
      <c r="K25" s="1376"/>
      <c r="L25" s="1375"/>
      <c r="M25" s="1376"/>
      <c r="N25" s="1375"/>
      <c r="O25" s="1376"/>
      <c r="P25" s="1375"/>
      <c r="Q25" s="1376"/>
      <c r="R25" s="1375"/>
      <c r="S25" s="1376"/>
      <c r="T25" s="1375"/>
      <c r="U25" s="1384"/>
      <c r="W25" s="1378"/>
      <c r="X25" s="1379"/>
    </row>
    <row r="26" spans="1:27" ht="15" customHeight="1" x14ac:dyDescent="0.2">
      <c r="A26" s="744" t="s">
        <v>24</v>
      </c>
      <c r="B26" s="46"/>
      <c r="C26" s="48">
        <v>11643</v>
      </c>
      <c r="D26" s="45"/>
      <c r="E26" s="47">
        <v>12143</v>
      </c>
      <c r="F26" s="46"/>
      <c r="G26" s="47">
        <v>12314</v>
      </c>
      <c r="H26" s="46"/>
      <c r="I26" s="47">
        <v>12813</v>
      </c>
      <c r="J26" s="46"/>
      <c r="K26" s="47">
        <v>12288</v>
      </c>
      <c r="L26" s="46"/>
      <c r="M26" s="47">
        <v>14448</v>
      </c>
      <c r="N26" s="46"/>
      <c r="O26" s="47">
        <v>14822</v>
      </c>
      <c r="P26" s="46"/>
      <c r="Q26" s="47">
        <v>14558</v>
      </c>
      <c r="R26" s="46"/>
      <c r="S26" s="47">
        <v>14269</v>
      </c>
      <c r="T26" s="46"/>
      <c r="U26" s="1273"/>
      <c r="W26" s="50"/>
      <c r="X26" s="51">
        <f>AVERAGE(O26,M26,S26,K26,Q26)</f>
        <v>14077</v>
      </c>
    </row>
    <row r="27" spans="1:27" ht="15" customHeight="1" x14ac:dyDescent="0.2">
      <c r="A27" s="744" t="s">
        <v>25</v>
      </c>
      <c r="B27" s="46"/>
      <c r="C27" s="48">
        <v>3172</v>
      </c>
      <c r="D27" s="45"/>
      <c r="E27" s="47">
        <v>3547</v>
      </c>
      <c r="F27" s="46"/>
      <c r="G27" s="47">
        <v>3845</v>
      </c>
      <c r="H27" s="46"/>
      <c r="I27" s="47">
        <v>4309</v>
      </c>
      <c r="J27" s="46"/>
      <c r="K27" s="47">
        <v>4170</v>
      </c>
      <c r="L27" s="46"/>
      <c r="M27" s="47">
        <v>4106</v>
      </c>
      <c r="N27" s="46"/>
      <c r="O27" s="47">
        <v>4784</v>
      </c>
      <c r="P27" s="46"/>
      <c r="Q27" s="47">
        <v>4500</v>
      </c>
      <c r="R27" s="46"/>
      <c r="S27" s="47">
        <v>4547</v>
      </c>
      <c r="T27" s="46"/>
      <c r="U27" s="1273"/>
      <c r="W27" s="52"/>
      <c r="X27" s="51">
        <f t="shared" ref="X27:X30" si="4">AVERAGE(O27,M27,S27,K27,Q27)</f>
        <v>4421.3999999999996</v>
      </c>
    </row>
    <row r="28" spans="1:27" ht="15" customHeight="1" x14ac:dyDescent="0.2">
      <c r="A28" s="744" t="s">
        <v>26</v>
      </c>
      <c r="B28" s="46"/>
      <c r="C28" s="48">
        <v>298</v>
      </c>
      <c r="D28" s="45"/>
      <c r="E28" s="47">
        <v>260</v>
      </c>
      <c r="F28" s="46"/>
      <c r="G28" s="47">
        <v>210</v>
      </c>
      <c r="H28" s="46"/>
      <c r="I28" s="47">
        <v>211</v>
      </c>
      <c r="J28" s="46"/>
      <c r="K28" s="47">
        <v>198</v>
      </c>
      <c r="L28" s="46"/>
      <c r="M28" s="47">
        <v>275</v>
      </c>
      <c r="N28" s="46"/>
      <c r="O28" s="47">
        <v>294</v>
      </c>
      <c r="P28" s="46"/>
      <c r="Q28" s="47">
        <v>203</v>
      </c>
      <c r="R28" s="46"/>
      <c r="S28" s="47">
        <v>179</v>
      </c>
      <c r="T28" s="46"/>
      <c r="U28" s="1273"/>
      <c r="W28" s="52"/>
      <c r="X28" s="51">
        <f t="shared" si="4"/>
        <v>229.8</v>
      </c>
    </row>
    <row r="29" spans="1:27" ht="15" customHeight="1" thickBot="1" x14ac:dyDescent="0.25">
      <c r="A29" s="744" t="s">
        <v>27</v>
      </c>
      <c r="B29" s="92"/>
      <c r="C29" s="54">
        <v>1129</v>
      </c>
      <c r="D29" s="45"/>
      <c r="E29" s="53">
        <v>1262</v>
      </c>
      <c r="F29" s="46"/>
      <c r="G29" s="53">
        <v>964</v>
      </c>
      <c r="H29" s="46"/>
      <c r="I29" s="53">
        <v>880</v>
      </c>
      <c r="J29" s="46"/>
      <c r="K29" s="53">
        <v>933</v>
      </c>
      <c r="L29" s="46"/>
      <c r="M29" s="53">
        <v>1031</v>
      </c>
      <c r="N29" s="46"/>
      <c r="O29" s="53">
        <v>1081</v>
      </c>
      <c r="P29" s="46"/>
      <c r="Q29" s="53">
        <v>1135</v>
      </c>
      <c r="R29" s="46"/>
      <c r="S29" s="53">
        <v>1058</v>
      </c>
      <c r="T29" s="92"/>
      <c r="U29" s="1274"/>
      <c r="W29" s="63"/>
      <c r="X29" s="484">
        <f t="shared" si="4"/>
        <v>1047.5999999999999</v>
      </c>
    </row>
    <row r="30" spans="1:27" ht="15" customHeight="1" thickBot="1" x14ac:dyDescent="0.25">
      <c r="A30" s="55" t="s">
        <v>28</v>
      </c>
      <c r="B30" s="95"/>
      <c r="C30" s="96">
        <f>SUM(C26:C29)</f>
        <v>16242</v>
      </c>
      <c r="D30" s="94"/>
      <c r="E30" s="93">
        <f>SUM(E26:E29)</f>
        <v>17212</v>
      </c>
      <c r="F30" s="95"/>
      <c r="G30" s="93">
        <f>SUM(G26:G29)</f>
        <v>17333</v>
      </c>
      <c r="H30" s="95"/>
      <c r="I30" s="93">
        <f>SUM(I26:I29)</f>
        <v>18213</v>
      </c>
      <c r="J30" s="95"/>
      <c r="K30" s="93">
        <f>SUM(K26:K29)</f>
        <v>17589</v>
      </c>
      <c r="L30" s="95"/>
      <c r="M30" s="93">
        <f>SUM(M26:M29)</f>
        <v>19860</v>
      </c>
      <c r="N30" s="95"/>
      <c r="O30" s="93">
        <f>SUM(O26:O29)</f>
        <v>20981</v>
      </c>
      <c r="P30" s="95"/>
      <c r="Q30" s="93">
        <f>SUM(Q26:Q29)</f>
        <v>20396</v>
      </c>
      <c r="R30" s="95"/>
      <c r="S30" s="93">
        <f>SUM(S26:S29)</f>
        <v>20053</v>
      </c>
      <c r="T30" s="95"/>
      <c r="U30" s="1277">
        <f>SUM(U26:U29)</f>
        <v>0</v>
      </c>
      <c r="W30" s="485"/>
      <c r="X30" s="486">
        <f t="shared" si="4"/>
        <v>19775.8</v>
      </c>
    </row>
    <row r="31" spans="1:27" ht="15" customHeight="1" thickTop="1" thickBot="1" x14ac:dyDescent="0.25">
      <c r="A31" s="57"/>
      <c r="B31" s="79"/>
      <c r="C31" s="80"/>
      <c r="D31" s="79"/>
      <c r="E31" s="81"/>
      <c r="F31" s="79"/>
      <c r="G31" s="81"/>
      <c r="H31" s="79"/>
      <c r="I31" s="81"/>
      <c r="J31" s="79"/>
      <c r="K31" s="81"/>
      <c r="L31" s="79"/>
      <c r="M31" s="81"/>
      <c r="N31" s="79"/>
      <c r="O31" s="81"/>
      <c r="P31" s="79"/>
      <c r="Q31" s="81"/>
      <c r="R31" s="79"/>
      <c r="S31" s="81"/>
      <c r="T31" s="79"/>
      <c r="U31" s="81"/>
      <c r="V31" s="85"/>
      <c r="W31" s="84"/>
      <c r="X31" s="80"/>
    </row>
    <row r="32" spans="1:27" s="226" customFormat="1" ht="18" customHeight="1" thickTop="1" thickBot="1" x14ac:dyDescent="0.25">
      <c r="A32" s="175" t="s">
        <v>29</v>
      </c>
      <c r="B32" s="1385" t="s">
        <v>30</v>
      </c>
      <c r="C32" s="1395"/>
      <c r="D32" s="1385" t="s">
        <v>31</v>
      </c>
      <c r="E32" s="1396"/>
      <c r="F32" s="1385" t="s">
        <v>32</v>
      </c>
      <c r="G32" s="1396"/>
      <c r="H32" s="1385" t="s">
        <v>33</v>
      </c>
      <c r="I32" s="1396"/>
      <c r="J32" s="1385" t="s">
        <v>34</v>
      </c>
      <c r="K32" s="1396"/>
      <c r="L32" s="1385" t="s">
        <v>35</v>
      </c>
      <c r="M32" s="1396"/>
      <c r="N32" s="1385" t="s">
        <v>36</v>
      </c>
      <c r="O32" s="1396"/>
      <c r="P32" s="1385" t="s">
        <v>37</v>
      </c>
      <c r="Q32" s="1396"/>
      <c r="R32" s="1385" t="s">
        <v>38</v>
      </c>
      <c r="S32" s="1396"/>
      <c r="T32" s="1385" t="s">
        <v>302</v>
      </c>
      <c r="U32" s="1386"/>
      <c r="V32" s="176"/>
      <c r="W32" s="1382" t="s">
        <v>9</v>
      </c>
      <c r="X32" s="1383"/>
      <c r="Y32" s="279"/>
      <c r="Z32" s="279"/>
      <c r="AA32" s="280"/>
    </row>
    <row r="33" spans="1:27" ht="15" customHeight="1" x14ac:dyDescent="0.2">
      <c r="A33" s="873" t="s">
        <v>267</v>
      </c>
      <c r="B33" s="177"/>
      <c r="C33" s="154">
        <v>3.6999999999999998E-2</v>
      </c>
      <c r="D33" s="281"/>
      <c r="E33" s="129">
        <v>0.03</v>
      </c>
      <c r="F33" s="282"/>
      <c r="G33" s="129">
        <v>2.3E-2</v>
      </c>
      <c r="H33" s="128"/>
      <c r="I33" s="129">
        <v>3.3000000000000002E-2</v>
      </c>
      <c r="J33" s="128"/>
      <c r="K33" s="129">
        <v>3.2000000000000001E-2</v>
      </c>
      <c r="L33" s="128"/>
      <c r="M33" s="129">
        <v>3.7999999999999999E-2</v>
      </c>
      <c r="N33" s="128"/>
      <c r="O33" s="129">
        <v>3.5999999999999997E-2</v>
      </c>
      <c r="P33" s="128"/>
      <c r="Q33" s="129">
        <v>4.3999999999999997E-2</v>
      </c>
      <c r="R33" s="128"/>
      <c r="S33" s="129">
        <v>3.9E-2</v>
      </c>
      <c r="T33" s="181"/>
      <c r="U33" s="182">
        <v>0.04</v>
      </c>
      <c r="V33" s="183"/>
      <c r="W33" s="469"/>
      <c r="X33" s="594">
        <f>AVERAGE(Q33,O33,M33,U33,S33)</f>
        <v>3.9400000000000004E-2</v>
      </c>
      <c r="Y33" s="56"/>
      <c r="Z33" s="56"/>
      <c r="AA33" s="57"/>
    </row>
    <row r="34" spans="1:27" ht="15" customHeight="1" x14ac:dyDescent="0.2">
      <c r="A34" s="874" t="s">
        <v>268</v>
      </c>
      <c r="B34" s="184"/>
      <c r="C34" s="155">
        <v>7.2999999999999995E-2</v>
      </c>
      <c r="D34" s="283"/>
      <c r="E34" s="131">
        <v>7.0999999999999994E-2</v>
      </c>
      <c r="F34" s="284"/>
      <c r="G34" s="131">
        <v>4.8000000000000001E-2</v>
      </c>
      <c r="H34" s="130"/>
      <c r="I34" s="131">
        <v>4.9000000000000002E-2</v>
      </c>
      <c r="J34" s="130"/>
      <c r="K34" s="131">
        <v>2.4E-2</v>
      </c>
      <c r="L34" s="130"/>
      <c r="M34" s="131">
        <v>5.0999999999999997E-2</v>
      </c>
      <c r="N34" s="130"/>
      <c r="O34" s="131">
        <v>4.9000000000000002E-2</v>
      </c>
      <c r="P34" s="130"/>
      <c r="Q34" s="131">
        <v>5.0999999999999997E-2</v>
      </c>
      <c r="R34" s="130"/>
      <c r="S34" s="131">
        <v>4.7E-2</v>
      </c>
      <c r="T34" s="186"/>
      <c r="U34" s="187">
        <v>4.5999999999999999E-2</v>
      </c>
      <c r="V34" s="183"/>
      <c r="W34" s="469"/>
      <c r="X34" s="594">
        <f>AVERAGE(Q34,O34,M34,U34,S34)</f>
        <v>4.8799999999999996E-2</v>
      </c>
      <c r="Y34" s="56"/>
      <c r="Z34" s="56"/>
      <c r="AA34" s="57"/>
    </row>
    <row r="35" spans="1:27" ht="15" customHeight="1" thickBot="1" x14ac:dyDescent="0.25">
      <c r="A35" s="846" t="s">
        <v>271</v>
      </c>
      <c r="B35" s="1403">
        <f>1-C33-C34</f>
        <v>0.89</v>
      </c>
      <c r="C35" s="1404"/>
      <c r="D35" s="1403">
        <f>1-E33-E34</f>
        <v>0.89900000000000002</v>
      </c>
      <c r="E35" s="1404"/>
      <c r="F35" s="1403">
        <f>1-G33-G34</f>
        <v>0.92899999999999994</v>
      </c>
      <c r="G35" s="1404"/>
      <c r="H35" s="1403">
        <f>1-I33-I34</f>
        <v>0.91799999999999993</v>
      </c>
      <c r="I35" s="1404"/>
      <c r="J35" s="1403">
        <f>1-K33-K34</f>
        <v>0.94399999999999995</v>
      </c>
      <c r="K35" s="1404"/>
      <c r="L35" s="1403">
        <f>1-M33-M34</f>
        <v>0.91099999999999992</v>
      </c>
      <c r="M35" s="1404"/>
      <c r="N35" s="1403">
        <f>1-O33-O34</f>
        <v>0.91499999999999992</v>
      </c>
      <c r="O35" s="1404"/>
      <c r="P35" s="1403">
        <f>1-Q33-Q34</f>
        <v>0.90499999999999992</v>
      </c>
      <c r="Q35" s="1404"/>
      <c r="R35" s="1403">
        <f>1-S33-S34</f>
        <v>0.91399999999999992</v>
      </c>
      <c r="S35" s="1404"/>
      <c r="T35" s="1403">
        <f>1-U33-U34</f>
        <v>0.91399999999999992</v>
      </c>
      <c r="U35" s="1406"/>
      <c r="V35" s="183"/>
      <c r="W35" s="1390">
        <f>1-X33-X34</f>
        <v>0.91180000000000005</v>
      </c>
      <c r="X35" s="1391"/>
      <c r="Y35" s="58"/>
      <c r="Z35" s="56"/>
      <c r="AA35" s="57"/>
    </row>
    <row r="36" spans="1:27" s="3" customFormat="1" ht="18" customHeight="1" thickTop="1" thickBot="1" x14ac:dyDescent="0.25">
      <c r="A36" s="194" t="s">
        <v>67</v>
      </c>
      <c r="B36" s="227" t="s">
        <v>39</v>
      </c>
      <c r="C36" s="788" t="s">
        <v>74</v>
      </c>
      <c r="D36" s="789" t="s">
        <v>39</v>
      </c>
      <c r="E36" s="228" t="s">
        <v>74</v>
      </c>
      <c r="F36" s="227" t="s">
        <v>39</v>
      </c>
      <c r="G36" s="788" t="s">
        <v>74</v>
      </c>
      <c r="H36" s="789" t="s">
        <v>39</v>
      </c>
      <c r="I36" s="228" t="s">
        <v>74</v>
      </c>
      <c r="J36" s="227" t="s">
        <v>39</v>
      </c>
      <c r="K36" s="788" t="s">
        <v>74</v>
      </c>
      <c r="L36" s="789" t="s">
        <v>39</v>
      </c>
      <c r="M36" s="228" t="s">
        <v>74</v>
      </c>
      <c r="N36" s="227" t="s">
        <v>39</v>
      </c>
      <c r="O36" s="788" t="s">
        <v>74</v>
      </c>
      <c r="P36" s="789" t="s">
        <v>39</v>
      </c>
      <c r="Q36" s="228" t="s">
        <v>74</v>
      </c>
      <c r="R36" s="227" t="s">
        <v>39</v>
      </c>
      <c r="S36" s="788" t="s">
        <v>74</v>
      </c>
      <c r="T36" s="227" t="s">
        <v>39</v>
      </c>
      <c r="U36" s="790" t="s">
        <v>74</v>
      </c>
      <c r="V36" s="230"/>
      <c r="W36" s="791" t="s">
        <v>39</v>
      </c>
      <c r="X36" s="790" t="s">
        <v>74</v>
      </c>
    </row>
    <row r="37" spans="1:27" ht="15" customHeight="1" x14ac:dyDescent="0.2">
      <c r="A37" s="899" t="s">
        <v>68</v>
      </c>
      <c r="B37" s="834"/>
      <c r="C37" s="835"/>
      <c r="D37" s="834"/>
      <c r="E37" s="835"/>
      <c r="F37" s="834"/>
      <c r="G37" s="835"/>
      <c r="H37" s="234">
        <v>1</v>
      </c>
      <c r="I37" s="235">
        <f>H37/H16</f>
        <v>0.33333333333333331</v>
      </c>
      <c r="J37" s="234">
        <v>1</v>
      </c>
      <c r="K37" s="235">
        <f>J37/J16</f>
        <v>0.2</v>
      </c>
      <c r="L37" s="234">
        <v>1</v>
      </c>
      <c r="M37" s="235">
        <f>L37/L16</f>
        <v>1</v>
      </c>
      <c r="N37" s="234">
        <v>1</v>
      </c>
      <c r="O37" s="235">
        <f>N37/N16</f>
        <v>1</v>
      </c>
      <c r="P37" s="234">
        <v>2</v>
      </c>
      <c r="Q37" s="235">
        <f>P37/P16</f>
        <v>0.5</v>
      </c>
      <c r="R37" s="234">
        <v>2</v>
      </c>
      <c r="S37" s="235">
        <f>R37/R16</f>
        <v>0.66666666666666663</v>
      </c>
      <c r="T37" s="234"/>
      <c r="U37" s="236">
        <f>T37/T16</f>
        <v>0</v>
      </c>
      <c r="V37" s="226"/>
      <c r="W37" s="237">
        <f>AVERAGE(N37,L37,R37,T37,P37)</f>
        <v>1.5</v>
      </c>
      <c r="X37" s="774">
        <f t="shared" ref="X37:X38" si="5">W37/W16</f>
        <v>0.68181818181818177</v>
      </c>
    </row>
    <row r="38" spans="1:27" ht="15" customHeight="1" thickBot="1" x14ac:dyDescent="0.25">
      <c r="A38" s="751" t="s">
        <v>69</v>
      </c>
      <c r="B38" s="836"/>
      <c r="C38" s="837"/>
      <c r="D38" s="836"/>
      <c r="E38" s="837"/>
      <c r="F38" s="836"/>
      <c r="G38" s="837"/>
      <c r="H38" s="239">
        <v>58</v>
      </c>
      <c r="I38" s="240">
        <f>H38/H17</f>
        <v>0.90625</v>
      </c>
      <c r="J38" s="239">
        <v>62</v>
      </c>
      <c r="K38" s="240">
        <f>J38/J17</f>
        <v>0.93939393939393945</v>
      </c>
      <c r="L38" s="239">
        <v>68</v>
      </c>
      <c r="M38" s="240">
        <f>L38/L17</f>
        <v>0.97142857142857142</v>
      </c>
      <c r="N38" s="239">
        <v>61</v>
      </c>
      <c r="O38" s="240">
        <f>N38/N17</f>
        <v>0.953125</v>
      </c>
      <c r="P38" s="239">
        <v>56</v>
      </c>
      <c r="Q38" s="240">
        <f>P38/P17</f>
        <v>0.91803278688524592</v>
      </c>
      <c r="R38" s="239">
        <v>56</v>
      </c>
      <c r="S38" s="240">
        <f>R38/R17</f>
        <v>0.98245614035087714</v>
      </c>
      <c r="T38" s="239"/>
      <c r="U38" s="241">
        <f>T38/T17</f>
        <v>0</v>
      </c>
      <c r="V38" s="226"/>
      <c r="W38" s="242">
        <f>AVERAGE(R38,P38,N38,L38,T38)</f>
        <v>60.25</v>
      </c>
      <c r="X38" s="775">
        <f t="shared" si="5"/>
        <v>0.96864951768488738</v>
      </c>
    </row>
    <row r="39" spans="1:27" ht="15" customHeight="1" thickTop="1" x14ac:dyDescent="0.2">
      <c r="A39" s="37" t="s">
        <v>272</v>
      </c>
      <c r="B39" s="38"/>
      <c r="C39" s="39"/>
      <c r="D39" s="38"/>
      <c r="E39" s="39"/>
      <c r="F39" s="38"/>
      <c r="G39" s="39"/>
      <c r="H39" s="38"/>
      <c r="I39" s="39"/>
      <c r="J39" s="38"/>
      <c r="K39" s="39"/>
      <c r="L39" s="38"/>
      <c r="M39" s="39"/>
      <c r="N39" s="38"/>
      <c r="O39" s="39"/>
      <c r="P39" s="38"/>
      <c r="Q39" s="39"/>
      <c r="R39" s="38"/>
      <c r="S39" s="39"/>
      <c r="T39" s="38"/>
      <c r="U39" s="39"/>
      <c r="W39" s="40"/>
      <c r="X39" s="41"/>
    </row>
    <row r="40" spans="1:27" s="85" customFormat="1" ht="15" customHeight="1" thickBot="1" x14ac:dyDescent="0.25">
      <c r="A40" s="649"/>
      <c r="B40" s="650"/>
      <c r="C40" s="650"/>
      <c r="D40" s="650"/>
      <c r="E40" s="650"/>
      <c r="F40" s="650"/>
      <c r="G40" s="650"/>
      <c r="H40" s="650"/>
      <c r="I40" s="650"/>
      <c r="J40" s="650"/>
      <c r="K40" s="650"/>
      <c r="L40" s="650"/>
      <c r="M40" s="650"/>
      <c r="N40" s="650"/>
      <c r="O40" s="650"/>
      <c r="P40" s="650"/>
      <c r="Q40" s="650"/>
      <c r="R40" s="650"/>
      <c r="S40" s="650"/>
      <c r="T40" s="650"/>
      <c r="U40" s="650"/>
      <c r="V40" s="651"/>
      <c r="W40" s="650"/>
      <c r="X40" s="650"/>
      <c r="Y40" s="56"/>
      <c r="Z40" s="56"/>
      <c r="AA40" s="57"/>
    </row>
    <row r="41" spans="1:27" s="1" customFormat="1" ht="18.75" customHeight="1" thickTop="1" thickBot="1" x14ac:dyDescent="0.25">
      <c r="A41" s="175" t="s">
        <v>247</v>
      </c>
      <c r="B41" s="1385" t="s">
        <v>30</v>
      </c>
      <c r="C41" s="1395"/>
      <c r="D41" s="1385" t="s">
        <v>31</v>
      </c>
      <c r="E41" s="1396"/>
      <c r="F41" s="1385" t="s">
        <v>32</v>
      </c>
      <c r="G41" s="1396"/>
      <c r="H41" s="1385" t="s">
        <v>33</v>
      </c>
      <c r="I41" s="1396"/>
      <c r="J41" s="1385" t="s">
        <v>34</v>
      </c>
      <c r="K41" s="1396"/>
      <c r="L41" s="1385" t="s">
        <v>35</v>
      </c>
      <c r="M41" s="1396"/>
      <c r="N41" s="1385" t="s">
        <v>36</v>
      </c>
      <c r="O41" s="1396"/>
      <c r="P41" s="1385" t="s">
        <v>37</v>
      </c>
      <c r="Q41" s="1396"/>
      <c r="R41" s="1385" t="s">
        <v>38</v>
      </c>
      <c r="S41" s="1396"/>
      <c r="T41" s="1385" t="s">
        <v>302</v>
      </c>
      <c r="U41" s="1386"/>
      <c r="V41" s="195"/>
      <c r="W41" s="1382" t="s">
        <v>9</v>
      </c>
      <c r="X41" s="1383"/>
    </row>
    <row r="42" spans="1:27" s="1" customFormat="1" ht="24" x14ac:dyDescent="0.2">
      <c r="A42" s="715" t="s">
        <v>258</v>
      </c>
      <c r="B42" s="711"/>
      <c r="C42" s="529"/>
      <c r="D42" s="711"/>
      <c r="E42" s="712"/>
      <c r="F42" s="711"/>
      <c r="G42" s="712"/>
      <c r="H42" s="711"/>
      <c r="I42" s="712"/>
      <c r="J42" s="711"/>
      <c r="K42" s="712"/>
      <c r="L42" s="711"/>
      <c r="M42" s="712"/>
      <c r="N42" s="711"/>
      <c r="O42" s="712"/>
      <c r="P42" s="711"/>
      <c r="Q42" s="712"/>
      <c r="R42" s="711"/>
      <c r="S42" s="712"/>
      <c r="T42" s="713"/>
      <c r="U42" s="714"/>
      <c r="V42" s="195"/>
      <c r="W42" s="272"/>
      <c r="X42" s="271"/>
    </row>
    <row r="43" spans="1:27" s="1" customFormat="1" ht="25.5" customHeight="1" x14ac:dyDescent="0.2">
      <c r="A43" s="721" t="s">
        <v>237</v>
      </c>
      <c r="B43" s="186"/>
      <c r="C43" s="653">
        <v>17</v>
      </c>
      <c r="D43" s="186"/>
      <c r="E43" s="653">
        <v>17</v>
      </c>
      <c r="F43" s="186"/>
      <c r="G43" s="653">
        <v>16</v>
      </c>
      <c r="H43" s="186"/>
      <c r="I43" s="653">
        <v>16</v>
      </c>
      <c r="J43" s="186"/>
      <c r="K43" s="653">
        <v>17</v>
      </c>
      <c r="L43" s="186"/>
      <c r="M43" s="653">
        <v>16</v>
      </c>
      <c r="N43" s="186"/>
      <c r="O43" s="653">
        <v>16</v>
      </c>
      <c r="P43" s="186"/>
      <c r="Q43" s="653">
        <v>18</v>
      </c>
      <c r="R43" s="186"/>
      <c r="S43" s="653">
        <v>17</v>
      </c>
      <c r="T43" s="654"/>
      <c r="U43" s="340"/>
      <c r="V43" s="195"/>
      <c r="W43" s="347"/>
      <c r="X43" s="340">
        <f>AVERAGE(O43,M43,S43,U43,Q43)</f>
        <v>16.75</v>
      </c>
    </row>
    <row r="44" spans="1:27" s="1" customFormat="1" ht="25.5" customHeight="1" x14ac:dyDescent="0.2">
      <c r="A44" s="721" t="s">
        <v>239</v>
      </c>
      <c r="B44" s="654"/>
      <c r="C44" s="716">
        <v>17</v>
      </c>
      <c r="D44" s="654"/>
      <c r="E44" s="716">
        <v>17</v>
      </c>
      <c r="F44" s="654"/>
      <c r="G44" s="716">
        <v>16</v>
      </c>
      <c r="H44" s="654"/>
      <c r="I44" s="716">
        <v>16</v>
      </c>
      <c r="J44" s="654"/>
      <c r="K44" s="716">
        <v>17</v>
      </c>
      <c r="L44" s="654"/>
      <c r="M44" s="716">
        <v>16</v>
      </c>
      <c r="N44" s="654"/>
      <c r="O44" s="716">
        <v>16</v>
      </c>
      <c r="P44" s="654"/>
      <c r="Q44" s="716">
        <v>18</v>
      </c>
      <c r="R44" s="654"/>
      <c r="S44" s="716">
        <v>17</v>
      </c>
      <c r="T44" s="654"/>
      <c r="U44" s="340"/>
      <c r="V44" s="195"/>
      <c r="W44" s="1252"/>
      <c r="X44" s="394">
        <f t="shared" ref="X44:X45" si="6">AVERAGE(O44,M44,S44,U44,Q44)</f>
        <v>16.75</v>
      </c>
    </row>
    <row r="45" spans="1:27" s="882" customFormat="1" ht="15" customHeight="1" thickBot="1" x14ac:dyDescent="0.25">
      <c r="A45" s="876" t="s">
        <v>238</v>
      </c>
      <c r="B45" s="877"/>
      <c r="C45" s="878">
        <v>17</v>
      </c>
      <c r="D45" s="877"/>
      <c r="E45" s="878">
        <v>17</v>
      </c>
      <c r="F45" s="877"/>
      <c r="G45" s="878">
        <v>16</v>
      </c>
      <c r="H45" s="877"/>
      <c r="I45" s="878">
        <v>16</v>
      </c>
      <c r="J45" s="877"/>
      <c r="K45" s="878">
        <v>17</v>
      </c>
      <c r="L45" s="877"/>
      <c r="M45" s="878">
        <v>16</v>
      </c>
      <c r="N45" s="877"/>
      <c r="O45" s="878">
        <v>16</v>
      </c>
      <c r="P45" s="877"/>
      <c r="Q45" s="878">
        <v>18</v>
      </c>
      <c r="R45" s="877"/>
      <c r="S45" s="878">
        <v>17</v>
      </c>
      <c r="T45" s="879"/>
      <c r="U45" s="880"/>
      <c r="V45" s="881"/>
      <c r="W45" s="950"/>
      <c r="X45" s="1253">
        <f t="shared" si="6"/>
        <v>16.75</v>
      </c>
    </row>
    <row r="46" spans="1:27" s="1" customFormat="1" ht="15" customHeight="1" thickBot="1" x14ac:dyDescent="0.25">
      <c r="A46" s="795" t="s">
        <v>264</v>
      </c>
      <c r="B46" s="797" t="s">
        <v>40</v>
      </c>
      <c r="C46" s="798" t="s">
        <v>41</v>
      </c>
      <c r="D46" s="799" t="s">
        <v>40</v>
      </c>
      <c r="E46" s="800" t="s">
        <v>41</v>
      </c>
      <c r="F46" s="797" t="s">
        <v>40</v>
      </c>
      <c r="G46" s="798" t="s">
        <v>41</v>
      </c>
      <c r="H46" s="799" t="s">
        <v>40</v>
      </c>
      <c r="I46" s="800" t="s">
        <v>41</v>
      </c>
      <c r="J46" s="797" t="s">
        <v>40</v>
      </c>
      <c r="K46" s="798" t="s">
        <v>41</v>
      </c>
      <c r="L46" s="799" t="s">
        <v>40</v>
      </c>
      <c r="M46" s="800" t="s">
        <v>41</v>
      </c>
      <c r="N46" s="797" t="s">
        <v>40</v>
      </c>
      <c r="O46" s="798" t="s">
        <v>41</v>
      </c>
      <c r="P46" s="799" t="s">
        <v>40</v>
      </c>
      <c r="Q46" s="800" t="s">
        <v>41</v>
      </c>
      <c r="R46" s="797" t="s">
        <v>40</v>
      </c>
      <c r="S46" s="798" t="s">
        <v>41</v>
      </c>
      <c r="T46" s="801" t="s">
        <v>40</v>
      </c>
      <c r="U46" s="802" t="s">
        <v>41</v>
      </c>
      <c r="V46" s="204"/>
      <c r="W46" s="1254" t="s">
        <v>40</v>
      </c>
      <c r="X46" s="804" t="s">
        <v>41</v>
      </c>
    </row>
    <row r="47" spans="1:27" s="1" customFormat="1" ht="15" customHeight="1" x14ac:dyDescent="0.2">
      <c r="A47" s="680" t="s">
        <v>42</v>
      </c>
      <c r="B47" s="681"/>
      <c r="C47" s="805"/>
      <c r="D47" s="806"/>
      <c r="E47" s="682"/>
      <c r="F47" s="681"/>
      <c r="G47" s="807"/>
      <c r="H47" s="808"/>
      <c r="I47" s="682"/>
      <c r="J47" s="681"/>
      <c r="K47" s="807"/>
      <c r="L47" s="808"/>
      <c r="M47" s="682"/>
      <c r="N47" s="681"/>
      <c r="O47" s="807"/>
      <c r="P47" s="808"/>
      <c r="Q47" s="682"/>
      <c r="R47" s="681"/>
      <c r="S47" s="807"/>
      <c r="T47" s="806"/>
      <c r="U47" s="683"/>
      <c r="V47" s="204"/>
      <c r="W47" s="1029"/>
      <c r="X47" s="1030"/>
    </row>
    <row r="48" spans="1:27" s="1" customFormat="1" ht="15" customHeight="1" x14ac:dyDescent="0.2">
      <c r="A48" s="678" t="s">
        <v>43</v>
      </c>
      <c r="B48" s="809"/>
      <c r="C48" s="810">
        <v>19</v>
      </c>
      <c r="D48" s="809"/>
      <c r="E48" s="321">
        <v>18</v>
      </c>
      <c r="F48" s="809"/>
      <c r="G48" s="811">
        <v>18</v>
      </c>
      <c r="H48" s="809"/>
      <c r="I48" s="321">
        <v>19</v>
      </c>
      <c r="J48" s="812">
        <v>18</v>
      </c>
      <c r="K48" s="811">
        <v>18</v>
      </c>
      <c r="L48" s="813">
        <v>18</v>
      </c>
      <c r="M48" s="321">
        <v>18</v>
      </c>
      <c r="N48" s="812">
        <v>18</v>
      </c>
      <c r="O48" s="811">
        <v>18</v>
      </c>
      <c r="P48" s="813">
        <v>19</v>
      </c>
      <c r="Q48" s="321">
        <v>19</v>
      </c>
      <c r="R48" s="812">
        <v>18</v>
      </c>
      <c r="S48" s="811">
        <v>18</v>
      </c>
      <c r="T48" s="814"/>
      <c r="U48" s="322"/>
      <c r="V48" s="204"/>
      <c r="W48" s="936">
        <f>AVERAGE(T48,L48,N48,P48,R48)</f>
        <v>18.25</v>
      </c>
      <c r="X48" s="1031">
        <f t="shared" ref="X48:X53" si="7">AVERAGE(O48,M48,S48,U48,Q48)</f>
        <v>18.25</v>
      </c>
    </row>
    <row r="49" spans="1:24" s="1" customFormat="1" ht="15" customHeight="1" x14ac:dyDescent="0.2">
      <c r="A49" s="678" t="s">
        <v>44</v>
      </c>
      <c r="B49" s="809"/>
      <c r="C49" s="810">
        <v>0</v>
      </c>
      <c r="D49" s="809"/>
      <c r="E49" s="321">
        <v>0</v>
      </c>
      <c r="F49" s="809"/>
      <c r="G49" s="811">
        <v>0</v>
      </c>
      <c r="H49" s="809"/>
      <c r="I49" s="321">
        <v>0</v>
      </c>
      <c r="J49" s="812">
        <v>0</v>
      </c>
      <c r="K49" s="811">
        <v>0</v>
      </c>
      <c r="L49" s="813">
        <v>0.4</v>
      </c>
      <c r="M49" s="321">
        <v>1</v>
      </c>
      <c r="N49" s="812">
        <v>0.5</v>
      </c>
      <c r="O49" s="811">
        <v>1</v>
      </c>
      <c r="P49" s="813">
        <v>0</v>
      </c>
      <c r="Q49" s="321">
        <v>0</v>
      </c>
      <c r="R49" s="812">
        <v>0</v>
      </c>
      <c r="S49" s="811">
        <v>0</v>
      </c>
      <c r="T49" s="814"/>
      <c r="U49" s="322"/>
      <c r="V49" s="204"/>
      <c r="W49" s="936">
        <f t="shared" ref="W49:W53" si="8">AVERAGE(T49,L49,N49,P49,R49)</f>
        <v>0.22500000000000001</v>
      </c>
      <c r="X49" s="1031">
        <f t="shared" si="7"/>
        <v>0.5</v>
      </c>
    </row>
    <row r="50" spans="1:24" s="1" customFormat="1" ht="15" customHeight="1" x14ac:dyDescent="0.2">
      <c r="A50" s="676" t="s">
        <v>45</v>
      </c>
      <c r="B50" s="663"/>
      <c r="C50" s="815"/>
      <c r="D50" s="663"/>
      <c r="E50" s="325"/>
      <c r="F50" s="663"/>
      <c r="G50" s="816"/>
      <c r="H50" s="663"/>
      <c r="I50" s="325"/>
      <c r="J50" s="812"/>
      <c r="K50" s="816"/>
      <c r="L50" s="813"/>
      <c r="M50" s="325"/>
      <c r="N50" s="812"/>
      <c r="O50" s="816"/>
      <c r="P50" s="813"/>
      <c r="Q50" s="325"/>
      <c r="R50" s="812"/>
      <c r="S50" s="816"/>
      <c r="T50" s="814"/>
      <c r="U50" s="340"/>
      <c r="V50" s="204"/>
      <c r="W50" s="936"/>
      <c r="X50" s="1031"/>
    </row>
    <row r="51" spans="1:24" s="1" customFormat="1" ht="15" customHeight="1" x14ac:dyDescent="0.2">
      <c r="A51" s="678" t="s">
        <v>43</v>
      </c>
      <c r="B51" s="809"/>
      <c r="C51" s="815">
        <v>0</v>
      </c>
      <c r="D51" s="809"/>
      <c r="E51" s="325">
        <v>0</v>
      </c>
      <c r="F51" s="809"/>
      <c r="G51" s="816">
        <v>0</v>
      </c>
      <c r="H51" s="809"/>
      <c r="I51" s="325">
        <v>0</v>
      </c>
      <c r="J51" s="812">
        <v>0</v>
      </c>
      <c r="K51" s="816">
        <v>0</v>
      </c>
      <c r="L51" s="813">
        <v>1</v>
      </c>
      <c r="M51" s="325">
        <v>1</v>
      </c>
      <c r="N51" s="812">
        <v>0</v>
      </c>
      <c r="O51" s="816">
        <v>0</v>
      </c>
      <c r="P51" s="813">
        <v>0</v>
      </c>
      <c r="Q51" s="325">
        <v>0</v>
      </c>
      <c r="R51" s="812">
        <v>1</v>
      </c>
      <c r="S51" s="816">
        <v>1</v>
      </c>
      <c r="T51" s="814"/>
      <c r="U51" s="340"/>
      <c r="V51" s="204"/>
      <c r="W51" s="936">
        <f t="shared" si="8"/>
        <v>0.5</v>
      </c>
      <c r="X51" s="1031">
        <f t="shared" si="7"/>
        <v>0.5</v>
      </c>
    </row>
    <row r="52" spans="1:24" s="1" customFormat="1" ht="15" customHeight="1" thickBot="1" x14ac:dyDescent="0.25">
      <c r="A52" s="679" t="s">
        <v>44</v>
      </c>
      <c r="B52" s="817"/>
      <c r="C52" s="818">
        <v>1</v>
      </c>
      <c r="D52" s="817"/>
      <c r="E52" s="476">
        <v>1</v>
      </c>
      <c r="F52" s="817"/>
      <c r="G52" s="819">
        <v>0</v>
      </c>
      <c r="H52" s="817"/>
      <c r="I52" s="476">
        <v>0</v>
      </c>
      <c r="J52" s="820">
        <v>0.1</v>
      </c>
      <c r="K52" s="819">
        <v>1</v>
      </c>
      <c r="L52" s="821">
        <v>0.4</v>
      </c>
      <c r="M52" s="476">
        <v>1</v>
      </c>
      <c r="N52" s="820">
        <v>0.4</v>
      </c>
      <c r="O52" s="819">
        <v>1</v>
      </c>
      <c r="P52" s="821">
        <v>0.4</v>
      </c>
      <c r="Q52" s="476">
        <v>1</v>
      </c>
      <c r="R52" s="820">
        <v>0.4</v>
      </c>
      <c r="S52" s="819">
        <v>1</v>
      </c>
      <c r="T52" s="822"/>
      <c r="U52" s="326"/>
      <c r="V52" s="204"/>
      <c r="W52" s="1020">
        <f t="shared" si="8"/>
        <v>0.4</v>
      </c>
      <c r="X52" s="1032">
        <f t="shared" si="7"/>
        <v>1</v>
      </c>
    </row>
    <row r="53" spans="1:24" s="1" customFormat="1" ht="15" customHeight="1" thickBot="1" x14ac:dyDescent="0.25">
      <c r="A53" s="796" t="s">
        <v>28</v>
      </c>
      <c r="B53" s="823"/>
      <c r="C53" s="824">
        <f>SUM(C48:C52)</f>
        <v>20</v>
      </c>
      <c r="D53" s="823"/>
      <c r="E53" s="825">
        <f>SUM(E48:E52)</f>
        <v>19</v>
      </c>
      <c r="F53" s="823"/>
      <c r="G53" s="826">
        <f>SUM(G48:G52)</f>
        <v>18</v>
      </c>
      <c r="H53" s="823"/>
      <c r="I53" s="825">
        <f t="shared" ref="I53:S53" si="9">SUM(I48:I52)</f>
        <v>19</v>
      </c>
      <c r="J53" s="827">
        <f t="shared" si="9"/>
        <v>18.100000000000001</v>
      </c>
      <c r="K53" s="826">
        <f t="shared" si="9"/>
        <v>19</v>
      </c>
      <c r="L53" s="827">
        <f t="shared" si="9"/>
        <v>19.799999999999997</v>
      </c>
      <c r="M53" s="825">
        <f t="shared" si="9"/>
        <v>21</v>
      </c>
      <c r="N53" s="827">
        <f t="shared" si="9"/>
        <v>18.899999999999999</v>
      </c>
      <c r="O53" s="826">
        <f t="shared" si="9"/>
        <v>20</v>
      </c>
      <c r="P53" s="827">
        <f t="shared" si="9"/>
        <v>19.399999999999999</v>
      </c>
      <c r="Q53" s="825">
        <f t="shared" si="9"/>
        <v>20</v>
      </c>
      <c r="R53" s="827">
        <f t="shared" si="9"/>
        <v>19.399999999999999</v>
      </c>
      <c r="S53" s="826">
        <f t="shared" si="9"/>
        <v>20</v>
      </c>
      <c r="T53" s="827">
        <f t="shared" ref="T53:U53" si="10">SUM(T48:T52)</f>
        <v>0</v>
      </c>
      <c r="U53" s="828">
        <f t="shared" si="10"/>
        <v>0</v>
      </c>
      <c r="V53" s="204"/>
      <c r="W53" s="1028">
        <f t="shared" si="8"/>
        <v>15.5</v>
      </c>
      <c r="X53" s="1033">
        <f t="shared" si="7"/>
        <v>16.2</v>
      </c>
    </row>
    <row r="54" spans="1:24" s="1" customFormat="1" ht="15" customHeight="1" thickBot="1" x14ac:dyDescent="0.25">
      <c r="A54" s="872" t="s">
        <v>253</v>
      </c>
      <c r="B54" s="344" t="s">
        <v>39</v>
      </c>
      <c r="C54" s="707" t="s">
        <v>46</v>
      </c>
      <c r="D54" s="344" t="s">
        <v>39</v>
      </c>
      <c r="E54" s="708" t="s">
        <v>46</v>
      </c>
      <c r="F54" s="829" t="s">
        <v>39</v>
      </c>
      <c r="G54" s="708" t="s">
        <v>46</v>
      </c>
      <c r="H54" s="709" t="s">
        <v>39</v>
      </c>
      <c r="I54" s="830" t="s">
        <v>46</v>
      </c>
      <c r="J54" s="829" t="s">
        <v>39</v>
      </c>
      <c r="K54" s="708" t="s">
        <v>46</v>
      </c>
      <c r="L54" s="709" t="s">
        <v>39</v>
      </c>
      <c r="M54" s="830" t="s">
        <v>46</v>
      </c>
      <c r="N54" s="829" t="s">
        <v>39</v>
      </c>
      <c r="O54" s="708" t="s">
        <v>46</v>
      </c>
      <c r="P54" s="709" t="s">
        <v>39</v>
      </c>
      <c r="Q54" s="830" t="s">
        <v>46</v>
      </c>
      <c r="R54" s="829" t="s">
        <v>39</v>
      </c>
      <c r="S54" s="708" t="s">
        <v>46</v>
      </c>
      <c r="T54" s="709" t="s">
        <v>39</v>
      </c>
      <c r="U54" s="710" t="s">
        <v>46</v>
      </c>
      <c r="V54" s="195"/>
      <c r="W54" s="832" t="s">
        <v>39</v>
      </c>
      <c r="X54" s="804" t="s">
        <v>46</v>
      </c>
    </row>
    <row r="55" spans="1:24" s="1" customFormat="1" ht="15" customHeight="1" x14ac:dyDescent="0.2">
      <c r="A55" s="848" t="s">
        <v>265</v>
      </c>
      <c r="B55" s="280"/>
      <c r="C55" s="792"/>
      <c r="D55" s="459"/>
      <c r="E55" s="793"/>
      <c r="F55" s="280"/>
      <c r="G55" s="793"/>
      <c r="H55" s="280"/>
      <c r="I55" s="793"/>
      <c r="J55" s="280"/>
      <c r="K55" s="793"/>
      <c r="L55" s="280"/>
      <c r="M55" s="793"/>
      <c r="N55" s="280"/>
      <c r="O55" s="793"/>
      <c r="P55" s="280"/>
      <c r="Q55" s="793"/>
      <c r="R55" s="280"/>
      <c r="S55" s="793"/>
      <c r="T55" s="280"/>
      <c r="U55" s="794"/>
      <c r="V55" s="195"/>
      <c r="W55" s="1026"/>
      <c r="X55" s="199"/>
    </row>
    <row r="56" spans="1:24" s="1" customFormat="1" ht="15" customHeight="1" x14ac:dyDescent="0.2">
      <c r="A56" s="706" t="s">
        <v>47</v>
      </c>
      <c r="B56" s="156">
        <f>14</f>
        <v>14</v>
      </c>
      <c r="C56" s="191">
        <f t="shared" ref="C56:C63" si="11">B56/C$53</f>
        <v>0.7</v>
      </c>
      <c r="D56" s="156">
        <v>13</v>
      </c>
      <c r="E56" s="192">
        <f t="shared" ref="E56:E63" si="12">D56/E$53</f>
        <v>0.68421052631578949</v>
      </c>
      <c r="F56" s="160">
        <v>14</v>
      </c>
      <c r="G56" s="192">
        <f t="shared" ref="G56:G63" si="13">F56/G$53</f>
        <v>0.77777777777777779</v>
      </c>
      <c r="H56" s="160">
        <v>14</v>
      </c>
      <c r="I56" s="192">
        <f t="shared" ref="I56:I63" si="14">H56/I$53</f>
        <v>0.73684210526315785</v>
      </c>
      <c r="J56" s="160">
        <f>0+13</f>
        <v>13</v>
      </c>
      <c r="K56" s="192">
        <f t="shared" ref="K56:K63" si="15">J56/K$53</f>
        <v>0.68421052631578949</v>
      </c>
      <c r="L56" s="160">
        <v>14</v>
      </c>
      <c r="M56" s="192">
        <f t="shared" ref="M56:M61" si="16">L56/M$53</f>
        <v>0.66666666666666663</v>
      </c>
      <c r="N56" s="160">
        <v>14</v>
      </c>
      <c r="O56" s="192">
        <f t="shared" ref="O56:Q61" si="17">N56/O$53</f>
        <v>0.7</v>
      </c>
      <c r="P56" s="160">
        <v>14</v>
      </c>
      <c r="Q56" s="192">
        <f t="shared" si="17"/>
        <v>0.7</v>
      </c>
      <c r="R56" s="160">
        <v>13</v>
      </c>
      <c r="S56" s="192">
        <f t="shared" ref="S56:S61" si="18">R56/S$53</f>
        <v>0.65</v>
      </c>
      <c r="T56" s="202"/>
      <c r="U56" s="203" t="e">
        <f t="shared" ref="U56:U61" si="19">T56/U$53</f>
        <v>#DIV/0!</v>
      </c>
      <c r="V56" s="204"/>
      <c r="W56" s="205">
        <f>AVERAGE(N56,L56,R56,T56,P56)</f>
        <v>13.75</v>
      </c>
      <c r="X56" s="206" t="e">
        <f>AVERAGE(O56,M56,S56,U56,Q56)</f>
        <v>#DIV/0!</v>
      </c>
    </row>
    <row r="57" spans="1:24" s="1" customFormat="1" ht="15" customHeight="1" x14ac:dyDescent="0.2">
      <c r="A57" s="207" t="s">
        <v>48</v>
      </c>
      <c r="B57" s="160">
        <v>0</v>
      </c>
      <c r="C57" s="191">
        <f t="shared" si="11"/>
        <v>0</v>
      </c>
      <c r="D57" s="156">
        <v>0</v>
      </c>
      <c r="E57" s="192">
        <f t="shared" si="12"/>
        <v>0</v>
      </c>
      <c r="F57" s="160">
        <v>0</v>
      </c>
      <c r="G57" s="192">
        <f t="shared" si="13"/>
        <v>0</v>
      </c>
      <c r="H57" s="160">
        <v>0</v>
      </c>
      <c r="I57" s="192">
        <f t="shared" si="14"/>
        <v>0</v>
      </c>
      <c r="J57" s="160">
        <f>0+0</f>
        <v>0</v>
      </c>
      <c r="K57" s="192">
        <f t="shared" si="15"/>
        <v>0</v>
      </c>
      <c r="L57" s="160">
        <v>0</v>
      </c>
      <c r="M57" s="192">
        <f t="shared" si="16"/>
        <v>0</v>
      </c>
      <c r="N57" s="160">
        <v>0</v>
      </c>
      <c r="O57" s="192">
        <f t="shared" si="17"/>
        <v>0</v>
      </c>
      <c r="P57" s="160">
        <v>0</v>
      </c>
      <c r="Q57" s="192">
        <f t="shared" si="17"/>
        <v>0</v>
      </c>
      <c r="R57" s="160">
        <v>0</v>
      </c>
      <c r="S57" s="192">
        <f t="shared" si="18"/>
        <v>0</v>
      </c>
      <c r="T57" s="202"/>
      <c r="U57" s="203" t="e">
        <f t="shared" si="19"/>
        <v>#DIV/0!</v>
      </c>
      <c r="V57" s="204"/>
      <c r="W57" s="205">
        <f t="shared" ref="W57:X75" si="20">AVERAGE(N57,L57,R57,T57,P57)</f>
        <v>0</v>
      </c>
      <c r="X57" s="206" t="e">
        <f t="shared" si="20"/>
        <v>#DIV/0!</v>
      </c>
    </row>
    <row r="58" spans="1:24" s="1" customFormat="1" ht="15" customHeight="1" x14ac:dyDescent="0.2">
      <c r="A58" s="207" t="s">
        <v>49</v>
      </c>
      <c r="B58" s="160">
        <v>0</v>
      </c>
      <c r="C58" s="191">
        <f t="shared" si="11"/>
        <v>0</v>
      </c>
      <c r="D58" s="156">
        <v>0</v>
      </c>
      <c r="E58" s="192">
        <f t="shared" si="12"/>
        <v>0</v>
      </c>
      <c r="F58" s="160">
        <v>0</v>
      </c>
      <c r="G58" s="192">
        <f t="shared" si="13"/>
        <v>0</v>
      </c>
      <c r="H58" s="160">
        <v>0</v>
      </c>
      <c r="I58" s="192">
        <f t="shared" si="14"/>
        <v>0</v>
      </c>
      <c r="J58" s="160">
        <f>0</f>
        <v>0</v>
      </c>
      <c r="K58" s="192">
        <f t="shared" si="15"/>
        <v>0</v>
      </c>
      <c r="L58" s="160">
        <v>0</v>
      </c>
      <c r="M58" s="192">
        <f t="shared" si="16"/>
        <v>0</v>
      </c>
      <c r="N58" s="160">
        <v>0</v>
      </c>
      <c r="O58" s="192">
        <f t="shared" si="17"/>
        <v>0</v>
      </c>
      <c r="P58" s="160">
        <v>0</v>
      </c>
      <c r="Q58" s="192">
        <f t="shared" si="17"/>
        <v>0</v>
      </c>
      <c r="R58" s="160">
        <v>1</v>
      </c>
      <c r="S58" s="192">
        <f t="shared" si="18"/>
        <v>0.05</v>
      </c>
      <c r="T58" s="202"/>
      <c r="U58" s="203" t="e">
        <f t="shared" si="19"/>
        <v>#DIV/0!</v>
      </c>
      <c r="V58" s="204"/>
      <c r="W58" s="205">
        <f t="shared" si="20"/>
        <v>0.25</v>
      </c>
      <c r="X58" s="206" t="e">
        <f t="shared" si="20"/>
        <v>#DIV/0!</v>
      </c>
    </row>
    <row r="59" spans="1:24" s="1" customFormat="1" ht="15" customHeight="1" x14ac:dyDescent="0.2">
      <c r="A59" s="207" t="s">
        <v>50</v>
      </c>
      <c r="B59" s="160">
        <v>0</v>
      </c>
      <c r="C59" s="191">
        <f t="shared" si="11"/>
        <v>0</v>
      </c>
      <c r="D59" s="156">
        <v>0</v>
      </c>
      <c r="E59" s="192">
        <f t="shared" si="12"/>
        <v>0</v>
      </c>
      <c r="F59" s="160">
        <v>0</v>
      </c>
      <c r="G59" s="192">
        <f t="shared" si="13"/>
        <v>0</v>
      </c>
      <c r="H59" s="160">
        <v>0</v>
      </c>
      <c r="I59" s="192">
        <f t="shared" si="14"/>
        <v>0</v>
      </c>
      <c r="J59" s="160">
        <f>0</f>
        <v>0</v>
      </c>
      <c r="K59" s="192">
        <f t="shared" si="15"/>
        <v>0</v>
      </c>
      <c r="L59" s="160">
        <v>0</v>
      </c>
      <c r="M59" s="192">
        <f t="shared" si="16"/>
        <v>0</v>
      </c>
      <c r="N59" s="160">
        <v>0</v>
      </c>
      <c r="O59" s="192">
        <f t="shared" si="17"/>
        <v>0</v>
      </c>
      <c r="P59" s="160">
        <v>0</v>
      </c>
      <c r="Q59" s="192">
        <f t="shared" si="17"/>
        <v>0</v>
      </c>
      <c r="R59" s="160">
        <v>0</v>
      </c>
      <c r="S59" s="192">
        <f t="shared" si="18"/>
        <v>0</v>
      </c>
      <c r="T59" s="202"/>
      <c r="U59" s="203" t="e">
        <f t="shared" si="19"/>
        <v>#DIV/0!</v>
      </c>
      <c r="V59" s="204"/>
      <c r="W59" s="205">
        <f t="shared" si="20"/>
        <v>0</v>
      </c>
      <c r="X59" s="206" t="e">
        <f t="shared" si="20"/>
        <v>#DIV/0!</v>
      </c>
    </row>
    <row r="60" spans="1:24" s="1" customFormat="1" ht="15" customHeight="1" x14ac:dyDescent="0.2">
      <c r="A60" s="207" t="s">
        <v>51</v>
      </c>
      <c r="B60" s="160">
        <f>2+1</f>
        <v>3</v>
      </c>
      <c r="C60" s="191">
        <f t="shared" si="11"/>
        <v>0.15</v>
      </c>
      <c r="D60" s="156">
        <f>3+1</f>
        <v>4</v>
      </c>
      <c r="E60" s="192">
        <f t="shared" si="12"/>
        <v>0.21052631578947367</v>
      </c>
      <c r="F60" s="160">
        <v>4</v>
      </c>
      <c r="G60" s="192">
        <f t="shared" si="13"/>
        <v>0.22222222222222221</v>
      </c>
      <c r="H60" s="160">
        <v>4</v>
      </c>
      <c r="I60" s="192">
        <f t="shared" si="14"/>
        <v>0.21052631578947367</v>
      </c>
      <c r="J60" s="160">
        <f>5+0</f>
        <v>5</v>
      </c>
      <c r="K60" s="192">
        <f t="shared" si="15"/>
        <v>0.26315789473684209</v>
      </c>
      <c r="L60" s="160">
        <v>6</v>
      </c>
      <c r="M60" s="192">
        <f t="shared" si="16"/>
        <v>0.2857142857142857</v>
      </c>
      <c r="N60" s="160">
        <v>5</v>
      </c>
      <c r="O60" s="192">
        <f t="shared" si="17"/>
        <v>0.25</v>
      </c>
      <c r="P60" s="160">
        <v>6</v>
      </c>
      <c r="Q60" s="192">
        <f t="shared" si="17"/>
        <v>0.3</v>
      </c>
      <c r="R60" s="160">
        <v>6</v>
      </c>
      <c r="S60" s="192">
        <f t="shared" si="18"/>
        <v>0.3</v>
      </c>
      <c r="T60" s="202"/>
      <c r="U60" s="203" t="e">
        <f t="shared" si="19"/>
        <v>#DIV/0!</v>
      </c>
      <c r="V60" s="204"/>
      <c r="W60" s="205">
        <f t="shared" si="20"/>
        <v>5.75</v>
      </c>
      <c r="X60" s="206" t="e">
        <f t="shared" si="20"/>
        <v>#DIV/0!</v>
      </c>
    </row>
    <row r="61" spans="1:24" s="1" customFormat="1" ht="15" customHeight="1" x14ac:dyDescent="0.2">
      <c r="A61" s="207" t="s">
        <v>52</v>
      </c>
      <c r="B61" s="160">
        <f>3</f>
        <v>3</v>
      </c>
      <c r="C61" s="191">
        <f t="shared" si="11"/>
        <v>0.15</v>
      </c>
      <c r="D61" s="156">
        <v>2</v>
      </c>
      <c r="E61" s="192">
        <f t="shared" si="12"/>
        <v>0.10526315789473684</v>
      </c>
      <c r="F61" s="160">
        <v>0</v>
      </c>
      <c r="G61" s="192">
        <f t="shared" si="13"/>
        <v>0</v>
      </c>
      <c r="H61" s="160">
        <v>1</v>
      </c>
      <c r="I61" s="192">
        <f t="shared" si="14"/>
        <v>5.2631578947368418E-2</v>
      </c>
      <c r="J61" s="160">
        <f>1+0</f>
        <v>1</v>
      </c>
      <c r="K61" s="192">
        <f t="shared" si="15"/>
        <v>5.2631578947368418E-2</v>
      </c>
      <c r="L61" s="160">
        <v>0</v>
      </c>
      <c r="M61" s="192">
        <f t="shared" si="16"/>
        <v>0</v>
      </c>
      <c r="N61" s="160">
        <v>1</v>
      </c>
      <c r="O61" s="192">
        <f t="shared" si="17"/>
        <v>0.05</v>
      </c>
      <c r="P61" s="160">
        <v>0</v>
      </c>
      <c r="Q61" s="192">
        <f t="shared" si="17"/>
        <v>0</v>
      </c>
      <c r="R61" s="160">
        <v>0</v>
      </c>
      <c r="S61" s="192">
        <f t="shared" si="18"/>
        <v>0</v>
      </c>
      <c r="T61" s="202"/>
      <c r="U61" s="203" t="e">
        <f t="shared" si="19"/>
        <v>#DIV/0!</v>
      </c>
      <c r="V61" s="204"/>
      <c r="W61" s="205">
        <f t="shared" si="20"/>
        <v>0.25</v>
      </c>
      <c r="X61" s="206" t="e">
        <f t="shared" si="20"/>
        <v>#DIV/0!</v>
      </c>
    </row>
    <row r="62" spans="1:24" s="1" customFormat="1" ht="15" customHeight="1" x14ac:dyDescent="0.2">
      <c r="A62" s="207" t="s">
        <v>53</v>
      </c>
      <c r="B62" s="161"/>
      <c r="C62" s="191">
        <f t="shared" si="11"/>
        <v>0</v>
      </c>
      <c r="D62" s="157"/>
      <c r="E62" s="192">
        <f t="shared" si="12"/>
        <v>0</v>
      </c>
      <c r="F62" s="161"/>
      <c r="G62" s="192">
        <f t="shared" si="13"/>
        <v>0</v>
      </c>
      <c r="H62" s="162">
        <v>0</v>
      </c>
      <c r="I62" s="192">
        <f t="shared" si="14"/>
        <v>0</v>
      </c>
      <c r="J62" s="162">
        <f>0</f>
        <v>0</v>
      </c>
      <c r="K62" s="192">
        <f t="shared" si="15"/>
        <v>0</v>
      </c>
      <c r="L62" s="162">
        <v>1</v>
      </c>
      <c r="M62" s="192">
        <f>L62/M$53</f>
        <v>4.7619047619047616E-2</v>
      </c>
      <c r="N62" s="162">
        <v>0</v>
      </c>
      <c r="O62" s="192">
        <f>N62/O$53</f>
        <v>0</v>
      </c>
      <c r="P62" s="162">
        <v>0</v>
      </c>
      <c r="Q62" s="192">
        <f>P62/Q$53</f>
        <v>0</v>
      </c>
      <c r="R62" s="162">
        <v>0</v>
      </c>
      <c r="S62" s="192">
        <f>R62/S$53</f>
        <v>0</v>
      </c>
      <c r="T62" s="202"/>
      <c r="U62" s="203" t="e">
        <f>T62/U$53</f>
        <v>#DIV/0!</v>
      </c>
      <c r="V62" s="204"/>
      <c r="W62" s="205">
        <f t="shared" si="20"/>
        <v>0.25</v>
      </c>
      <c r="X62" s="206" t="e">
        <f t="shared" si="20"/>
        <v>#DIV/0!</v>
      </c>
    </row>
    <row r="63" spans="1:24" s="1" customFormat="1" ht="15" customHeight="1" thickBot="1" x14ac:dyDescent="0.25">
      <c r="A63" s="696" t="s">
        <v>54</v>
      </c>
      <c r="B63" s="697">
        <v>0</v>
      </c>
      <c r="C63" s="698">
        <f t="shared" si="11"/>
        <v>0</v>
      </c>
      <c r="D63" s="699">
        <v>0</v>
      </c>
      <c r="E63" s="700">
        <f t="shared" si="12"/>
        <v>0</v>
      </c>
      <c r="F63" s="697">
        <v>0</v>
      </c>
      <c r="G63" s="700">
        <f t="shared" si="13"/>
        <v>0</v>
      </c>
      <c r="H63" s="697">
        <v>0</v>
      </c>
      <c r="I63" s="700">
        <f t="shared" si="14"/>
        <v>0</v>
      </c>
      <c r="J63" s="697">
        <f>0</f>
        <v>0</v>
      </c>
      <c r="K63" s="700">
        <f t="shared" si="15"/>
        <v>0</v>
      </c>
      <c r="L63" s="697">
        <v>0</v>
      </c>
      <c r="M63" s="700">
        <f>L63/M$53</f>
        <v>0</v>
      </c>
      <c r="N63" s="697">
        <v>0</v>
      </c>
      <c r="O63" s="700">
        <f>N63/O$53</f>
        <v>0</v>
      </c>
      <c r="P63" s="697">
        <v>0</v>
      </c>
      <c r="Q63" s="700">
        <f>P63/Q$53</f>
        <v>0</v>
      </c>
      <c r="R63" s="697">
        <v>0</v>
      </c>
      <c r="S63" s="700">
        <f>R63/S$53</f>
        <v>0</v>
      </c>
      <c r="T63" s="701"/>
      <c r="U63" s="702" t="e">
        <f>T63/U$53</f>
        <v>#DIV/0!</v>
      </c>
      <c r="V63" s="204"/>
      <c r="W63" s="727">
        <f t="shared" si="20"/>
        <v>0</v>
      </c>
      <c r="X63" s="728" t="e">
        <f t="shared" si="20"/>
        <v>#DIV/0!</v>
      </c>
    </row>
    <row r="64" spans="1:24" s="1" customFormat="1" ht="15" customHeight="1" x14ac:dyDescent="0.2">
      <c r="A64" s="680" t="s">
        <v>55</v>
      </c>
      <c r="B64" s="684"/>
      <c r="C64" s="685"/>
      <c r="D64" s="686"/>
      <c r="E64" s="687"/>
      <c r="F64" s="684"/>
      <c r="G64" s="687"/>
      <c r="H64" s="684"/>
      <c r="I64" s="687"/>
      <c r="J64" s="684"/>
      <c r="K64" s="687"/>
      <c r="L64" s="684"/>
      <c r="M64" s="687"/>
      <c r="N64" s="684"/>
      <c r="O64" s="687"/>
      <c r="P64" s="684"/>
      <c r="Q64" s="687"/>
      <c r="R64" s="684"/>
      <c r="S64" s="687"/>
      <c r="T64" s="688"/>
      <c r="U64" s="689"/>
      <c r="V64" s="204"/>
      <c r="W64" s="736"/>
      <c r="X64" s="737"/>
    </row>
    <row r="65" spans="1:24" s="1" customFormat="1" ht="15" customHeight="1" x14ac:dyDescent="0.2">
      <c r="A65" s="200" t="s">
        <v>56</v>
      </c>
      <c r="B65" s="48">
        <v>16</v>
      </c>
      <c r="C65" s="191">
        <f>B65/C$53</f>
        <v>0.8</v>
      </c>
      <c r="D65" s="132">
        <v>15</v>
      </c>
      <c r="E65" s="192">
        <f>D65/E$53</f>
        <v>0.78947368421052633</v>
      </c>
      <c r="F65" s="48">
        <v>14</v>
      </c>
      <c r="G65" s="192">
        <f>F65/G$53</f>
        <v>0.77777777777777779</v>
      </c>
      <c r="H65" s="48">
        <v>15</v>
      </c>
      <c r="I65" s="192">
        <f>H65/I$53</f>
        <v>0.78947368421052633</v>
      </c>
      <c r="J65" s="48">
        <f>0+15</f>
        <v>15</v>
      </c>
      <c r="K65" s="192">
        <f>J65/K$53</f>
        <v>0.78947368421052633</v>
      </c>
      <c r="L65" s="48">
        <v>17</v>
      </c>
      <c r="M65" s="192">
        <f>L65/M$53</f>
        <v>0.80952380952380953</v>
      </c>
      <c r="N65" s="48">
        <v>15</v>
      </c>
      <c r="O65" s="192">
        <f>N65/O$53</f>
        <v>0.75</v>
      </c>
      <c r="P65" s="48">
        <v>16</v>
      </c>
      <c r="Q65" s="192">
        <f>P65/Q$53</f>
        <v>0.8</v>
      </c>
      <c r="R65" s="48">
        <v>15</v>
      </c>
      <c r="S65" s="192">
        <f>R65/S$53</f>
        <v>0.75</v>
      </c>
      <c r="T65" s="209"/>
      <c r="U65" s="203" t="e">
        <f>T65/U$53</f>
        <v>#DIV/0!</v>
      </c>
      <c r="V65" s="204"/>
      <c r="W65" s="205">
        <f t="shared" si="20"/>
        <v>15.75</v>
      </c>
      <c r="X65" s="206" t="e">
        <f t="shared" si="20"/>
        <v>#DIV/0!</v>
      </c>
    </row>
    <row r="66" spans="1:24" s="1" customFormat="1" ht="15" customHeight="1" thickBot="1" x14ac:dyDescent="0.25">
      <c r="A66" s="696" t="s">
        <v>57</v>
      </c>
      <c r="B66" s="703">
        <v>4</v>
      </c>
      <c r="C66" s="698">
        <f>B66/C$53</f>
        <v>0.2</v>
      </c>
      <c r="D66" s="704">
        <f>3+1</f>
        <v>4</v>
      </c>
      <c r="E66" s="700">
        <f>D66/E$53</f>
        <v>0.21052631578947367</v>
      </c>
      <c r="F66" s="703">
        <v>4</v>
      </c>
      <c r="G66" s="700">
        <f>F66/G$53</f>
        <v>0.22222222222222221</v>
      </c>
      <c r="H66" s="703">
        <v>4</v>
      </c>
      <c r="I66" s="700">
        <f>H66/I$53</f>
        <v>0.21052631578947367</v>
      </c>
      <c r="J66" s="703">
        <f>1+3</f>
        <v>4</v>
      </c>
      <c r="K66" s="700">
        <f>J66/K$53</f>
        <v>0.21052631578947367</v>
      </c>
      <c r="L66" s="703">
        <v>4</v>
      </c>
      <c r="M66" s="700">
        <f>L66/M$53</f>
        <v>0.19047619047619047</v>
      </c>
      <c r="N66" s="703">
        <v>5</v>
      </c>
      <c r="O66" s="700">
        <f>N66/O$53</f>
        <v>0.25</v>
      </c>
      <c r="P66" s="703">
        <v>4</v>
      </c>
      <c r="Q66" s="700">
        <f>P66/Q$53</f>
        <v>0.2</v>
      </c>
      <c r="R66" s="703">
        <v>5</v>
      </c>
      <c r="S66" s="700">
        <f>R66/S$53</f>
        <v>0.25</v>
      </c>
      <c r="T66" s="705"/>
      <c r="U66" s="702" t="e">
        <f>T66/U$53</f>
        <v>#DIV/0!</v>
      </c>
      <c r="V66" s="204"/>
      <c r="W66" s="727">
        <f t="shared" si="20"/>
        <v>4.5</v>
      </c>
      <c r="X66" s="728" t="e">
        <f t="shared" si="20"/>
        <v>#DIV/0!</v>
      </c>
    </row>
    <row r="67" spans="1:24" s="1" customFormat="1" ht="15" customHeight="1" x14ac:dyDescent="0.2">
      <c r="A67" s="680" t="s">
        <v>58</v>
      </c>
      <c r="B67" s="690"/>
      <c r="C67" s="691"/>
      <c r="D67" s="692"/>
      <c r="E67" s="693"/>
      <c r="F67" s="690"/>
      <c r="G67" s="693"/>
      <c r="H67" s="690"/>
      <c r="I67" s="693"/>
      <c r="J67" s="690"/>
      <c r="K67" s="693"/>
      <c r="L67" s="690"/>
      <c r="M67" s="693"/>
      <c r="N67" s="690"/>
      <c r="O67" s="693"/>
      <c r="P67" s="690"/>
      <c r="Q67" s="693"/>
      <c r="R67" s="690"/>
      <c r="S67" s="693"/>
      <c r="T67" s="694"/>
      <c r="U67" s="695"/>
      <c r="V67" s="204"/>
      <c r="W67" s="736"/>
      <c r="X67" s="737"/>
    </row>
    <row r="68" spans="1:24" s="1" customFormat="1" ht="15" customHeight="1" x14ac:dyDescent="0.2">
      <c r="A68" s="200" t="s">
        <v>59</v>
      </c>
      <c r="B68" s="134">
        <v>12</v>
      </c>
      <c r="C68" s="191">
        <f>B68/C$53</f>
        <v>0.6</v>
      </c>
      <c r="D68" s="133">
        <v>12</v>
      </c>
      <c r="E68" s="192">
        <f>D68/E$53</f>
        <v>0.63157894736842102</v>
      </c>
      <c r="F68" s="134">
        <v>12</v>
      </c>
      <c r="G68" s="192">
        <f>F68/G$53</f>
        <v>0.66666666666666663</v>
      </c>
      <c r="H68" s="134">
        <v>13</v>
      </c>
      <c r="I68" s="192">
        <f>H68/I$53</f>
        <v>0.68421052631578949</v>
      </c>
      <c r="J68" s="134">
        <f>0+13</f>
        <v>13</v>
      </c>
      <c r="K68" s="192">
        <f>J68/K$53</f>
        <v>0.68421052631578949</v>
      </c>
      <c r="L68" s="134">
        <v>15</v>
      </c>
      <c r="M68" s="192">
        <f>L68/M$53</f>
        <v>0.7142857142857143</v>
      </c>
      <c r="N68" s="134">
        <v>14</v>
      </c>
      <c r="O68" s="192">
        <f>N68/O$53</f>
        <v>0.7</v>
      </c>
      <c r="P68" s="134">
        <v>14</v>
      </c>
      <c r="Q68" s="192">
        <f>P68/Q$53</f>
        <v>0.7</v>
      </c>
      <c r="R68" s="134">
        <v>13</v>
      </c>
      <c r="S68" s="192">
        <f>R68/S$53</f>
        <v>0.65</v>
      </c>
      <c r="T68" s="211"/>
      <c r="U68" s="203" t="e">
        <f>T68/U$53</f>
        <v>#DIV/0!</v>
      </c>
      <c r="V68" s="204"/>
      <c r="W68" s="205">
        <f t="shared" si="20"/>
        <v>14</v>
      </c>
      <c r="X68" s="206" t="e">
        <f t="shared" si="20"/>
        <v>#DIV/0!</v>
      </c>
    </row>
    <row r="69" spans="1:24" s="1" customFormat="1" ht="15" customHeight="1" x14ac:dyDescent="0.2">
      <c r="A69" s="200" t="s">
        <v>60</v>
      </c>
      <c r="B69" s="134">
        <v>5</v>
      </c>
      <c r="C69" s="191">
        <f>B69/C$53</f>
        <v>0.25</v>
      </c>
      <c r="D69" s="133">
        <v>5</v>
      </c>
      <c r="E69" s="192">
        <f>D69/E$53</f>
        <v>0.26315789473684209</v>
      </c>
      <c r="F69" s="134">
        <v>4</v>
      </c>
      <c r="G69" s="192">
        <f>F69/G$53</f>
        <v>0.22222222222222221</v>
      </c>
      <c r="H69" s="134">
        <v>3</v>
      </c>
      <c r="I69" s="192">
        <f>H69/I$53</f>
        <v>0.15789473684210525</v>
      </c>
      <c r="J69" s="134">
        <f>0+4</f>
        <v>4</v>
      </c>
      <c r="K69" s="192">
        <f>J69/K$53</f>
        <v>0.21052631578947367</v>
      </c>
      <c r="L69" s="134">
        <v>1</v>
      </c>
      <c r="M69" s="192">
        <f>L69/M$53</f>
        <v>4.7619047619047616E-2</v>
      </c>
      <c r="N69" s="134">
        <v>2</v>
      </c>
      <c r="O69" s="192">
        <f>N69/O$53</f>
        <v>0.1</v>
      </c>
      <c r="P69" s="134">
        <v>4</v>
      </c>
      <c r="Q69" s="192">
        <f>P69/Q$53</f>
        <v>0.2</v>
      </c>
      <c r="R69" s="134">
        <v>4</v>
      </c>
      <c r="S69" s="192">
        <f>R69/S$53</f>
        <v>0.2</v>
      </c>
      <c r="T69" s="211"/>
      <c r="U69" s="203" t="e">
        <f>T69/U$53</f>
        <v>#DIV/0!</v>
      </c>
      <c r="V69" s="204"/>
      <c r="W69" s="205">
        <f t="shared" si="20"/>
        <v>2.75</v>
      </c>
      <c r="X69" s="206" t="e">
        <f t="shared" si="20"/>
        <v>#DIV/0!</v>
      </c>
    </row>
    <row r="70" spans="1:24" s="1" customFormat="1" ht="15" customHeight="1" thickBot="1" x14ac:dyDescent="0.25">
      <c r="A70" s="696" t="s">
        <v>61</v>
      </c>
      <c r="B70" s="703">
        <v>3</v>
      </c>
      <c r="C70" s="698">
        <f>B70/C$53</f>
        <v>0.15</v>
      </c>
      <c r="D70" s="704">
        <f>1+1</f>
        <v>2</v>
      </c>
      <c r="E70" s="700">
        <f>D70/E$53</f>
        <v>0.10526315789473684</v>
      </c>
      <c r="F70" s="703">
        <v>2</v>
      </c>
      <c r="G70" s="700">
        <f>F70/G$53</f>
        <v>0.1111111111111111</v>
      </c>
      <c r="H70" s="703">
        <v>3</v>
      </c>
      <c r="I70" s="700">
        <f>H70/I$53</f>
        <v>0.15789473684210525</v>
      </c>
      <c r="J70" s="703">
        <f>1+1</f>
        <v>2</v>
      </c>
      <c r="K70" s="700">
        <f>J70/K$53</f>
        <v>0.10526315789473684</v>
      </c>
      <c r="L70" s="703">
        <v>5</v>
      </c>
      <c r="M70" s="700">
        <f>L70/M$53</f>
        <v>0.23809523809523808</v>
      </c>
      <c r="N70" s="703">
        <v>4</v>
      </c>
      <c r="O70" s="700">
        <f>N70/O$53</f>
        <v>0.2</v>
      </c>
      <c r="P70" s="703">
        <v>2</v>
      </c>
      <c r="Q70" s="700">
        <f>P70/Q$53</f>
        <v>0.1</v>
      </c>
      <c r="R70" s="703">
        <v>3</v>
      </c>
      <c r="S70" s="700">
        <f>R70/S$53</f>
        <v>0.15</v>
      </c>
      <c r="T70" s="705"/>
      <c r="U70" s="702" t="e">
        <f>T70/U$53</f>
        <v>#DIV/0!</v>
      </c>
      <c r="V70" s="204"/>
      <c r="W70" s="727">
        <f t="shared" si="20"/>
        <v>3.5</v>
      </c>
      <c r="X70" s="728" t="e">
        <f t="shared" si="20"/>
        <v>#DIV/0!</v>
      </c>
    </row>
    <row r="71" spans="1:24" s="1" customFormat="1" ht="15" customHeight="1" x14ac:dyDescent="0.2">
      <c r="A71" s="680" t="s">
        <v>62</v>
      </c>
      <c r="B71" s="690"/>
      <c r="C71" s="691"/>
      <c r="D71" s="692"/>
      <c r="E71" s="693"/>
      <c r="F71" s="690"/>
      <c r="G71" s="693"/>
      <c r="H71" s="690"/>
      <c r="I71" s="693"/>
      <c r="J71" s="690"/>
      <c r="K71" s="693"/>
      <c r="L71" s="690"/>
      <c r="M71" s="693"/>
      <c r="N71" s="690"/>
      <c r="O71" s="693"/>
      <c r="P71" s="690"/>
      <c r="Q71" s="693"/>
      <c r="R71" s="690"/>
      <c r="S71" s="693"/>
      <c r="T71" s="694"/>
      <c r="U71" s="695"/>
      <c r="V71" s="204"/>
      <c r="W71" s="736"/>
      <c r="X71" s="737"/>
    </row>
    <row r="72" spans="1:24" s="1" customFormat="1" ht="15" customHeight="1" x14ac:dyDescent="0.2">
      <c r="A72" s="200" t="s">
        <v>63</v>
      </c>
      <c r="B72" s="134">
        <v>19</v>
      </c>
      <c r="C72" s="191">
        <f>B72/C$53</f>
        <v>0.95</v>
      </c>
      <c r="D72" s="133">
        <f>17+1</f>
        <v>18</v>
      </c>
      <c r="E72" s="192">
        <f>D72/E$53</f>
        <v>0.94736842105263153</v>
      </c>
      <c r="F72" s="134">
        <v>17</v>
      </c>
      <c r="G72" s="192">
        <f>F72/G$53</f>
        <v>0.94444444444444442</v>
      </c>
      <c r="H72" s="134">
        <v>18</v>
      </c>
      <c r="I72" s="192">
        <f>H72/I$53</f>
        <v>0.94736842105263153</v>
      </c>
      <c r="J72" s="134">
        <f>1+17</f>
        <v>18</v>
      </c>
      <c r="K72" s="192">
        <f>J72/K$53</f>
        <v>0.94736842105263153</v>
      </c>
      <c r="L72" s="134">
        <v>20</v>
      </c>
      <c r="M72" s="192">
        <f>L72/M$53</f>
        <v>0.95238095238095233</v>
      </c>
      <c r="N72" s="134">
        <v>19</v>
      </c>
      <c r="O72" s="192">
        <f>N72/O$53</f>
        <v>0.95</v>
      </c>
      <c r="P72" s="134">
        <v>19</v>
      </c>
      <c r="Q72" s="192">
        <f>P72/Q$53</f>
        <v>0.95</v>
      </c>
      <c r="R72" s="134">
        <v>19</v>
      </c>
      <c r="S72" s="192">
        <f>R72/S$53</f>
        <v>0.95</v>
      </c>
      <c r="T72" s="211"/>
      <c r="U72" s="203" t="e">
        <f>T72/U$53</f>
        <v>#DIV/0!</v>
      </c>
      <c r="V72" s="204"/>
      <c r="W72" s="205">
        <f t="shared" si="20"/>
        <v>19.25</v>
      </c>
      <c r="X72" s="206" t="e">
        <f t="shared" si="20"/>
        <v>#DIV/0!</v>
      </c>
    </row>
    <row r="73" spans="1:24" s="1" customFormat="1" ht="15" customHeight="1" x14ac:dyDescent="0.2">
      <c r="A73" s="200" t="s">
        <v>64</v>
      </c>
      <c r="B73" s="134">
        <v>1</v>
      </c>
      <c r="C73" s="191">
        <f>B73/C$53</f>
        <v>0.05</v>
      </c>
      <c r="D73" s="133">
        <v>1</v>
      </c>
      <c r="E73" s="192">
        <f>D73/E$53</f>
        <v>5.2631578947368418E-2</v>
      </c>
      <c r="F73" s="134">
        <v>1</v>
      </c>
      <c r="G73" s="192">
        <f>F73/G$53</f>
        <v>5.5555555555555552E-2</v>
      </c>
      <c r="H73" s="134">
        <v>1</v>
      </c>
      <c r="I73" s="192">
        <f>H73/I$53</f>
        <v>5.2631578947368418E-2</v>
      </c>
      <c r="J73" s="134">
        <f>0+1</f>
        <v>1</v>
      </c>
      <c r="K73" s="192">
        <f>J73/K$53</f>
        <v>5.2631578947368418E-2</v>
      </c>
      <c r="L73" s="134">
        <v>1</v>
      </c>
      <c r="M73" s="192">
        <f>L73/M$53</f>
        <v>4.7619047619047616E-2</v>
      </c>
      <c r="N73" s="134">
        <v>1</v>
      </c>
      <c r="O73" s="192">
        <f>N73/O$53</f>
        <v>0.05</v>
      </c>
      <c r="P73" s="134">
        <v>1</v>
      </c>
      <c r="Q73" s="192">
        <f>P73/Q$53</f>
        <v>0.05</v>
      </c>
      <c r="R73" s="134">
        <v>1</v>
      </c>
      <c r="S73" s="192">
        <f>R73/S$53</f>
        <v>0.05</v>
      </c>
      <c r="T73" s="211"/>
      <c r="U73" s="203" t="e">
        <f>T73/U$53</f>
        <v>#DIV/0!</v>
      </c>
      <c r="V73" s="204"/>
      <c r="W73" s="205">
        <f t="shared" si="20"/>
        <v>1</v>
      </c>
      <c r="X73" s="206" t="e">
        <f t="shared" si="20"/>
        <v>#DIV/0!</v>
      </c>
    </row>
    <row r="74" spans="1:24" s="1" customFormat="1" ht="15" customHeight="1" x14ac:dyDescent="0.2">
      <c r="A74" s="200" t="s">
        <v>65</v>
      </c>
      <c r="B74" s="134">
        <v>0</v>
      </c>
      <c r="C74" s="191">
        <f>B74/C$53</f>
        <v>0</v>
      </c>
      <c r="D74" s="133">
        <v>0</v>
      </c>
      <c r="E74" s="192">
        <f>D74/E$53</f>
        <v>0</v>
      </c>
      <c r="F74" s="134">
        <v>0</v>
      </c>
      <c r="G74" s="192">
        <f>F74/G$53</f>
        <v>0</v>
      </c>
      <c r="H74" s="134">
        <v>0</v>
      </c>
      <c r="I74" s="192">
        <f>H74/I$53</f>
        <v>0</v>
      </c>
      <c r="J74" s="134">
        <f>0</f>
        <v>0</v>
      </c>
      <c r="K74" s="192">
        <f>J74/K$53</f>
        <v>0</v>
      </c>
      <c r="L74" s="134">
        <v>0</v>
      </c>
      <c r="M74" s="192">
        <f>L74/M$53</f>
        <v>0</v>
      </c>
      <c r="N74" s="134">
        <v>0</v>
      </c>
      <c r="O74" s="192">
        <f>N74/O$53</f>
        <v>0</v>
      </c>
      <c r="P74" s="134">
        <v>0</v>
      </c>
      <c r="Q74" s="192">
        <f>P74/Q$53</f>
        <v>0</v>
      </c>
      <c r="R74" s="134">
        <v>0</v>
      </c>
      <c r="S74" s="192">
        <f>R74/S$53</f>
        <v>0</v>
      </c>
      <c r="T74" s="211"/>
      <c r="U74" s="203" t="e">
        <f>T74/U$53</f>
        <v>#DIV/0!</v>
      </c>
      <c r="V74" s="195"/>
      <c r="W74" s="205">
        <f t="shared" si="20"/>
        <v>0</v>
      </c>
      <c r="X74" s="206" t="e">
        <f t="shared" si="20"/>
        <v>#DIV/0!</v>
      </c>
    </row>
    <row r="75" spans="1:24" s="1" customFormat="1" ht="15" customHeight="1" thickBot="1" x14ac:dyDescent="0.25">
      <c r="A75" s="212" t="s">
        <v>66</v>
      </c>
      <c r="B75" s="163">
        <v>0</v>
      </c>
      <c r="C75" s="214">
        <f>B75/C$53</f>
        <v>0</v>
      </c>
      <c r="D75" s="159">
        <v>0</v>
      </c>
      <c r="E75" s="215">
        <f>D75/E$53</f>
        <v>0</v>
      </c>
      <c r="F75" s="163">
        <v>0</v>
      </c>
      <c r="G75" s="215">
        <f>F75/G$53</f>
        <v>0</v>
      </c>
      <c r="H75" s="163">
        <v>0</v>
      </c>
      <c r="I75" s="215">
        <f>H75/I$53</f>
        <v>0</v>
      </c>
      <c r="J75" s="163">
        <v>0</v>
      </c>
      <c r="K75" s="215">
        <f>J75/K$53</f>
        <v>0</v>
      </c>
      <c r="L75" s="163">
        <v>0</v>
      </c>
      <c r="M75" s="215">
        <f>L75/M$53</f>
        <v>0</v>
      </c>
      <c r="N75" s="163">
        <v>0</v>
      </c>
      <c r="O75" s="215">
        <f>N75/O$53</f>
        <v>0</v>
      </c>
      <c r="P75" s="163">
        <v>0</v>
      </c>
      <c r="Q75" s="215">
        <f>P75/Q$53</f>
        <v>0</v>
      </c>
      <c r="R75" s="163">
        <v>0</v>
      </c>
      <c r="S75" s="215">
        <f>R75/S$53</f>
        <v>0</v>
      </c>
      <c r="T75" s="217"/>
      <c r="U75" s="218" t="e">
        <f>T75/U$53</f>
        <v>#DIV/0!</v>
      </c>
      <c r="V75" s="195"/>
      <c r="W75" s="219">
        <f t="shared" si="20"/>
        <v>0</v>
      </c>
      <c r="X75" s="220" t="e">
        <f t="shared" si="20"/>
        <v>#DIV/0!</v>
      </c>
    </row>
    <row r="76" spans="1:24" ht="13.5" thickTop="1" x14ac:dyDescent="0.2">
      <c r="A76" s="743" t="s">
        <v>248</v>
      </c>
    </row>
    <row r="77" spans="1:24" x14ac:dyDescent="0.2">
      <c r="A77" s="1"/>
      <c r="H77" s="65" t="s">
        <v>19</v>
      </c>
      <c r="J77" s="65" t="s">
        <v>19</v>
      </c>
      <c r="L77" s="65" t="s">
        <v>19</v>
      </c>
      <c r="N77" s="65" t="s">
        <v>19</v>
      </c>
      <c r="P77" s="65" t="s">
        <v>19</v>
      </c>
      <c r="R77" s="65" t="s">
        <v>19</v>
      </c>
      <c r="T77" s="65" t="s">
        <v>19</v>
      </c>
    </row>
    <row r="78" spans="1:24" x14ac:dyDescent="0.2">
      <c r="A78" s="1"/>
    </row>
    <row r="79" spans="1:24" x14ac:dyDescent="0.2">
      <c r="A79" s="1"/>
    </row>
    <row r="80" spans="1:24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x14ac:dyDescent="0.2">
      <c r="A84" s="1"/>
    </row>
    <row r="85" spans="1:1" x14ac:dyDescent="0.2">
      <c r="A85" s="1"/>
    </row>
    <row r="86" spans="1:1" x14ac:dyDescent="0.2">
      <c r="A86" s="1"/>
    </row>
    <row r="87" spans="1:1" x14ac:dyDescent="0.2">
      <c r="A87" s="1"/>
    </row>
    <row r="88" spans="1:1" x14ac:dyDescent="0.2">
      <c r="A88" s="1"/>
    </row>
    <row r="89" spans="1:1" x14ac:dyDescent="0.2">
      <c r="A89" s="1"/>
    </row>
    <row r="90" spans="1:1" x14ac:dyDescent="0.2">
      <c r="A90" s="1"/>
    </row>
    <row r="91" spans="1:1" x14ac:dyDescent="0.2">
      <c r="A91" s="1"/>
    </row>
    <row r="92" spans="1:1" x14ac:dyDescent="0.2">
      <c r="A92" s="1"/>
    </row>
    <row r="93" spans="1:1" x14ac:dyDescent="0.2">
      <c r="A93" s="1"/>
    </row>
    <row r="94" spans="1:1" x14ac:dyDescent="0.2">
      <c r="A94" s="1"/>
    </row>
    <row r="95" spans="1:1" x14ac:dyDescent="0.2">
      <c r="A95" s="1"/>
    </row>
    <row r="96" spans="1:1" x14ac:dyDescent="0.2">
      <c r="A96" s="1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x14ac:dyDescent="0.2">
      <c r="A100" s="1"/>
    </row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x14ac:dyDescent="0.2">
      <c r="A107" s="1"/>
    </row>
    <row r="108" spans="1:1" x14ac:dyDescent="0.2">
      <c r="A108" s="1"/>
    </row>
    <row r="109" spans="1:1" x14ac:dyDescent="0.2">
      <c r="A109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x14ac:dyDescent="0.2">
      <c r="A120" s="1"/>
    </row>
    <row r="121" spans="1:1" x14ac:dyDescent="0.2">
      <c r="A121" s="1"/>
    </row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x14ac:dyDescent="0.2">
      <c r="A128" s="1"/>
    </row>
    <row r="129" spans="1:1" x14ac:dyDescent="0.2">
      <c r="A129" s="1"/>
    </row>
    <row r="130" spans="1:1" x14ac:dyDescent="0.2">
      <c r="A130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x14ac:dyDescent="0.2">
      <c r="A152" s="1"/>
    </row>
    <row r="153" spans="1:1" x14ac:dyDescent="0.2">
      <c r="A153" s="1"/>
    </row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  <row r="177" spans="1:1" x14ac:dyDescent="0.2">
      <c r="A177" s="1"/>
    </row>
    <row r="178" spans="1:1" x14ac:dyDescent="0.2">
      <c r="A178" s="1"/>
    </row>
    <row r="179" spans="1:1" x14ac:dyDescent="0.2">
      <c r="A179" s="1"/>
    </row>
    <row r="180" spans="1:1" x14ac:dyDescent="0.2">
      <c r="A180" s="1"/>
    </row>
    <row r="181" spans="1:1" x14ac:dyDescent="0.2">
      <c r="A181" s="1"/>
    </row>
    <row r="182" spans="1:1" x14ac:dyDescent="0.2">
      <c r="A182" s="1"/>
    </row>
    <row r="183" spans="1:1" x14ac:dyDescent="0.2">
      <c r="A183" s="1"/>
    </row>
    <row r="184" spans="1:1" x14ac:dyDescent="0.2">
      <c r="A184" s="1"/>
    </row>
    <row r="185" spans="1:1" x14ac:dyDescent="0.2">
      <c r="A185" s="1"/>
    </row>
    <row r="186" spans="1:1" x14ac:dyDescent="0.2">
      <c r="A186" s="1"/>
    </row>
    <row r="187" spans="1:1" x14ac:dyDescent="0.2">
      <c r="A187" s="1"/>
    </row>
    <row r="188" spans="1:1" x14ac:dyDescent="0.2">
      <c r="A188" s="1"/>
    </row>
    <row r="189" spans="1:1" x14ac:dyDescent="0.2">
      <c r="A189" s="1"/>
    </row>
    <row r="190" spans="1:1" x14ac:dyDescent="0.2">
      <c r="A190" s="1"/>
    </row>
    <row r="191" spans="1:1" x14ac:dyDescent="0.2">
      <c r="A191" s="1"/>
    </row>
    <row r="192" spans="1:1" x14ac:dyDescent="0.2">
      <c r="A192" s="1"/>
    </row>
    <row r="193" spans="1:1" x14ac:dyDescent="0.2">
      <c r="A193" s="1"/>
    </row>
    <row r="194" spans="1:1" x14ac:dyDescent="0.2">
      <c r="A194" s="1"/>
    </row>
    <row r="195" spans="1:1" x14ac:dyDescent="0.2">
      <c r="A195" s="1"/>
    </row>
    <row r="196" spans="1:1" x14ac:dyDescent="0.2">
      <c r="A196" s="1"/>
    </row>
    <row r="197" spans="1:1" x14ac:dyDescent="0.2">
      <c r="A197" s="1"/>
    </row>
    <row r="198" spans="1:1" x14ac:dyDescent="0.2">
      <c r="A198" s="1"/>
    </row>
    <row r="199" spans="1:1" x14ac:dyDescent="0.2">
      <c r="A199" s="1"/>
    </row>
    <row r="200" spans="1:1" x14ac:dyDescent="0.2">
      <c r="A200" s="1"/>
    </row>
    <row r="201" spans="1:1" x14ac:dyDescent="0.2">
      <c r="A201" s="1"/>
    </row>
    <row r="202" spans="1:1" x14ac:dyDescent="0.2">
      <c r="A202" s="1"/>
    </row>
    <row r="203" spans="1:1" x14ac:dyDescent="0.2">
      <c r="A203" s="1"/>
    </row>
    <row r="204" spans="1:1" x14ac:dyDescent="0.2">
      <c r="A204" s="1"/>
    </row>
    <row r="205" spans="1:1" x14ac:dyDescent="0.2">
      <c r="A205" s="1"/>
    </row>
    <row r="206" spans="1:1" x14ac:dyDescent="0.2">
      <c r="A206" s="1"/>
    </row>
    <row r="207" spans="1:1" x14ac:dyDescent="0.2">
      <c r="A207" s="1"/>
    </row>
    <row r="208" spans="1:1" x14ac:dyDescent="0.2">
      <c r="A208" s="1"/>
    </row>
    <row r="209" spans="1:1" x14ac:dyDescent="0.2">
      <c r="A209" s="1"/>
    </row>
    <row r="210" spans="1:1" x14ac:dyDescent="0.2">
      <c r="A210" s="1"/>
    </row>
    <row r="211" spans="1:1" x14ac:dyDescent="0.2">
      <c r="A211" s="1"/>
    </row>
    <row r="212" spans="1:1" x14ac:dyDescent="0.2">
      <c r="A212" s="1"/>
    </row>
    <row r="213" spans="1:1" x14ac:dyDescent="0.2">
      <c r="A213" s="1"/>
    </row>
    <row r="214" spans="1:1" x14ac:dyDescent="0.2">
      <c r="A214" s="1"/>
    </row>
    <row r="215" spans="1:1" x14ac:dyDescent="0.2">
      <c r="A215" s="1"/>
    </row>
    <row r="216" spans="1:1" x14ac:dyDescent="0.2">
      <c r="A216" s="1"/>
    </row>
    <row r="217" spans="1:1" x14ac:dyDescent="0.2">
      <c r="A217" s="1"/>
    </row>
    <row r="218" spans="1:1" x14ac:dyDescent="0.2">
      <c r="A218" s="1"/>
    </row>
    <row r="219" spans="1:1" x14ac:dyDescent="0.2">
      <c r="A219" s="1"/>
    </row>
    <row r="220" spans="1:1" x14ac:dyDescent="0.2">
      <c r="A220" s="1"/>
    </row>
    <row r="221" spans="1:1" x14ac:dyDescent="0.2">
      <c r="A221" s="1"/>
    </row>
    <row r="222" spans="1:1" x14ac:dyDescent="0.2">
      <c r="A222" s="1"/>
    </row>
    <row r="223" spans="1:1" x14ac:dyDescent="0.2">
      <c r="A223" s="1"/>
    </row>
    <row r="224" spans="1:1" x14ac:dyDescent="0.2">
      <c r="A224" s="1"/>
    </row>
    <row r="225" spans="1:1" x14ac:dyDescent="0.2">
      <c r="A225" s="1"/>
    </row>
    <row r="226" spans="1:1" x14ac:dyDescent="0.2">
      <c r="A226" s="1"/>
    </row>
    <row r="227" spans="1:1" x14ac:dyDescent="0.2">
      <c r="A227" s="1"/>
    </row>
    <row r="228" spans="1:1" x14ac:dyDescent="0.2">
      <c r="A228" s="1"/>
    </row>
    <row r="229" spans="1:1" x14ac:dyDescent="0.2">
      <c r="A229" s="1"/>
    </row>
    <row r="230" spans="1:1" x14ac:dyDescent="0.2">
      <c r="A230" s="1"/>
    </row>
    <row r="231" spans="1:1" x14ac:dyDescent="0.2">
      <c r="A231" s="1"/>
    </row>
    <row r="232" spans="1:1" x14ac:dyDescent="0.2">
      <c r="A232" s="1"/>
    </row>
    <row r="233" spans="1:1" x14ac:dyDescent="0.2">
      <c r="A233" s="1"/>
    </row>
    <row r="234" spans="1:1" x14ac:dyDescent="0.2">
      <c r="A234" s="1"/>
    </row>
    <row r="235" spans="1:1" x14ac:dyDescent="0.2">
      <c r="A235" s="1"/>
    </row>
    <row r="236" spans="1:1" x14ac:dyDescent="0.2">
      <c r="A236" s="1"/>
    </row>
    <row r="237" spans="1:1" x14ac:dyDescent="0.2">
      <c r="A237" s="1"/>
    </row>
    <row r="238" spans="1:1" x14ac:dyDescent="0.2">
      <c r="A238" s="1"/>
    </row>
    <row r="239" spans="1:1" x14ac:dyDescent="0.2">
      <c r="A239" s="1"/>
    </row>
    <row r="240" spans="1:1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6" spans="1:1" x14ac:dyDescent="0.2">
      <c r="A296" s="1"/>
    </row>
    <row r="297" spans="1:1" x14ac:dyDescent="0.2">
      <c r="A297" s="1"/>
    </row>
    <row r="298" spans="1:1" x14ac:dyDescent="0.2">
      <c r="A298" s="1"/>
    </row>
    <row r="299" spans="1:1" x14ac:dyDescent="0.2">
      <c r="A299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  <row r="303" spans="1:1" x14ac:dyDescent="0.2">
      <c r="A303" s="1"/>
    </row>
    <row r="304" spans="1:1" x14ac:dyDescent="0.2">
      <c r="A304" s="1"/>
    </row>
    <row r="305" spans="1:1" x14ac:dyDescent="0.2">
      <c r="A305" s="1"/>
    </row>
    <row r="306" spans="1:1" x14ac:dyDescent="0.2">
      <c r="A306" s="1"/>
    </row>
    <row r="307" spans="1:1" x14ac:dyDescent="0.2">
      <c r="A307" s="1"/>
    </row>
    <row r="308" spans="1:1" x14ac:dyDescent="0.2">
      <c r="A308" s="1"/>
    </row>
    <row r="309" spans="1:1" x14ac:dyDescent="0.2">
      <c r="A309" s="1"/>
    </row>
    <row r="310" spans="1:1" x14ac:dyDescent="0.2">
      <c r="A310" s="1"/>
    </row>
    <row r="311" spans="1:1" x14ac:dyDescent="0.2">
      <c r="A311" s="1"/>
    </row>
    <row r="312" spans="1:1" x14ac:dyDescent="0.2">
      <c r="A312" s="1"/>
    </row>
    <row r="313" spans="1:1" x14ac:dyDescent="0.2">
      <c r="A313" s="1"/>
    </row>
    <row r="314" spans="1:1" x14ac:dyDescent="0.2">
      <c r="A314" s="1"/>
    </row>
    <row r="315" spans="1:1" x14ac:dyDescent="0.2">
      <c r="A315" s="1"/>
    </row>
    <row r="316" spans="1:1" x14ac:dyDescent="0.2">
      <c r="A316" s="1"/>
    </row>
    <row r="317" spans="1:1" x14ac:dyDescent="0.2">
      <c r="A317" s="1"/>
    </row>
    <row r="318" spans="1:1" x14ac:dyDescent="0.2">
      <c r="A318" s="1"/>
    </row>
    <row r="319" spans="1:1" x14ac:dyDescent="0.2">
      <c r="A319" s="1"/>
    </row>
    <row r="320" spans="1:1" x14ac:dyDescent="0.2">
      <c r="A320" s="1"/>
    </row>
    <row r="321" spans="1:1" x14ac:dyDescent="0.2">
      <c r="A321" s="1"/>
    </row>
    <row r="322" spans="1:1" x14ac:dyDescent="0.2">
      <c r="A322" s="1"/>
    </row>
    <row r="323" spans="1:1" x14ac:dyDescent="0.2">
      <c r="A323" s="1"/>
    </row>
    <row r="324" spans="1:1" x14ac:dyDescent="0.2">
      <c r="A324" s="1"/>
    </row>
    <row r="325" spans="1:1" x14ac:dyDescent="0.2">
      <c r="A325" s="1"/>
    </row>
    <row r="326" spans="1:1" x14ac:dyDescent="0.2">
      <c r="A326" s="1"/>
    </row>
    <row r="327" spans="1:1" x14ac:dyDescent="0.2">
      <c r="A327" s="1"/>
    </row>
    <row r="328" spans="1:1" x14ac:dyDescent="0.2">
      <c r="A328" s="1"/>
    </row>
    <row r="329" spans="1:1" x14ac:dyDescent="0.2">
      <c r="A329" s="1"/>
    </row>
    <row r="330" spans="1:1" x14ac:dyDescent="0.2">
      <c r="A330" s="1"/>
    </row>
    <row r="331" spans="1:1" x14ac:dyDescent="0.2">
      <c r="A331" s="1"/>
    </row>
    <row r="332" spans="1:1" x14ac:dyDescent="0.2">
      <c r="A332" s="1"/>
    </row>
    <row r="333" spans="1:1" x14ac:dyDescent="0.2">
      <c r="A333" s="1"/>
    </row>
    <row r="334" spans="1:1" x14ac:dyDescent="0.2">
      <c r="A334" s="1"/>
    </row>
    <row r="335" spans="1:1" x14ac:dyDescent="0.2">
      <c r="A335" s="1"/>
    </row>
    <row r="336" spans="1:1" x14ac:dyDescent="0.2">
      <c r="A336" s="1"/>
    </row>
    <row r="337" spans="1:1" x14ac:dyDescent="0.2">
      <c r="A337" s="1"/>
    </row>
    <row r="338" spans="1:1" x14ac:dyDescent="0.2">
      <c r="A338" s="1"/>
    </row>
    <row r="339" spans="1:1" x14ac:dyDescent="0.2">
      <c r="A339" s="1"/>
    </row>
    <row r="340" spans="1:1" x14ac:dyDescent="0.2">
      <c r="A340" s="1"/>
    </row>
    <row r="341" spans="1:1" x14ac:dyDescent="0.2">
      <c r="A341" s="1"/>
    </row>
    <row r="342" spans="1:1" x14ac:dyDescent="0.2">
      <c r="A342" s="1"/>
    </row>
    <row r="343" spans="1:1" x14ac:dyDescent="0.2">
      <c r="A343" s="1"/>
    </row>
    <row r="344" spans="1:1" x14ac:dyDescent="0.2">
      <c r="A344" s="1"/>
    </row>
    <row r="345" spans="1:1" x14ac:dyDescent="0.2">
      <c r="A345" s="1"/>
    </row>
    <row r="346" spans="1:1" x14ac:dyDescent="0.2">
      <c r="A346" s="1"/>
    </row>
    <row r="347" spans="1:1" x14ac:dyDescent="0.2">
      <c r="A347" s="1"/>
    </row>
    <row r="348" spans="1:1" x14ac:dyDescent="0.2">
      <c r="A348" s="1"/>
    </row>
    <row r="349" spans="1:1" x14ac:dyDescent="0.2">
      <c r="A349" s="1"/>
    </row>
    <row r="350" spans="1:1" x14ac:dyDescent="0.2">
      <c r="A350" s="1"/>
    </row>
    <row r="351" spans="1:1" x14ac:dyDescent="0.2">
      <c r="A351" s="1"/>
    </row>
    <row r="352" spans="1:1" x14ac:dyDescent="0.2">
      <c r="A352" s="1"/>
    </row>
    <row r="353" spans="1:1" x14ac:dyDescent="0.2">
      <c r="A353" s="1"/>
    </row>
    <row r="354" spans="1:1" x14ac:dyDescent="0.2">
      <c r="A354" s="1"/>
    </row>
    <row r="355" spans="1:1" x14ac:dyDescent="0.2">
      <c r="A355" s="1"/>
    </row>
    <row r="356" spans="1:1" x14ac:dyDescent="0.2">
      <c r="A356" s="1"/>
    </row>
    <row r="357" spans="1:1" x14ac:dyDescent="0.2">
      <c r="A357" s="1"/>
    </row>
    <row r="358" spans="1:1" x14ac:dyDescent="0.2">
      <c r="A358" s="1"/>
    </row>
    <row r="359" spans="1:1" x14ac:dyDescent="0.2">
      <c r="A359" s="1"/>
    </row>
    <row r="360" spans="1:1" x14ac:dyDescent="0.2">
      <c r="A360" s="1"/>
    </row>
    <row r="361" spans="1:1" x14ac:dyDescent="0.2">
      <c r="A361" s="1"/>
    </row>
    <row r="362" spans="1:1" x14ac:dyDescent="0.2">
      <c r="A362" s="1"/>
    </row>
    <row r="363" spans="1:1" x14ac:dyDescent="0.2">
      <c r="A363" s="1"/>
    </row>
    <row r="364" spans="1:1" x14ac:dyDescent="0.2">
      <c r="A364" s="1"/>
    </row>
    <row r="365" spans="1:1" x14ac:dyDescent="0.2">
      <c r="A365" s="1"/>
    </row>
    <row r="366" spans="1:1" x14ac:dyDescent="0.2">
      <c r="A366" s="1"/>
    </row>
    <row r="367" spans="1:1" x14ac:dyDescent="0.2">
      <c r="A367" s="1"/>
    </row>
    <row r="368" spans="1:1" x14ac:dyDescent="0.2">
      <c r="A368" s="1"/>
    </row>
    <row r="369" spans="1:1" x14ac:dyDescent="0.2">
      <c r="A369" s="1"/>
    </row>
    <row r="370" spans="1:1" x14ac:dyDescent="0.2">
      <c r="A370" s="1"/>
    </row>
    <row r="371" spans="1:1" x14ac:dyDescent="0.2">
      <c r="A371" s="1"/>
    </row>
    <row r="372" spans="1:1" x14ac:dyDescent="0.2">
      <c r="A372" s="1"/>
    </row>
    <row r="373" spans="1:1" x14ac:dyDescent="0.2">
      <c r="A373" s="1"/>
    </row>
    <row r="374" spans="1:1" x14ac:dyDescent="0.2">
      <c r="A374" s="1"/>
    </row>
    <row r="375" spans="1:1" x14ac:dyDescent="0.2">
      <c r="A375" s="1"/>
    </row>
    <row r="376" spans="1:1" x14ac:dyDescent="0.2">
      <c r="A376" s="1"/>
    </row>
    <row r="377" spans="1:1" x14ac:dyDescent="0.2">
      <c r="A377" s="1"/>
    </row>
    <row r="378" spans="1:1" x14ac:dyDescent="0.2">
      <c r="A378" s="1"/>
    </row>
    <row r="379" spans="1:1" x14ac:dyDescent="0.2">
      <c r="A379" s="1"/>
    </row>
    <row r="380" spans="1:1" x14ac:dyDescent="0.2">
      <c r="A380" s="1"/>
    </row>
    <row r="381" spans="1:1" x14ac:dyDescent="0.2">
      <c r="A381" s="1"/>
    </row>
    <row r="382" spans="1:1" x14ac:dyDescent="0.2">
      <c r="A382" s="1"/>
    </row>
    <row r="383" spans="1:1" x14ac:dyDescent="0.2">
      <c r="A383" s="1"/>
    </row>
    <row r="384" spans="1:1" x14ac:dyDescent="0.2">
      <c r="A384" s="1"/>
    </row>
    <row r="385" spans="1:1" x14ac:dyDescent="0.2">
      <c r="A385" s="1"/>
    </row>
    <row r="386" spans="1:1" x14ac:dyDescent="0.2">
      <c r="A386" s="1"/>
    </row>
    <row r="387" spans="1:1" x14ac:dyDescent="0.2">
      <c r="A387" s="1"/>
    </row>
    <row r="388" spans="1:1" x14ac:dyDescent="0.2">
      <c r="A388" s="1"/>
    </row>
    <row r="389" spans="1:1" x14ac:dyDescent="0.2">
      <c r="A389" s="1"/>
    </row>
    <row r="390" spans="1:1" x14ac:dyDescent="0.2">
      <c r="A390" s="1"/>
    </row>
    <row r="391" spans="1:1" x14ac:dyDescent="0.2">
      <c r="A391" s="1"/>
    </row>
    <row r="392" spans="1:1" x14ac:dyDescent="0.2">
      <c r="A392" s="1"/>
    </row>
    <row r="393" spans="1:1" x14ac:dyDescent="0.2">
      <c r="A393" s="1"/>
    </row>
    <row r="394" spans="1:1" x14ac:dyDescent="0.2">
      <c r="A394" s="1"/>
    </row>
    <row r="395" spans="1:1" x14ac:dyDescent="0.2">
      <c r="A395" s="1"/>
    </row>
    <row r="396" spans="1:1" x14ac:dyDescent="0.2">
      <c r="A396" s="1"/>
    </row>
    <row r="397" spans="1:1" x14ac:dyDescent="0.2">
      <c r="A397" s="1"/>
    </row>
    <row r="398" spans="1:1" x14ac:dyDescent="0.2">
      <c r="A398" s="1"/>
    </row>
    <row r="399" spans="1:1" x14ac:dyDescent="0.2">
      <c r="A399" s="1"/>
    </row>
    <row r="400" spans="1:1" x14ac:dyDescent="0.2">
      <c r="A400" s="1"/>
    </row>
    <row r="401" spans="1:1" x14ac:dyDescent="0.2">
      <c r="A401" s="1"/>
    </row>
    <row r="402" spans="1:1" x14ac:dyDescent="0.2">
      <c r="A402" s="1"/>
    </row>
    <row r="403" spans="1:1" x14ac:dyDescent="0.2">
      <c r="A403" s="1"/>
    </row>
    <row r="404" spans="1:1" x14ac:dyDescent="0.2">
      <c r="A404" s="1"/>
    </row>
    <row r="405" spans="1:1" x14ac:dyDescent="0.2">
      <c r="A405" s="1"/>
    </row>
    <row r="406" spans="1:1" x14ac:dyDescent="0.2">
      <c r="A406" s="1"/>
    </row>
    <row r="407" spans="1:1" x14ac:dyDescent="0.2">
      <c r="A407" s="1"/>
    </row>
    <row r="408" spans="1:1" x14ac:dyDescent="0.2">
      <c r="A408" s="1"/>
    </row>
    <row r="409" spans="1:1" x14ac:dyDescent="0.2">
      <c r="A409" s="1"/>
    </row>
    <row r="410" spans="1:1" x14ac:dyDescent="0.2">
      <c r="A410" s="1"/>
    </row>
    <row r="411" spans="1:1" x14ac:dyDescent="0.2">
      <c r="A411" s="1"/>
    </row>
    <row r="412" spans="1:1" x14ac:dyDescent="0.2">
      <c r="A412" s="1"/>
    </row>
    <row r="413" spans="1:1" x14ac:dyDescent="0.2">
      <c r="A413" s="1"/>
    </row>
    <row r="414" spans="1:1" x14ac:dyDescent="0.2">
      <c r="A414" s="1"/>
    </row>
    <row r="415" spans="1:1" x14ac:dyDescent="0.2">
      <c r="A415" s="1"/>
    </row>
    <row r="416" spans="1:1" x14ac:dyDescent="0.2">
      <c r="A416" s="1"/>
    </row>
    <row r="417" spans="1:1" x14ac:dyDescent="0.2">
      <c r="A417" s="1"/>
    </row>
    <row r="418" spans="1:1" x14ac:dyDescent="0.2">
      <c r="A418" s="1"/>
    </row>
    <row r="419" spans="1:1" x14ac:dyDescent="0.2">
      <c r="A419" s="1"/>
    </row>
    <row r="420" spans="1:1" x14ac:dyDescent="0.2">
      <c r="A420" s="1"/>
    </row>
    <row r="421" spans="1:1" x14ac:dyDescent="0.2">
      <c r="A421" s="1"/>
    </row>
    <row r="422" spans="1:1" x14ac:dyDescent="0.2">
      <c r="A422" s="1"/>
    </row>
  </sheetData>
  <mergeCells count="77">
    <mergeCell ref="L18:M18"/>
    <mergeCell ref="N18:O18"/>
    <mergeCell ref="L9:M9"/>
    <mergeCell ref="N9:O9"/>
    <mergeCell ref="P9:Q9"/>
    <mergeCell ref="B18:C18"/>
    <mergeCell ref="D18:E18"/>
    <mergeCell ref="F18:G18"/>
    <mergeCell ref="H18:I18"/>
    <mergeCell ref="J18:K18"/>
    <mergeCell ref="P23:Q23"/>
    <mergeCell ref="R23:S23"/>
    <mergeCell ref="W23:X23"/>
    <mergeCell ref="R18:S18"/>
    <mergeCell ref="W18:X18"/>
    <mergeCell ref="P18:Q18"/>
    <mergeCell ref="T18:U18"/>
    <mergeCell ref="T23:U23"/>
    <mergeCell ref="B25:C25"/>
    <mergeCell ref="D25:E25"/>
    <mergeCell ref="J23:K23"/>
    <mergeCell ref="L23:M23"/>
    <mergeCell ref="N23:O23"/>
    <mergeCell ref="B23:C23"/>
    <mergeCell ref="D23:E23"/>
    <mergeCell ref="F23:G23"/>
    <mergeCell ref="H23:I23"/>
    <mergeCell ref="F25:G25"/>
    <mergeCell ref="H25:I25"/>
    <mergeCell ref="J25:K25"/>
    <mergeCell ref="L25:M25"/>
    <mergeCell ref="N25:O25"/>
    <mergeCell ref="P32:Q32"/>
    <mergeCell ref="R32:S32"/>
    <mergeCell ref="W32:X32"/>
    <mergeCell ref="R25:S25"/>
    <mergeCell ref="W25:X25"/>
    <mergeCell ref="P25:Q25"/>
    <mergeCell ref="T25:U25"/>
    <mergeCell ref="T32:U32"/>
    <mergeCell ref="J32:K32"/>
    <mergeCell ref="L32:M32"/>
    <mergeCell ref="N32:O32"/>
    <mergeCell ref="B32:C32"/>
    <mergeCell ref="D32:E32"/>
    <mergeCell ref="F32:G32"/>
    <mergeCell ref="H32:I32"/>
    <mergeCell ref="R35:S35"/>
    <mergeCell ref="W35:X35"/>
    <mergeCell ref="P35:Q35"/>
    <mergeCell ref="B35:C35"/>
    <mergeCell ref="D35:E35"/>
    <mergeCell ref="F35:G35"/>
    <mergeCell ref="H35:I35"/>
    <mergeCell ref="J35:K35"/>
    <mergeCell ref="L35:M35"/>
    <mergeCell ref="N35:O35"/>
    <mergeCell ref="T35:U35"/>
    <mergeCell ref="B41:C41"/>
    <mergeCell ref="D41:E41"/>
    <mergeCell ref="F41:G41"/>
    <mergeCell ref="H41:I41"/>
    <mergeCell ref="J41:K41"/>
    <mergeCell ref="L41:M41"/>
    <mergeCell ref="N41:O41"/>
    <mergeCell ref="P41:Q41"/>
    <mergeCell ref="R41:S41"/>
    <mergeCell ref="W41:X41"/>
    <mergeCell ref="T41:U41"/>
    <mergeCell ref="W9:X9"/>
    <mergeCell ref="B9:C9"/>
    <mergeCell ref="D9:E9"/>
    <mergeCell ref="F9:G9"/>
    <mergeCell ref="H9:I9"/>
    <mergeCell ref="J9:K9"/>
    <mergeCell ref="R9:S9"/>
    <mergeCell ref="T9:U9"/>
  </mergeCells>
  <pageMargins left="0.5" right="0.5" top="0.5" bottom="0.5" header="0.5" footer="0.25"/>
  <pageSetup scale="70" orientation="landscape" r:id="rId1"/>
  <headerFooter alignWithMargins="0">
    <oddFooter>&amp;L&amp;9Prepared by Planning and Analysis&amp;C&amp;9&amp;P of &amp;N&amp;R&amp;9Updated &amp;D</oddFooter>
  </headerFooter>
  <rowBreaks count="1" manualBreakCount="1">
    <brk id="39" max="16383" man="1"/>
  </rowBreaks>
  <colBreaks count="1" manualBreakCount="1">
    <brk id="21" max="1048575" man="1"/>
  </colBreaks>
  <ignoredErrors>
    <ignoredError sqref="D60:J76 J56:J5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A421"/>
  <sheetViews>
    <sheetView view="pageBreakPreview" zoomScaleNormal="85" zoomScaleSheetLayoutView="100" workbookViewId="0">
      <pane xSplit="1" ySplit="1" topLeftCell="T5" activePane="bottomRight" state="frozen"/>
      <selection activeCell="T36" sqref="T36:U36"/>
      <selection pane="topRight" activeCell="T36" sqref="T36:U36"/>
      <selection pane="bottomLeft" activeCell="T36" sqref="T36:U36"/>
      <selection pane="bottomRight" activeCell="T36" sqref="T36:U36"/>
    </sheetView>
  </sheetViews>
  <sheetFormatPr defaultColWidth="10.28515625" defaultRowHeight="12.75" x14ac:dyDescent="0.2"/>
  <cols>
    <col min="1" max="1" width="33" customWidth="1"/>
    <col min="2" max="2" width="6.7109375" hidden="1" customWidth="1"/>
    <col min="3" max="3" width="10.7109375" hidden="1" customWidth="1"/>
    <col min="4" max="4" width="6.7109375" hidden="1" customWidth="1"/>
    <col min="5" max="5" width="10.7109375" hidden="1" customWidth="1"/>
    <col min="6" max="6" width="6.7109375" customWidth="1"/>
    <col min="7" max="7" width="10.7109375" customWidth="1"/>
    <col min="8" max="8" width="6.7109375" customWidth="1"/>
    <col min="9" max="9" width="10.7109375" customWidth="1"/>
    <col min="10" max="10" width="6.7109375" customWidth="1"/>
    <col min="11" max="11" width="10.7109375" customWidth="1"/>
    <col min="12" max="12" width="6.7109375" customWidth="1"/>
    <col min="13" max="13" width="10.7109375" customWidth="1"/>
    <col min="14" max="14" width="6.7109375" customWidth="1"/>
    <col min="15" max="15" width="10.7109375" customWidth="1"/>
    <col min="16" max="16" width="6.7109375" customWidth="1"/>
    <col min="17" max="17" width="10.7109375" customWidth="1"/>
    <col min="18" max="18" width="6.7109375" customWidth="1"/>
    <col min="19" max="19" width="10.7109375" customWidth="1"/>
    <col min="20" max="20" width="6.7109375" customWidth="1"/>
    <col min="21" max="21" width="10.7109375" customWidth="1"/>
    <col min="22" max="22" width="3.28515625" customWidth="1"/>
    <col min="23" max="23" width="6.7109375" customWidth="1"/>
    <col min="24" max="24" width="10.7109375" customWidth="1"/>
    <col min="25" max="25" width="1.5703125" customWidth="1"/>
  </cols>
  <sheetData>
    <row r="1" spans="1:24" ht="15.75" x14ac:dyDescent="0.25">
      <c r="A1" s="667" t="s">
        <v>240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</row>
    <row r="2" spans="1:24" ht="15.75" x14ac:dyDescent="0.25">
      <c r="A2" s="667" t="s">
        <v>241</v>
      </c>
    </row>
    <row r="3" spans="1:24" ht="15.75" x14ac:dyDescent="0.25">
      <c r="A3" s="667"/>
    </row>
    <row r="4" spans="1:24" ht="15.75" x14ac:dyDescent="0.25">
      <c r="A4" s="668" t="s">
        <v>261</v>
      </c>
    </row>
    <row r="5" spans="1:24" ht="15.75" x14ac:dyDescent="0.25">
      <c r="A5" s="668"/>
    </row>
    <row r="6" spans="1:24" x14ac:dyDescent="0.2">
      <c r="A6" s="3" t="s">
        <v>276</v>
      </c>
    </row>
    <row r="7" spans="1:24" x14ac:dyDescent="0.2">
      <c r="A7" s="720">
        <v>3670020260</v>
      </c>
    </row>
    <row r="8" spans="1:24" ht="13.5" thickBot="1" x14ac:dyDescent="0.25">
      <c r="A8" s="1"/>
    </row>
    <row r="9" spans="1:24" ht="15" customHeight="1" thickTop="1" x14ac:dyDescent="0.2">
      <c r="A9" s="4"/>
      <c r="B9" s="1401" t="s">
        <v>0</v>
      </c>
      <c r="C9" s="1398"/>
      <c r="D9" s="1401" t="s">
        <v>1</v>
      </c>
      <c r="E9" s="1398"/>
      <c r="F9" s="1401" t="s">
        <v>2</v>
      </c>
      <c r="G9" s="1398"/>
      <c r="H9" s="1401" t="s">
        <v>3</v>
      </c>
      <c r="I9" s="1398"/>
      <c r="J9" s="1401" t="s">
        <v>4</v>
      </c>
      <c r="K9" s="1398"/>
      <c r="L9" s="1401" t="s">
        <v>5</v>
      </c>
      <c r="M9" s="1398"/>
      <c r="N9" s="1401" t="s">
        <v>6</v>
      </c>
      <c r="O9" s="1398"/>
      <c r="P9" s="1401" t="s">
        <v>7</v>
      </c>
      <c r="Q9" s="1398"/>
      <c r="R9" s="1401" t="s">
        <v>8</v>
      </c>
      <c r="S9" s="1398"/>
      <c r="T9" s="1401" t="s">
        <v>301</v>
      </c>
      <c r="U9" s="1402"/>
      <c r="W9" s="1407" t="s">
        <v>9</v>
      </c>
      <c r="X9" s="1408"/>
    </row>
    <row r="10" spans="1:24" ht="15" customHeight="1" x14ac:dyDescent="0.2">
      <c r="A10" s="5"/>
      <c r="B10" s="68" t="s">
        <v>287</v>
      </c>
      <c r="C10" s="8" t="s">
        <v>10</v>
      </c>
      <c r="D10" s="68" t="s">
        <v>287</v>
      </c>
      <c r="E10" s="8" t="s">
        <v>10</v>
      </c>
      <c r="F10" s="68" t="s">
        <v>287</v>
      </c>
      <c r="G10" s="8" t="s">
        <v>10</v>
      </c>
      <c r="H10" s="68" t="s">
        <v>287</v>
      </c>
      <c r="I10" s="8" t="s">
        <v>10</v>
      </c>
      <c r="J10" s="68" t="s">
        <v>287</v>
      </c>
      <c r="K10" s="8" t="s">
        <v>10</v>
      </c>
      <c r="L10" s="68" t="s">
        <v>287</v>
      </c>
      <c r="M10" s="8" t="s">
        <v>10</v>
      </c>
      <c r="N10" s="68" t="s">
        <v>287</v>
      </c>
      <c r="O10" s="8" t="s">
        <v>10</v>
      </c>
      <c r="P10" s="68" t="s">
        <v>287</v>
      </c>
      <c r="Q10" s="8" t="s">
        <v>10</v>
      </c>
      <c r="R10" s="68" t="s">
        <v>287</v>
      </c>
      <c r="S10" s="8" t="s">
        <v>10</v>
      </c>
      <c r="T10" s="68" t="s">
        <v>287</v>
      </c>
      <c r="U10" s="97" t="s">
        <v>10</v>
      </c>
      <c r="W10" s="6" t="s">
        <v>287</v>
      </c>
      <c r="X10" s="7" t="s">
        <v>11</v>
      </c>
    </row>
    <row r="11" spans="1:24" ht="15" customHeight="1" thickBot="1" x14ac:dyDescent="0.25">
      <c r="A11" s="70" t="s">
        <v>77</v>
      </c>
      <c r="B11" s="69" t="s">
        <v>12</v>
      </c>
      <c r="C11" s="922" t="s">
        <v>13</v>
      </c>
      <c r="D11" s="69" t="s">
        <v>12</v>
      </c>
      <c r="E11" s="922" t="s">
        <v>13</v>
      </c>
      <c r="F11" s="69" t="s">
        <v>12</v>
      </c>
      <c r="G11" s="922" t="s">
        <v>13</v>
      </c>
      <c r="H11" s="69" t="s">
        <v>12</v>
      </c>
      <c r="I11" s="922" t="s">
        <v>13</v>
      </c>
      <c r="J11" s="69" t="s">
        <v>12</v>
      </c>
      <c r="K11" s="922" t="s">
        <v>13</v>
      </c>
      <c r="L11" s="69" t="s">
        <v>12</v>
      </c>
      <c r="M11" s="922" t="s">
        <v>13</v>
      </c>
      <c r="N11" s="69" t="s">
        <v>12</v>
      </c>
      <c r="O11" s="922" t="s">
        <v>13</v>
      </c>
      <c r="P11" s="69" t="s">
        <v>12</v>
      </c>
      <c r="Q11" s="922" t="s">
        <v>13</v>
      </c>
      <c r="R11" s="69" t="s">
        <v>12</v>
      </c>
      <c r="S11" s="922" t="s">
        <v>13</v>
      </c>
      <c r="T11" s="69" t="s">
        <v>12</v>
      </c>
      <c r="U11" s="10" t="s">
        <v>13</v>
      </c>
      <c r="W11" s="9" t="s">
        <v>12</v>
      </c>
      <c r="X11" s="10" t="s">
        <v>13</v>
      </c>
    </row>
    <row r="12" spans="1:24" ht="36" x14ac:dyDescent="0.2">
      <c r="A12" s="458" t="s">
        <v>100</v>
      </c>
      <c r="B12" s="258"/>
      <c r="C12" s="259"/>
      <c r="D12" s="11"/>
      <c r="E12" s="12"/>
      <c r="F12" s="13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5"/>
      <c r="V12" s="564"/>
      <c r="W12" s="779"/>
      <c r="X12" s="24"/>
    </row>
    <row r="13" spans="1:24" s="23" customFormat="1" ht="15" customHeight="1" x14ac:dyDescent="0.2">
      <c r="A13" s="18" t="s">
        <v>15</v>
      </c>
      <c r="B13" s="20">
        <v>15</v>
      </c>
      <c r="C13" s="262"/>
      <c r="D13" s="22">
        <v>18</v>
      </c>
      <c r="E13" s="264"/>
      <c r="F13" s="20">
        <v>27</v>
      </c>
      <c r="G13" s="264"/>
      <c r="H13" s="20">
        <v>36</v>
      </c>
      <c r="I13" s="264"/>
      <c r="J13" s="20">
        <v>41</v>
      </c>
      <c r="K13" s="264"/>
      <c r="L13" s="20">
        <v>40</v>
      </c>
      <c r="M13" s="264"/>
      <c r="N13" s="20">
        <v>47</v>
      </c>
      <c r="O13" s="264"/>
      <c r="P13" s="20">
        <v>51</v>
      </c>
      <c r="Q13" s="264"/>
      <c r="R13" s="20">
        <f>12+31</f>
        <v>43</v>
      </c>
      <c r="S13" s="264"/>
      <c r="T13" s="20">
        <v>50</v>
      </c>
      <c r="U13" s="266"/>
      <c r="W13" s="16">
        <f>AVERAGE(N13,L13,R13,T13,P13)</f>
        <v>46.2</v>
      </c>
      <c r="X13" s="489"/>
    </row>
    <row r="14" spans="1:24" s="23" customFormat="1" ht="15" customHeight="1" thickBot="1" x14ac:dyDescent="0.25">
      <c r="A14" s="27" t="s">
        <v>16</v>
      </c>
      <c r="B14" s="29">
        <v>37</v>
      </c>
      <c r="C14" s="263"/>
      <c r="D14" s="86">
        <v>42</v>
      </c>
      <c r="E14" s="265"/>
      <c r="F14" s="29">
        <v>54</v>
      </c>
      <c r="G14" s="265"/>
      <c r="H14" s="29">
        <v>56</v>
      </c>
      <c r="I14" s="265"/>
      <c r="J14" s="29">
        <v>66</v>
      </c>
      <c r="K14" s="265"/>
      <c r="L14" s="29">
        <v>66</v>
      </c>
      <c r="M14" s="265"/>
      <c r="N14" s="29">
        <v>79</v>
      </c>
      <c r="O14" s="265"/>
      <c r="P14" s="29">
        <v>75</v>
      </c>
      <c r="Q14" s="265"/>
      <c r="R14" s="29">
        <f>42+47</f>
        <v>89</v>
      </c>
      <c r="S14" s="265"/>
      <c r="T14" s="29">
        <v>95</v>
      </c>
      <c r="U14" s="267"/>
      <c r="W14" s="16">
        <f>AVERAGE(N14,L14,R14,T14,P14)</f>
        <v>80.8</v>
      </c>
      <c r="X14" s="490"/>
    </row>
    <row r="15" spans="1:24" s="73" customFormat="1" ht="15" customHeight="1" thickBot="1" x14ac:dyDescent="0.25">
      <c r="A15" s="98" t="s">
        <v>17</v>
      </c>
      <c r="B15" s="89">
        <f t="shared" ref="B15:R15" si="0">SUM(B13:B14)</f>
        <v>52</v>
      </c>
      <c r="C15" s="100">
        <v>16</v>
      </c>
      <c r="D15" s="89">
        <f t="shared" si="0"/>
        <v>60</v>
      </c>
      <c r="E15" s="100">
        <v>11</v>
      </c>
      <c r="F15" s="89">
        <f t="shared" si="0"/>
        <v>81</v>
      </c>
      <c r="G15" s="100">
        <v>17</v>
      </c>
      <c r="H15" s="89">
        <f t="shared" si="0"/>
        <v>92</v>
      </c>
      <c r="I15" s="100">
        <v>25</v>
      </c>
      <c r="J15" s="89">
        <f t="shared" si="0"/>
        <v>107</v>
      </c>
      <c r="K15" s="100">
        <v>24</v>
      </c>
      <c r="L15" s="89">
        <f t="shared" si="0"/>
        <v>106</v>
      </c>
      <c r="M15" s="100">
        <v>24</v>
      </c>
      <c r="N15" s="640">
        <f t="shared" si="0"/>
        <v>126</v>
      </c>
      <c r="O15" s="100">
        <v>34</v>
      </c>
      <c r="P15" s="89">
        <f t="shared" si="0"/>
        <v>126</v>
      </c>
      <c r="Q15" s="1231">
        <v>27</v>
      </c>
      <c r="R15" s="89">
        <f t="shared" si="0"/>
        <v>132</v>
      </c>
      <c r="S15" s="1231">
        <v>38</v>
      </c>
      <c r="T15" s="1232">
        <v>145</v>
      </c>
      <c r="U15" s="1281">
        <f t="shared" ref="U15" si="1">SUM(U13:U14)</f>
        <v>0</v>
      </c>
      <c r="W15" s="482">
        <f>AVERAGE(N15,L15,R15,T15,P15)</f>
        <v>127</v>
      </c>
      <c r="X15" s="483">
        <f>AVERAGE(O15,M15,K15,S15,Q15)</f>
        <v>29.4</v>
      </c>
    </row>
    <row r="16" spans="1:24" s="73" customFormat="1" ht="15" customHeight="1" thickBot="1" x14ac:dyDescent="0.25">
      <c r="A16" s="28" t="s">
        <v>308</v>
      </c>
      <c r="B16" s="1349"/>
      <c r="C16" s="1350"/>
      <c r="D16" s="1349"/>
      <c r="E16" s="1351"/>
      <c r="F16" s="87"/>
      <c r="G16" s="287"/>
      <c r="H16" s="87"/>
      <c r="I16" s="287"/>
      <c r="J16" s="87"/>
      <c r="K16" s="287"/>
      <c r="L16" s="87"/>
      <c r="M16" s="287"/>
      <c r="N16" s="87"/>
      <c r="O16" s="287"/>
      <c r="P16" s="87"/>
      <c r="Q16" s="287"/>
      <c r="R16" s="87"/>
      <c r="S16" s="287"/>
      <c r="T16" s="20">
        <v>4</v>
      </c>
      <c r="U16" s="1352"/>
      <c r="W16" s="1353"/>
      <c r="X16" s="1354"/>
    </row>
    <row r="17" spans="1:27" s="23" customFormat="1" ht="15" customHeight="1" x14ac:dyDescent="0.2">
      <c r="A17" s="28" t="s">
        <v>18</v>
      </c>
      <c r="B17" s="88">
        <v>0</v>
      </c>
      <c r="C17" s="288">
        <v>2</v>
      </c>
      <c r="D17" s="88">
        <v>4</v>
      </c>
      <c r="E17" s="287">
        <v>4</v>
      </c>
      <c r="F17" s="87">
        <v>7</v>
      </c>
      <c r="G17" s="287">
        <v>4</v>
      </c>
      <c r="H17" s="87">
        <v>15</v>
      </c>
      <c r="I17" s="287">
        <v>6</v>
      </c>
      <c r="J17" s="87">
        <v>14</v>
      </c>
      <c r="K17" s="287">
        <v>3</v>
      </c>
      <c r="L17" s="87">
        <v>11</v>
      </c>
      <c r="M17" s="287">
        <v>3</v>
      </c>
      <c r="N17" s="87">
        <v>16</v>
      </c>
      <c r="O17" s="287">
        <v>5</v>
      </c>
      <c r="P17" s="87">
        <v>16</v>
      </c>
      <c r="Q17" s="287">
        <v>6</v>
      </c>
      <c r="R17" s="87">
        <v>15</v>
      </c>
      <c r="S17" s="287">
        <v>3</v>
      </c>
      <c r="T17" s="20">
        <v>16</v>
      </c>
      <c r="U17" s="152"/>
      <c r="W17" s="16">
        <f>AVERAGE(N17,L17,R17,T17,P17)</f>
        <v>14.8</v>
      </c>
      <c r="X17" s="1258">
        <f t="shared" ref="X17:X18" si="2">AVERAGE(O17,M17,K17,S17,Q17)</f>
        <v>4</v>
      </c>
      <c r="Z17" s="23" t="s">
        <v>19</v>
      </c>
    </row>
    <row r="18" spans="1:27" s="473" customFormat="1" ht="15" customHeight="1" thickBot="1" x14ac:dyDescent="0.25">
      <c r="A18" s="30" t="s">
        <v>20</v>
      </c>
      <c r="B18" s="31">
        <v>33</v>
      </c>
      <c r="C18" s="34">
        <v>12</v>
      </c>
      <c r="D18" s="31">
        <v>38</v>
      </c>
      <c r="E18" s="32">
        <v>8</v>
      </c>
      <c r="F18" s="31">
        <v>20</v>
      </c>
      <c r="G18" s="32">
        <v>14</v>
      </c>
      <c r="H18" s="33">
        <v>17</v>
      </c>
      <c r="I18" s="32">
        <v>6</v>
      </c>
      <c r="J18" s="33">
        <v>17</v>
      </c>
      <c r="K18" s="32">
        <v>6</v>
      </c>
      <c r="L18" s="33">
        <v>19</v>
      </c>
      <c r="M18" s="32">
        <v>8</v>
      </c>
      <c r="N18" s="33">
        <v>18</v>
      </c>
      <c r="O18" s="32">
        <v>7</v>
      </c>
      <c r="P18" s="33">
        <v>20</v>
      </c>
      <c r="Q18" s="32">
        <v>2</v>
      </c>
      <c r="R18" s="33">
        <v>20</v>
      </c>
      <c r="S18" s="32">
        <v>11</v>
      </c>
      <c r="T18" s="33">
        <v>25</v>
      </c>
      <c r="U18" s="1282"/>
      <c r="W18" s="16">
        <f>AVERAGE(N18,L18,R18,T18,P18)</f>
        <v>20.399999999999999</v>
      </c>
      <c r="X18" s="517">
        <f t="shared" si="2"/>
        <v>6.8</v>
      </c>
    </row>
    <row r="19" spans="1:27" ht="18" customHeight="1" thickTop="1" thickBot="1" x14ac:dyDescent="0.25">
      <c r="A19" s="298" t="s">
        <v>71</v>
      </c>
      <c r="B19" s="1380"/>
      <c r="C19" s="1381"/>
      <c r="D19" s="1380"/>
      <c r="E19" s="1381"/>
      <c r="F19" s="1380"/>
      <c r="G19" s="1381"/>
      <c r="H19" s="1380"/>
      <c r="I19" s="1381"/>
      <c r="J19" s="1380"/>
      <c r="K19" s="1381"/>
      <c r="L19" s="1380"/>
      <c r="M19" s="1381"/>
      <c r="N19" s="1380"/>
      <c r="O19" s="1381"/>
      <c r="P19" s="1380"/>
      <c r="Q19" s="1381"/>
      <c r="R19" s="1380"/>
      <c r="S19" s="1381"/>
      <c r="T19" s="1380"/>
      <c r="U19" s="1383"/>
      <c r="V19" s="226"/>
      <c r="W19" s="1382"/>
      <c r="X19" s="1383"/>
    </row>
    <row r="20" spans="1:27" ht="15" customHeight="1" x14ac:dyDescent="0.2">
      <c r="A20" s="1226" t="s">
        <v>79</v>
      </c>
      <c r="B20" s="300"/>
      <c r="C20" s="301"/>
      <c r="D20" s="300"/>
      <c r="E20" s="301"/>
      <c r="F20" s="300"/>
      <c r="G20" s="301"/>
      <c r="H20" s="300"/>
      <c r="I20" s="301"/>
      <c r="J20" s="384"/>
      <c r="K20" s="385"/>
      <c r="L20" s="384"/>
      <c r="M20" s="385"/>
      <c r="N20" s="384"/>
      <c r="O20" s="385"/>
      <c r="P20" s="384"/>
      <c r="Q20" s="385"/>
      <c r="R20" s="384"/>
      <c r="S20" s="385"/>
      <c r="T20" s="384"/>
      <c r="U20" s="386"/>
      <c r="V20" s="226"/>
      <c r="W20" s="851"/>
      <c r="X20" s="852" t="e">
        <f>AVERAGE(O20,M20,I20,K20,Q20)</f>
        <v>#DIV/0!</v>
      </c>
    </row>
    <row r="21" spans="1:27" ht="15" customHeight="1" x14ac:dyDescent="0.2">
      <c r="A21" s="303" t="s">
        <v>72</v>
      </c>
      <c r="B21" s="383"/>
      <c r="C21" s="382"/>
      <c r="D21" s="383"/>
      <c r="E21" s="382"/>
      <c r="F21" s="383"/>
      <c r="G21" s="382"/>
      <c r="H21" s="383"/>
      <c r="I21" s="382"/>
      <c r="J21" s="387"/>
      <c r="K21" s="388">
        <v>0.68</v>
      </c>
      <c r="L21" s="387"/>
      <c r="M21" s="388">
        <v>0.77</v>
      </c>
      <c r="N21" s="387"/>
      <c r="O21" s="388">
        <v>0.62</v>
      </c>
      <c r="P21" s="387"/>
      <c r="Q21" s="388">
        <v>0.6</v>
      </c>
      <c r="R21" s="387"/>
      <c r="S21" s="388" t="s">
        <v>19</v>
      </c>
      <c r="T21" s="387"/>
      <c r="U21" s="1271"/>
      <c r="V21" s="226"/>
      <c r="W21" s="853"/>
      <c r="X21" s="1255">
        <f t="shared" ref="X21:X22" si="3">AVERAGE(O21,M21,K21,S21,Q21)</f>
        <v>0.66750000000000009</v>
      </c>
    </row>
    <row r="22" spans="1:27" ht="15" customHeight="1" thickBot="1" x14ac:dyDescent="0.25">
      <c r="A22" s="539" t="s">
        <v>73</v>
      </c>
      <c r="B22" s="544"/>
      <c r="C22" s="545"/>
      <c r="D22" s="544"/>
      <c r="E22" s="545"/>
      <c r="F22" s="544"/>
      <c r="G22" s="545"/>
      <c r="H22" s="544"/>
      <c r="I22" s="545"/>
      <c r="J22" s="540"/>
      <c r="K22" s="541">
        <v>0.32</v>
      </c>
      <c r="L22" s="540"/>
      <c r="M22" s="541">
        <v>0.14000000000000001</v>
      </c>
      <c r="N22" s="540"/>
      <c r="O22" s="541">
        <v>0.23</v>
      </c>
      <c r="P22" s="540"/>
      <c r="Q22" s="541">
        <v>0.3</v>
      </c>
      <c r="R22" s="540"/>
      <c r="S22" s="541"/>
      <c r="T22" s="540"/>
      <c r="U22" s="1272"/>
      <c r="V22" s="226"/>
      <c r="W22" s="854"/>
      <c r="X22" s="1255">
        <f t="shared" si="3"/>
        <v>0.2475</v>
      </c>
    </row>
    <row r="23" spans="1:27" ht="18" customHeight="1" thickTop="1" thickBot="1" x14ac:dyDescent="0.25">
      <c r="A23" s="221" t="s">
        <v>78</v>
      </c>
      <c r="B23" s="1380"/>
      <c r="C23" s="1381"/>
      <c r="D23" s="1380"/>
      <c r="E23" s="1381"/>
      <c r="F23" s="1380"/>
      <c r="G23" s="1381"/>
      <c r="H23" s="1380"/>
      <c r="I23" s="1381"/>
      <c r="J23" s="1380"/>
      <c r="K23" s="1381"/>
      <c r="L23" s="1380"/>
      <c r="M23" s="1381"/>
      <c r="N23" s="1380"/>
      <c r="O23" s="1381"/>
      <c r="P23" s="1380"/>
      <c r="Q23" s="1381"/>
      <c r="R23" s="1380"/>
      <c r="S23" s="1381"/>
      <c r="T23" s="1380"/>
      <c r="U23" s="1383"/>
      <c r="V23" s="226"/>
      <c r="W23" s="1382"/>
      <c r="X23" s="1383"/>
    </row>
    <row r="24" spans="1:27" ht="15" customHeight="1" thickBot="1" x14ac:dyDescent="0.25">
      <c r="A24" s="222" t="s">
        <v>208</v>
      </c>
      <c r="B24" s="223"/>
      <c r="C24" s="224">
        <v>22.4</v>
      </c>
      <c r="D24" s="223"/>
      <c r="E24" s="224">
        <v>23.2</v>
      </c>
      <c r="F24" s="223"/>
      <c r="G24" s="224">
        <v>22.8</v>
      </c>
      <c r="H24" s="223"/>
      <c r="I24" s="224">
        <v>22.3</v>
      </c>
      <c r="J24" s="223"/>
      <c r="K24" s="224">
        <v>22</v>
      </c>
      <c r="L24" s="223"/>
      <c r="M24" s="224">
        <v>22.9</v>
      </c>
      <c r="N24" s="223"/>
      <c r="O24" s="755">
        <v>22</v>
      </c>
      <c r="P24" s="223"/>
      <c r="Q24" s="224">
        <v>21.7</v>
      </c>
      <c r="R24" s="223"/>
      <c r="S24" s="224">
        <v>23.1</v>
      </c>
      <c r="T24" s="223"/>
      <c r="U24" s="225"/>
      <c r="V24" s="226"/>
      <c r="W24" s="247"/>
      <c r="X24" s="757">
        <f>AVERAGE(O24,M24,S24,U24,Q24)</f>
        <v>22.425000000000001</v>
      </c>
    </row>
    <row r="25" spans="1:27" ht="18" customHeight="1" thickTop="1" thickBot="1" x14ac:dyDescent="0.25">
      <c r="A25" s="314" t="s">
        <v>22</v>
      </c>
      <c r="B25" s="1380"/>
      <c r="C25" s="1381"/>
      <c r="D25" s="1380"/>
      <c r="E25" s="1381"/>
      <c r="F25" s="1380"/>
      <c r="G25" s="1381"/>
      <c r="H25" s="1380"/>
      <c r="I25" s="1381"/>
      <c r="J25" s="1380"/>
      <c r="K25" s="1381"/>
      <c r="L25" s="1380"/>
      <c r="M25" s="1381"/>
      <c r="N25" s="1380"/>
      <c r="O25" s="1381"/>
      <c r="P25" s="1380"/>
      <c r="Q25" s="1381"/>
      <c r="R25" s="1380"/>
      <c r="S25" s="1381"/>
      <c r="T25" s="1380"/>
      <c r="U25" s="1383"/>
      <c r="V25" s="226"/>
      <c r="W25" s="1382"/>
      <c r="X25" s="1383"/>
    </row>
    <row r="26" spans="1:27" ht="15" customHeight="1" x14ac:dyDescent="0.2">
      <c r="A26" s="305" t="s">
        <v>24</v>
      </c>
      <c r="B26" s="315"/>
      <c r="C26" s="209">
        <v>6331</v>
      </c>
      <c r="D26" s="316"/>
      <c r="E26" s="321">
        <v>6375</v>
      </c>
      <c r="F26" s="315"/>
      <c r="G26" s="321">
        <v>5945</v>
      </c>
      <c r="H26" s="315"/>
      <c r="I26" s="321">
        <f>328+3441+2641</f>
        <v>6410</v>
      </c>
      <c r="J26" s="315"/>
      <c r="K26" s="321">
        <f>307+3493+2829</f>
        <v>6629</v>
      </c>
      <c r="L26" s="315"/>
      <c r="M26" s="321">
        <v>7269</v>
      </c>
      <c r="N26" s="315"/>
      <c r="O26" s="321">
        <v>7423</v>
      </c>
      <c r="P26" s="315"/>
      <c r="Q26" s="321">
        <v>7484</v>
      </c>
      <c r="R26" s="315"/>
      <c r="S26" s="321">
        <v>6756</v>
      </c>
      <c r="T26" s="315"/>
      <c r="U26" s="1273"/>
      <c r="V26" s="226"/>
      <c r="W26" s="50"/>
      <c r="X26" s="51">
        <f>AVERAGE(O26,M26,S26,K26,Q26)</f>
        <v>7112.2</v>
      </c>
    </row>
    <row r="27" spans="1:27" ht="15" customHeight="1" x14ac:dyDescent="0.2">
      <c r="A27" s="305" t="s">
        <v>25</v>
      </c>
      <c r="B27" s="315"/>
      <c r="C27" s="209">
        <v>4388</v>
      </c>
      <c r="D27" s="316"/>
      <c r="E27" s="321">
        <v>5049</v>
      </c>
      <c r="F27" s="315"/>
      <c r="G27" s="321">
        <v>4991</v>
      </c>
      <c r="H27" s="315"/>
      <c r="I27" s="321">
        <f>672+2187+2103</f>
        <v>4962</v>
      </c>
      <c r="J27" s="315"/>
      <c r="K27" s="321">
        <f>528+1881+1983</f>
        <v>4392</v>
      </c>
      <c r="L27" s="315"/>
      <c r="M27" s="321">
        <v>4605</v>
      </c>
      <c r="N27" s="315"/>
      <c r="O27" s="321">
        <v>4161</v>
      </c>
      <c r="P27" s="315"/>
      <c r="Q27" s="321">
        <v>3987</v>
      </c>
      <c r="R27" s="315"/>
      <c r="S27" s="321">
        <v>4155</v>
      </c>
      <c r="T27" s="315"/>
      <c r="U27" s="1273"/>
      <c r="V27" s="226"/>
      <c r="W27" s="52"/>
      <c r="X27" s="51">
        <f t="shared" ref="X27:X30" si="4">AVERAGE(O27,M27,S27,K27,Q27)</f>
        <v>4260</v>
      </c>
    </row>
    <row r="28" spans="1:27" ht="15" customHeight="1" x14ac:dyDescent="0.2">
      <c r="A28" s="305" t="s">
        <v>26</v>
      </c>
      <c r="B28" s="315"/>
      <c r="C28" s="209">
        <v>284</v>
      </c>
      <c r="D28" s="316"/>
      <c r="E28" s="321">
        <v>315</v>
      </c>
      <c r="F28" s="315"/>
      <c r="G28" s="321">
        <v>283</v>
      </c>
      <c r="H28" s="315"/>
      <c r="I28" s="321">
        <f>23+128+89</f>
        <v>240</v>
      </c>
      <c r="J28" s="315"/>
      <c r="K28" s="321">
        <f>11+112+38</f>
        <v>161</v>
      </c>
      <c r="L28" s="315"/>
      <c r="M28" s="321">
        <v>239</v>
      </c>
      <c r="N28" s="315"/>
      <c r="O28" s="321">
        <v>191</v>
      </c>
      <c r="P28" s="315"/>
      <c r="Q28" s="321">
        <v>238</v>
      </c>
      <c r="R28" s="315"/>
      <c r="S28" s="321">
        <v>274</v>
      </c>
      <c r="T28" s="315"/>
      <c r="U28" s="1273"/>
      <c r="V28" s="226"/>
      <c r="W28" s="52"/>
      <c r="X28" s="51">
        <f t="shared" si="4"/>
        <v>220.6</v>
      </c>
    </row>
    <row r="29" spans="1:27" ht="15" customHeight="1" thickBot="1" x14ac:dyDescent="0.25">
      <c r="A29" s="305" t="s">
        <v>27</v>
      </c>
      <c r="B29" s="83"/>
      <c r="C29" s="324"/>
      <c r="D29" s="316"/>
      <c r="E29" s="325"/>
      <c r="F29" s="315"/>
      <c r="G29" s="325"/>
      <c r="H29" s="315"/>
      <c r="I29" s="325"/>
      <c r="J29" s="315"/>
      <c r="K29" s="325"/>
      <c r="L29" s="315"/>
      <c r="M29" s="325"/>
      <c r="N29" s="315"/>
      <c r="O29" s="325"/>
      <c r="P29" s="315"/>
      <c r="Q29" s="325"/>
      <c r="R29" s="315"/>
      <c r="S29" s="325"/>
      <c r="T29" s="83"/>
      <c r="U29" s="1274"/>
      <c r="V29" s="226"/>
      <c r="W29" s="63"/>
      <c r="X29" s="484"/>
    </row>
    <row r="30" spans="1:27" ht="15" customHeight="1" thickBot="1" x14ac:dyDescent="0.25">
      <c r="A30" s="327" t="s">
        <v>28</v>
      </c>
      <c r="B30" s="328"/>
      <c r="C30" s="329">
        <f>SUM(C26:C29)</f>
        <v>11003</v>
      </c>
      <c r="D30" s="330"/>
      <c r="E30" s="331">
        <f>SUM(E26:E29)</f>
        <v>11739</v>
      </c>
      <c r="F30" s="328"/>
      <c r="G30" s="331">
        <f>SUM(G26:G29)</f>
        <v>11219</v>
      </c>
      <c r="H30" s="328"/>
      <c r="I30" s="331">
        <f>SUM(I26:I29)</f>
        <v>11612</v>
      </c>
      <c r="J30" s="328"/>
      <c r="K30" s="331">
        <f>SUM(K26:K29)</f>
        <v>11182</v>
      </c>
      <c r="L30" s="328"/>
      <c r="M30" s="331">
        <f>SUM(M26:M29)</f>
        <v>12113</v>
      </c>
      <c r="N30" s="328"/>
      <c r="O30" s="331">
        <f>SUM(O26:O29)</f>
        <v>11775</v>
      </c>
      <c r="P30" s="328"/>
      <c r="Q30" s="331">
        <f>SUM(Q26:Q29)</f>
        <v>11709</v>
      </c>
      <c r="R30" s="328"/>
      <c r="S30" s="331">
        <f>SUM(S26:S29)</f>
        <v>11185</v>
      </c>
      <c r="T30" s="328"/>
      <c r="U30" s="1277">
        <f>SUM(U26:U29)</f>
        <v>0</v>
      </c>
      <c r="V30" s="226"/>
      <c r="W30" s="485"/>
      <c r="X30" s="486">
        <f t="shared" si="4"/>
        <v>11592.8</v>
      </c>
    </row>
    <row r="31" spans="1:27" ht="15" customHeight="1" thickTop="1" thickBot="1" x14ac:dyDescent="0.25">
      <c r="A31" s="280"/>
      <c r="B31" s="332"/>
      <c r="C31" s="333"/>
      <c r="D31" s="332"/>
      <c r="E31" s="333"/>
      <c r="F31" s="332"/>
      <c r="G31" s="333"/>
      <c r="H31" s="332"/>
      <c r="I31" s="333"/>
      <c r="J31" s="332"/>
      <c r="K31" s="333"/>
      <c r="L31" s="332"/>
      <c r="M31" s="333"/>
      <c r="N31" s="332"/>
      <c r="O31" s="333"/>
      <c r="P31" s="332"/>
      <c r="Q31" s="333"/>
      <c r="R31" s="332"/>
      <c r="S31" s="333"/>
      <c r="T31" s="332"/>
      <c r="U31" s="333"/>
      <c r="V31" s="334"/>
      <c r="W31" s="335"/>
      <c r="X31" s="333"/>
    </row>
    <row r="32" spans="1:27" ht="18" customHeight="1" thickTop="1" thickBot="1" x14ac:dyDescent="0.25">
      <c r="A32" s="175" t="s">
        <v>29</v>
      </c>
      <c r="B32" s="1385" t="s">
        <v>30</v>
      </c>
      <c r="C32" s="1395"/>
      <c r="D32" s="1385" t="s">
        <v>31</v>
      </c>
      <c r="E32" s="1396"/>
      <c r="F32" s="1385" t="s">
        <v>32</v>
      </c>
      <c r="G32" s="1396"/>
      <c r="H32" s="1385" t="s">
        <v>33</v>
      </c>
      <c r="I32" s="1396"/>
      <c r="J32" s="1385" t="s">
        <v>34</v>
      </c>
      <c r="K32" s="1396"/>
      <c r="L32" s="1385" t="s">
        <v>35</v>
      </c>
      <c r="M32" s="1396"/>
      <c r="N32" s="1385" t="s">
        <v>36</v>
      </c>
      <c r="O32" s="1396"/>
      <c r="P32" s="1385" t="s">
        <v>37</v>
      </c>
      <c r="Q32" s="1396"/>
      <c r="R32" s="1385" t="s">
        <v>38</v>
      </c>
      <c r="S32" s="1396"/>
      <c r="T32" s="1385" t="s">
        <v>302</v>
      </c>
      <c r="U32" s="1386"/>
      <c r="V32" s="176"/>
      <c r="W32" s="1382" t="s">
        <v>9</v>
      </c>
      <c r="X32" s="1383"/>
      <c r="Y32" s="56"/>
      <c r="Z32" s="56"/>
      <c r="AA32" s="57"/>
    </row>
    <row r="33" spans="1:27" ht="15" customHeight="1" x14ac:dyDescent="0.2">
      <c r="A33" s="1070" t="s">
        <v>244</v>
      </c>
      <c r="B33" s="289"/>
      <c r="C33" s="290"/>
      <c r="D33" s="291"/>
      <c r="E33" s="292"/>
      <c r="F33" s="293"/>
      <c r="G33" s="292"/>
      <c r="H33" s="293"/>
      <c r="I33" s="292"/>
      <c r="J33" s="293"/>
      <c r="K33" s="292"/>
      <c r="L33" s="181"/>
      <c r="M33" s="180">
        <v>9.7000000000000003E-2</v>
      </c>
      <c r="N33" s="181"/>
      <c r="O33" s="180">
        <v>0.11700000000000001</v>
      </c>
      <c r="P33" s="181"/>
      <c r="Q33" s="180">
        <v>0.11600000000000001</v>
      </c>
      <c r="R33" s="181"/>
      <c r="S33" s="180">
        <v>0.14000000000000001</v>
      </c>
      <c r="T33" s="181"/>
      <c r="U33" s="182">
        <v>0.14799999999999999</v>
      </c>
      <c r="V33" s="183"/>
      <c r="W33" s="469"/>
      <c r="X33" s="594">
        <f>AVERAGE(Q33,O33,M33,U33,S33)</f>
        <v>0.1236</v>
      </c>
      <c r="Y33" s="56"/>
      <c r="Z33" s="56"/>
      <c r="AA33" s="57"/>
    </row>
    <row r="34" spans="1:27" ht="15" customHeight="1" x14ac:dyDescent="0.2">
      <c r="A34" s="1069" t="s">
        <v>245</v>
      </c>
      <c r="B34" s="294"/>
      <c r="C34" s="295"/>
      <c r="D34" s="294"/>
      <c r="E34" s="295"/>
      <c r="F34" s="296"/>
      <c r="G34" s="295"/>
      <c r="H34" s="296"/>
      <c r="I34" s="295"/>
      <c r="J34" s="296"/>
      <c r="K34" s="295"/>
      <c r="L34" s="186"/>
      <c r="M34" s="185">
        <v>1.4999999999999999E-2</v>
      </c>
      <c r="N34" s="186"/>
      <c r="O34" s="185">
        <v>1.6E-2</v>
      </c>
      <c r="P34" s="186"/>
      <c r="Q34" s="185">
        <v>1.7999999999999999E-2</v>
      </c>
      <c r="R34" s="186"/>
      <c r="S34" s="185">
        <v>1.7000000000000001E-2</v>
      </c>
      <c r="T34" s="186"/>
      <c r="U34" s="187">
        <v>3.3000000000000002E-2</v>
      </c>
      <c r="V34" s="183"/>
      <c r="W34" s="469"/>
      <c r="X34" s="594">
        <f>AVERAGE(Q34,O34,M34,U34,S34)</f>
        <v>1.9800000000000002E-2</v>
      </c>
      <c r="Y34" s="56"/>
      <c r="Z34" s="56"/>
      <c r="AA34" s="57"/>
    </row>
    <row r="35" spans="1:27" ht="15" customHeight="1" thickBot="1" x14ac:dyDescent="0.25">
      <c r="A35" s="189" t="s">
        <v>243</v>
      </c>
      <c r="B35" s="1409"/>
      <c r="C35" s="1410"/>
      <c r="D35" s="1409"/>
      <c r="E35" s="1410"/>
      <c r="F35" s="1409"/>
      <c r="G35" s="1410"/>
      <c r="H35" s="1409"/>
      <c r="I35" s="1410"/>
      <c r="J35" s="1411"/>
      <c r="K35" s="1410"/>
      <c r="L35" s="1405">
        <f>1-M33-M34</f>
        <v>0.88800000000000001</v>
      </c>
      <c r="M35" s="1404"/>
      <c r="N35" s="1405">
        <f>1-O33-O34</f>
        <v>0.86699999999999999</v>
      </c>
      <c r="O35" s="1404"/>
      <c r="P35" s="1405">
        <f>1-Q33-Q34</f>
        <v>0.86599999999999999</v>
      </c>
      <c r="Q35" s="1404"/>
      <c r="R35" s="1405">
        <f>1-S33-S34</f>
        <v>0.84299999999999997</v>
      </c>
      <c r="S35" s="1404"/>
      <c r="T35" s="1403">
        <f>1-U33-U34</f>
        <v>0.81899999999999995</v>
      </c>
      <c r="U35" s="1406"/>
      <c r="V35" s="183"/>
      <c r="W35" s="1390">
        <f>1-X33-X34</f>
        <v>0.85659999999999992</v>
      </c>
      <c r="X35" s="1391"/>
      <c r="Y35" s="58"/>
      <c r="Z35" s="56"/>
      <c r="AA35" s="57"/>
    </row>
    <row r="36" spans="1:27" s="3" customFormat="1" ht="18" customHeight="1" thickTop="1" thickBot="1" x14ac:dyDescent="0.25">
      <c r="A36" s="194" t="s">
        <v>67</v>
      </c>
      <c r="B36" s="227" t="s">
        <v>39</v>
      </c>
      <c r="C36" s="228" t="s">
        <v>74</v>
      </c>
      <c r="D36" s="227" t="s">
        <v>39</v>
      </c>
      <c r="E36" s="228" t="s">
        <v>74</v>
      </c>
      <c r="F36" s="227" t="s">
        <v>39</v>
      </c>
      <c r="G36" s="228" t="s">
        <v>74</v>
      </c>
      <c r="H36" s="227" t="s">
        <v>39</v>
      </c>
      <c r="I36" s="228" t="s">
        <v>74</v>
      </c>
      <c r="J36" s="227" t="s">
        <v>39</v>
      </c>
      <c r="K36" s="228" t="s">
        <v>74</v>
      </c>
      <c r="L36" s="227" t="s">
        <v>39</v>
      </c>
      <c r="M36" s="228" t="s">
        <v>74</v>
      </c>
      <c r="N36" s="227" t="s">
        <v>39</v>
      </c>
      <c r="O36" s="228" t="s">
        <v>74</v>
      </c>
      <c r="P36" s="227" t="s">
        <v>39</v>
      </c>
      <c r="Q36" s="228" t="s">
        <v>74</v>
      </c>
      <c r="R36" s="227" t="s">
        <v>39</v>
      </c>
      <c r="S36" s="228" t="s">
        <v>74</v>
      </c>
      <c r="T36" s="227" t="s">
        <v>39</v>
      </c>
      <c r="U36" s="229" t="s">
        <v>74</v>
      </c>
      <c r="V36" s="230"/>
      <c r="W36" s="1071" t="s">
        <v>39</v>
      </c>
      <c r="X36" s="229" t="s">
        <v>74</v>
      </c>
    </row>
    <row r="37" spans="1:27" ht="15" customHeight="1" thickBot="1" x14ac:dyDescent="0.25">
      <c r="A37" s="535" t="s">
        <v>68</v>
      </c>
      <c r="B37" s="536"/>
      <c r="C37" s="537">
        <f>B37/B18</f>
        <v>0</v>
      </c>
      <c r="D37" s="536"/>
      <c r="E37" s="537">
        <f>D37/D18</f>
        <v>0</v>
      </c>
      <c r="F37" s="536"/>
      <c r="G37" s="537">
        <f>F37/F18</f>
        <v>0</v>
      </c>
      <c r="H37" s="536">
        <v>12</v>
      </c>
      <c r="I37" s="537">
        <f>H37/H18</f>
        <v>0.70588235294117652</v>
      </c>
      <c r="J37" s="536">
        <v>14</v>
      </c>
      <c r="K37" s="537">
        <f>J37/J18</f>
        <v>0.82352941176470584</v>
      </c>
      <c r="L37" s="536">
        <v>13</v>
      </c>
      <c r="M37" s="537">
        <f>L37/L18</f>
        <v>0.68421052631578949</v>
      </c>
      <c r="N37" s="536">
        <v>13</v>
      </c>
      <c r="O37" s="537">
        <f>N37/N18</f>
        <v>0.72222222222222221</v>
      </c>
      <c r="P37" s="536">
        <v>16</v>
      </c>
      <c r="Q37" s="537">
        <f>P37/P18</f>
        <v>0.8</v>
      </c>
      <c r="R37" s="536">
        <v>13</v>
      </c>
      <c r="S37" s="537">
        <f>R37/R18</f>
        <v>0.65</v>
      </c>
      <c r="T37" s="536"/>
      <c r="U37" s="538">
        <f>T37/T18</f>
        <v>0</v>
      </c>
      <c r="V37" s="226"/>
      <c r="W37" s="242">
        <f>AVERAGE(N37,L37,R37,T37,P37)</f>
        <v>13.75</v>
      </c>
      <c r="X37" s="241">
        <f>W37/W18</f>
        <v>0.6740196078431373</v>
      </c>
    </row>
    <row r="38" spans="1:27" s="85" customFormat="1" ht="15" customHeight="1" thickTop="1" x14ac:dyDescent="0.2">
      <c r="A38" s="37" t="s">
        <v>288</v>
      </c>
      <c r="B38" s="650"/>
      <c r="C38" s="650"/>
      <c r="D38" s="650"/>
      <c r="E38" s="650"/>
      <c r="F38" s="650"/>
      <c r="G38" s="650"/>
      <c r="H38" s="650"/>
      <c r="I38" s="650"/>
      <c r="J38" s="650"/>
      <c r="K38" s="650"/>
      <c r="L38" s="650"/>
      <c r="M38" s="650"/>
      <c r="N38" s="650"/>
      <c r="O38" s="650"/>
      <c r="P38" s="650"/>
      <c r="Q38" s="650"/>
      <c r="R38" s="650"/>
      <c r="S38" s="650"/>
      <c r="T38" s="650"/>
      <c r="U38" s="650"/>
      <c r="V38" s="651"/>
      <c r="W38" s="650"/>
      <c r="X38" s="650"/>
      <c r="Y38" s="56"/>
      <c r="Z38" s="56"/>
      <c r="AA38" s="57"/>
    </row>
    <row r="39" spans="1:27" s="85" customFormat="1" ht="15" customHeight="1" thickBot="1" x14ac:dyDescent="0.25">
      <c r="A39" s="37"/>
      <c r="B39" s="650"/>
      <c r="C39" s="650"/>
      <c r="D39" s="650"/>
      <c r="E39" s="650"/>
      <c r="F39" s="650"/>
      <c r="G39" s="650"/>
      <c r="H39" s="650"/>
      <c r="I39" s="650"/>
      <c r="J39" s="650"/>
      <c r="K39" s="650"/>
      <c r="L39" s="650"/>
      <c r="M39" s="650"/>
      <c r="N39" s="650"/>
      <c r="O39" s="650"/>
      <c r="P39" s="650"/>
      <c r="Q39" s="650"/>
      <c r="R39" s="650"/>
      <c r="S39" s="650"/>
      <c r="T39" s="650"/>
      <c r="U39" s="650"/>
      <c r="V39" s="651"/>
      <c r="W39" s="650"/>
      <c r="X39" s="650"/>
      <c r="Y39" s="56"/>
      <c r="Z39" s="56"/>
      <c r="AA39" s="57"/>
    </row>
    <row r="40" spans="1:27" s="1" customFormat="1" ht="18.75" customHeight="1" thickTop="1" thickBot="1" x14ac:dyDescent="0.25">
      <c r="A40" s="175" t="s">
        <v>247</v>
      </c>
      <c r="B40" s="1385" t="s">
        <v>30</v>
      </c>
      <c r="C40" s="1395"/>
      <c r="D40" s="1385" t="s">
        <v>31</v>
      </c>
      <c r="E40" s="1396"/>
      <c r="F40" s="1385" t="s">
        <v>32</v>
      </c>
      <c r="G40" s="1396"/>
      <c r="H40" s="1385" t="s">
        <v>33</v>
      </c>
      <c r="I40" s="1396"/>
      <c r="J40" s="1385" t="s">
        <v>34</v>
      </c>
      <c r="K40" s="1396"/>
      <c r="L40" s="1385" t="s">
        <v>35</v>
      </c>
      <c r="M40" s="1396"/>
      <c r="N40" s="1385" t="s">
        <v>36</v>
      </c>
      <c r="O40" s="1396"/>
      <c r="P40" s="1385" t="s">
        <v>37</v>
      </c>
      <c r="Q40" s="1396"/>
      <c r="R40" s="1385" t="s">
        <v>38</v>
      </c>
      <c r="S40" s="1396"/>
      <c r="T40" s="1385" t="s">
        <v>302</v>
      </c>
      <c r="U40" s="1386"/>
      <c r="V40" s="195"/>
      <c r="W40" s="1382" t="s">
        <v>9</v>
      </c>
      <c r="X40" s="1383"/>
    </row>
    <row r="41" spans="1:27" s="1" customFormat="1" ht="24" x14ac:dyDescent="0.2">
      <c r="A41" s="715" t="s">
        <v>289</v>
      </c>
      <c r="B41" s="711"/>
      <c r="C41" s="529"/>
      <c r="D41" s="711"/>
      <c r="E41" s="712"/>
      <c r="F41" s="711"/>
      <c r="G41" s="712"/>
      <c r="H41" s="711"/>
      <c r="I41" s="712"/>
      <c r="J41" s="711"/>
      <c r="K41" s="712"/>
      <c r="L41" s="711"/>
      <c r="M41" s="712"/>
      <c r="N41" s="711"/>
      <c r="O41" s="712"/>
      <c r="P41" s="711"/>
      <c r="Q41" s="712"/>
      <c r="R41" s="711"/>
      <c r="S41" s="712"/>
      <c r="T41" s="713"/>
      <c r="U41" s="714"/>
      <c r="V41" s="195"/>
      <c r="W41" s="272"/>
      <c r="X41" s="271"/>
    </row>
    <row r="42" spans="1:27" s="1" customFormat="1" ht="24" x14ac:dyDescent="0.2">
      <c r="A42" s="721" t="s">
        <v>237</v>
      </c>
      <c r="B42" s="296"/>
      <c r="C42" s="656"/>
      <c r="D42" s="296"/>
      <c r="E42" s="656"/>
      <c r="F42" s="296"/>
      <c r="G42" s="656"/>
      <c r="H42" s="296"/>
      <c r="I42" s="656"/>
      <c r="J42" s="296"/>
      <c r="K42" s="656"/>
      <c r="L42" s="186"/>
      <c r="M42" s="653">
        <v>6</v>
      </c>
      <c r="N42" s="186"/>
      <c r="O42" s="653">
        <v>6</v>
      </c>
      <c r="P42" s="186"/>
      <c r="Q42" s="653">
        <v>6</v>
      </c>
      <c r="R42" s="186"/>
      <c r="S42" s="653">
        <v>9</v>
      </c>
      <c r="T42" s="654"/>
      <c r="U42" s="340"/>
      <c r="V42" s="195"/>
      <c r="W42" s="347"/>
      <c r="X42" s="340">
        <f>AVERAGE(O42,M42,S42,U42,Q42)</f>
        <v>6.75</v>
      </c>
    </row>
    <row r="43" spans="1:27" s="1" customFormat="1" ht="24" x14ac:dyDescent="0.2">
      <c r="A43" s="721" t="s">
        <v>239</v>
      </c>
      <c r="B43" s="958"/>
      <c r="C43" s="959"/>
      <c r="D43" s="958"/>
      <c r="E43" s="959"/>
      <c r="F43" s="958"/>
      <c r="G43" s="959"/>
      <c r="H43" s="958"/>
      <c r="I43" s="959"/>
      <c r="J43" s="958"/>
      <c r="K43" s="959"/>
      <c r="L43" s="654"/>
      <c r="M43" s="716">
        <v>6</v>
      </c>
      <c r="N43" s="654"/>
      <c r="O43" s="716">
        <v>6</v>
      </c>
      <c r="P43" s="654"/>
      <c r="Q43" s="716">
        <v>6</v>
      </c>
      <c r="R43" s="654"/>
      <c r="S43" s="716">
        <v>9</v>
      </c>
      <c r="T43" s="654"/>
      <c r="U43" s="340"/>
      <c r="V43" s="195"/>
      <c r="W43" s="1252"/>
      <c r="X43" s="394">
        <f t="shared" ref="X43:X44" si="5">AVERAGE(O43,M43,S43,U43,Q43)</f>
        <v>6.75</v>
      </c>
    </row>
    <row r="44" spans="1:27" s="1" customFormat="1" ht="15" customHeight="1" thickBot="1" x14ac:dyDescent="0.25">
      <c r="A44" s="942" t="s">
        <v>238</v>
      </c>
      <c r="B44" s="960"/>
      <c r="C44" s="961"/>
      <c r="D44" s="960"/>
      <c r="E44" s="961"/>
      <c r="F44" s="960"/>
      <c r="G44" s="961"/>
      <c r="H44" s="960"/>
      <c r="I44" s="961"/>
      <c r="J44" s="960"/>
      <c r="K44" s="961"/>
      <c r="L44" s="943"/>
      <c r="M44" s="944">
        <v>6</v>
      </c>
      <c r="N44" s="943"/>
      <c r="O44" s="944">
        <v>6</v>
      </c>
      <c r="P44" s="943"/>
      <c r="Q44" s="944">
        <v>6</v>
      </c>
      <c r="R44" s="943"/>
      <c r="S44" s="944">
        <v>9</v>
      </c>
      <c r="T44" s="956"/>
      <c r="U44" s="957"/>
      <c r="V44" s="195"/>
      <c r="W44" s="950"/>
      <c r="X44" s="1253">
        <f t="shared" si="5"/>
        <v>6.75</v>
      </c>
    </row>
    <row r="45" spans="1:27" s="1" customFormat="1" ht="18" customHeight="1" thickBot="1" x14ac:dyDescent="0.25">
      <c r="A45" s="872" t="s">
        <v>264</v>
      </c>
      <c r="B45" s="949" t="s">
        <v>40</v>
      </c>
      <c r="C45" s="948" t="s">
        <v>41</v>
      </c>
      <c r="D45" s="949" t="s">
        <v>40</v>
      </c>
      <c r="E45" s="948" t="s">
        <v>41</v>
      </c>
      <c r="F45" s="949" t="s">
        <v>40</v>
      </c>
      <c r="G45" s="948" t="s">
        <v>41</v>
      </c>
      <c r="H45" s="949" t="s">
        <v>40</v>
      </c>
      <c r="I45" s="948" t="s">
        <v>41</v>
      </c>
      <c r="J45" s="949" t="s">
        <v>40</v>
      </c>
      <c r="K45" s="948" t="s">
        <v>41</v>
      </c>
      <c r="L45" s="1014" t="s">
        <v>40</v>
      </c>
      <c r="M45" s="1015" t="s">
        <v>41</v>
      </c>
      <c r="N45" s="1014" t="s">
        <v>40</v>
      </c>
      <c r="O45" s="1015" t="s">
        <v>41</v>
      </c>
      <c r="P45" s="1014" t="s">
        <v>40</v>
      </c>
      <c r="Q45" s="1015" t="s">
        <v>41</v>
      </c>
      <c r="R45" s="1014" t="s">
        <v>40</v>
      </c>
      <c r="S45" s="1015" t="s">
        <v>41</v>
      </c>
      <c r="T45" s="1014" t="s">
        <v>40</v>
      </c>
      <c r="U45" s="1016" t="s">
        <v>41</v>
      </c>
      <c r="V45" s="195"/>
      <c r="W45" s="1254" t="s">
        <v>40</v>
      </c>
      <c r="X45" s="804" t="s">
        <v>41</v>
      </c>
    </row>
    <row r="46" spans="1:27" s="1" customFormat="1" ht="18" customHeight="1" x14ac:dyDescent="0.2">
      <c r="A46" s="680" t="s">
        <v>42</v>
      </c>
      <c r="B46" s="1009"/>
      <c r="C46" s="1010"/>
      <c r="D46" s="1009"/>
      <c r="E46" s="1011"/>
      <c r="F46" s="1012"/>
      <c r="G46" s="1011"/>
      <c r="H46" s="1012"/>
      <c r="I46" s="1011"/>
      <c r="J46" s="1012"/>
      <c r="K46" s="1011"/>
      <c r="L46" s="1034"/>
      <c r="M46" s="1043"/>
      <c r="N46" s="1034"/>
      <c r="O46" s="1043"/>
      <c r="P46" s="1034"/>
      <c r="Q46" s="1043"/>
      <c r="R46" s="1034"/>
      <c r="S46" s="1043"/>
      <c r="T46" s="808"/>
      <c r="U46" s="1013"/>
      <c r="V46" s="195"/>
      <c r="W46" s="1029"/>
      <c r="X46" s="1030"/>
    </row>
    <row r="47" spans="1:27" s="1" customFormat="1" ht="15" customHeight="1" x14ac:dyDescent="0.2">
      <c r="A47" s="678" t="s">
        <v>43</v>
      </c>
      <c r="B47" s="367"/>
      <c r="C47" s="368"/>
      <c r="D47" s="367"/>
      <c r="E47" s="369"/>
      <c r="F47" s="370"/>
      <c r="G47" s="369"/>
      <c r="H47" s="370"/>
      <c r="I47" s="369"/>
      <c r="J47" s="370"/>
      <c r="K47" s="369"/>
      <c r="L47" s="1036">
        <v>12</v>
      </c>
      <c r="M47" s="1044">
        <v>12</v>
      </c>
      <c r="N47" s="1036">
        <v>11</v>
      </c>
      <c r="O47" s="1044">
        <v>11</v>
      </c>
      <c r="P47" s="1036">
        <v>11</v>
      </c>
      <c r="Q47" s="1044">
        <v>11</v>
      </c>
      <c r="R47" s="1036">
        <v>14</v>
      </c>
      <c r="S47" s="1044">
        <v>14</v>
      </c>
      <c r="T47" s="813"/>
      <c r="U47" s="932"/>
      <c r="V47" s="195"/>
      <c r="W47" s="936">
        <f>AVERAGE(T47,L47,N47,P47,R47)</f>
        <v>12</v>
      </c>
      <c r="X47" s="1031">
        <f t="shared" ref="X47:X52" si="6">AVERAGE(O47,M47,S47,U47,Q47)</f>
        <v>12</v>
      </c>
    </row>
    <row r="48" spans="1:27" s="1" customFormat="1" ht="15" customHeight="1" x14ac:dyDescent="0.2">
      <c r="A48" s="678" t="s">
        <v>44</v>
      </c>
      <c r="B48" s="367"/>
      <c r="C48" s="368"/>
      <c r="D48" s="367"/>
      <c r="E48" s="369"/>
      <c r="F48" s="370"/>
      <c r="G48" s="369"/>
      <c r="H48" s="370"/>
      <c r="I48" s="369"/>
      <c r="J48" s="370"/>
      <c r="K48" s="369"/>
      <c r="L48" s="13">
        <v>1.3</v>
      </c>
      <c r="M48" s="1044">
        <v>3</v>
      </c>
      <c r="N48" s="13">
        <v>0.9</v>
      </c>
      <c r="O48" s="1044">
        <v>2</v>
      </c>
      <c r="P48" s="13">
        <v>1.7</v>
      </c>
      <c r="Q48" s="1044">
        <v>4</v>
      </c>
      <c r="R48" s="13">
        <v>0.6</v>
      </c>
      <c r="S48" s="1044">
        <v>2</v>
      </c>
      <c r="T48" s="345"/>
      <c r="U48" s="932"/>
      <c r="V48" s="195"/>
      <c r="W48" s="936">
        <f t="shared" ref="W48:W52" si="7">AVERAGE(T48,L48,N48,P48,R48)</f>
        <v>1.125</v>
      </c>
      <c r="X48" s="1031">
        <f t="shared" si="6"/>
        <v>2.75</v>
      </c>
    </row>
    <row r="49" spans="1:24" s="1" customFormat="1" ht="15" customHeight="1" x14ac:dyDescent="0.2">
      <c r="A49" s="676" t="s">
        <v>45</v>
      </c>
      <c r="B49" s="367"/>
      <c r="C49" s="371"/>
      <c r="D49" s="367"/>
      <c r="E49" s="372"/>
      <c r="F49" s="370"/>
      <c r="G49" s="372"/>
      <c r="H49" s="370"/>
      <c r="I49" s="372"/>
      <c r="J49" s="370"/>
      <c r="K49" s="372"/>
      <c r="L49" s="13"/>
      <c r="M49" s="1045"/>
      <c r="N49" s="13"/>
      <c r="O49" s="1045"/>
      <c r="P49" s="13"/>
      <c r="Q49" s="1045"/>
      <c r="R49" s="13"/>
      <c r="S49" s="1045"/>
      <c r="T49" s="345"/>
      <c r="U49" s="933"/>
      <c r="V49" s="195"/>
      <c r="W49" s="936"/>
      <c r="X49" s="1031"/>
    </row>
    <row r="50" spans="1:24" s="1" customFormat="1" ht="15" customHeight="1" x14ac:dyDescent="0.2">
      <c r="A50" s="678" t="s">
        <v>43</v>
      </c>
      <c r="B50" s="367"/>
      <c r="C50" s="371"/>
      <c r="D50" s="367"/>
      <c r="E50" s="372"/>
      <c r="F50" s="370"/>
      <c r="G50" s="372"/>
      <c r="H50" s="370"/>
      <c r="I50" s="372"/>
      <c r="J50" s="370"/>
      <c r="K50" s="372"/>
      <c r="L50" s="1036">
        <v>0</v>
      </c>
      <c r="M50" s="1045">
        <v>0</v>
      </c>
      <c r="N50" s="1036">
        <v>0</v>
      </c>
      <c r="O50" s="1045">
        <v>0</v>
      </c>
      <c r="P50" s="1036">
        <v>0</v>
      </c>
      <c r="Q50" s="1045">
        <v>0</v>
      </c>
      <c r="R50" s="1036">
        <v>0</v>
      </c>
      <c r="S50" s="1045">
        <v>0</v>
      </c>
      <c r="T50" s="813"/>
      <c r="U50" s="933"/>
      <c r="V50" s="195"/>
      <c r="W50" s="936">
        <f t="shared" si="7"/>
        <v>0</v>
      </c>
      <c r="X50" s="1031">
        <f t="shared" si="6"/>
        <v>0</v>
      </c>
    </row>
    <row r="51" spans="1:24" s="1" customFormat="1" ht="15" customHeight="1" thickBot="1" x14ac:dyDescent="0.25">
      <c r="A51" s="939" t="s">
        <v>44</v>
      </c>
      <c r="B51" s="896"/>
      <c r="C51" s="995"/>
      <c r="D51" s="896"/>
      <c r="E51" s="996"/>
      <c r="F51" s="895"/>
      <c r="G51" s="996"/>
      <c r="H51" s="895"/>
      <c r="I51" s="996"/>
      <c r="J51" s="895"/>
      <c r="K51" s="996"/>
      <c r="L51" s="1039">
        <v>0</v>
      </c>
      <c r="M51" s="1056">
        <v>0</v>
      </c>
      <c r="N51" s="1039">
        <v>0</v>
      </c>
      <c r="O51" s="1056">
        <v>0</v>
      </c>
      <c r="P51" s="1039">
        <v>0</v>
      </c>
      <c r="Q51" s="1056">
        <v>0</v>
      </c>
      <c r="R51" s="1039">
        <v>0</v>
      </c>
      <c r="S51" s="1056">
        <v>0</v>
      </c>
      <c r="T51" s="821"/>
      <c r="U51" s="934"/>
      <c r="V51" s="195"/>
      <c r="W51" s="1020">
        <f t="shared" si="7"/>
        <v>0</v>
      </c>
      <c r="X51" s="1032">
        <f t="shared" si="6"/>
        <v>0</v>
      </c>
    </row>
    <row r="52" spans="1:24" s="1" customFormat="1" ht="15" customHeight="1" thickBot="1" x14ac:dyDescent="0.25">
      <c r="A52" s="796" t="s">
        <v>28</v>
      </c>
      <c r="B52" s="951"/>
      <c r="C52" s="952">
        <f>SUM(C47:C51)</f>
        <v>0</v>
      </c>
      <c r="D52" s="953"/>
      <c r="E52" s="825">
        <f>SUM(E47:E51)</f>
        <v>0</v>
      </c>
      <c r="F52" s="951"/>
      <c r="G52" s="825">
        <f>SUM(G47:G51)</f>
        <v>0</v>
      </c>
      <c r="H52" s="951"/>
      <c r="I52" s="825">
        <f>SUM(I47:I51)</f>
        <v>0</v>
      </c>
      <c r="J52" s="951"/>
      <c r="K52" s="825">
        <f t="shared" ref="K52:S52" si="8">SUM(K47:K51)</f>
        <v>0</v>
      </c>
      <c r="L52" s="906">
        <f t="shared" si="8"/>
        <v>13.3</v>
      </c>
      <c r="M52" s="826">
        <f t="shared" si="8"/>
        <v>15</v>
      </c>
      <c r="N52" s="906">
        <f t="shared" si="8"/>
        <v>11.9</v>
      </c>
      <c r="O52" s="826">
        <f t="shared" si="8"/>
        <v>13</v>
      </c>
      <c r="P52" s="906">
        <f t="shared" si="8"/>
        <v>12.7</v>
      </c>
      <c r="Q52" s="826">
        <f t="shared" si="8"/>
        <v>15</v>
      </c>
      <c r="R52" s="906">
        <f t="shared" si="8"/>
        <v>14.6</v>
      </c>
      <c r="S52" s="826">
        <f t="shared" si="8"/>
        <v>16</v>
      </c>
      <c r="T52" s="906">
        <f t="shared" ref="T52:U52" si="9">SUM(T47:T51)</f>
        <v>0</v>
      </c>
      <c r="U52" s="1023">
        <f t="shared" si="9"/>
        <v>0</v>
      </c>
      <c r="V52" s="195"/>
      <c r="W52" s="1028">
        <f t="shared" si="7"/>
        <v>10.500000000000002</v>
      </c>
      <c r="X52" s="1033">
        <f t="shared" si="6"/>
        <v>11.8</v>
      </c>
    </row>
    <row r="53" spans="1:24" s="1" customFormat="1" ht="18" customHeight="1" thickBot="1" x14ac:dyDescent="0.25">
      <c r="A53" s="795" t="s">
        <v>253</v>
      </c>
      <c r="B53" s="801" t="s">
        <v>39</v>
      </c>
      <c r="C53" s="954" t="s">
        <v>46</v>
      </c>
      <c r="D53" s="801" t="s">
        <v>39</v>
      </c>
      <c r="E53" s="798" t="s">
        <v>46</v>
      </c>
      <c r="F53" s="799" t="s">
        <v>39</v>
      </c>
      <c r="G53" s="798" t="s">
        <v>46</v>
      </c>
      <c r="H53" s="799" t="s">
        <v>39</v>
      </c>
      <c r="I53" s="798" t="s">
        <v>46</v>
      </c>
      <c r="J53" s="799" t="s">
        <v>39</v>
      </c>
      <c r="K53" s="798" t="s">
        <v>46</v>
      </c>
      <c r="L53" s="799" t="s">
        <v>39</v>
      </c>
      <c r="M53" s="798" t="s">
        <v>46</v>
      </c>
      <c r="N53" s="799" t="s">
        <v>39</v>
      </c>
      <c r="O53" s="798" t="s">
        <v>46</v>
      </c>
      <c r="P53" s="799" t="s">
        <v>39</v>
      </c>
      <c r="Q53" s="798" t="s">
        <v>46</v>
      </c>
      <c r="R53" s="799" t="s">
        <v>39</v>
      </c>
      <c r="S53" s="798" t="s">
        <v>46</v>
      </c>
      <c r="T53" s="799" t="s">
        <v>39</v>
      </c>
      <c r="U53" s="804" t="s">
        <v>46</v>
      </c>
      <c r="V53" s="195"/>
      <c r="W53" s="832" t="s">
        <v>39</v>
      </c>
      <c r="X53" s="804" t="s">
        <v>46</v>
      </c>
    </row>
    <row r="54" spans="1:24" s="1" customFormat="1" ht="18" customHeight="1" x14ac:dyDescent="0.2">
      <c r="A54" s="680" t="s">
        <v>265</v>
      </c>
      <c r="B54" s="937"/>
      <c r="C54" s="196"/>
      <c r="D54" s="938"/>
      <c r="E54" s="197"/>
      <c r="F54" s="937"/>
      <c r="G54" s="197"/>
      <c r="H54" s="937"/>
      <c r="I54" s="197"/>
      <c r="J54" s="937"/>
      <c r="K54" s="197"/>
      <c r="L54" s="937"/>
      <c r="M54" s="197"/>
      <c r="N54" s="937"/>
      <c r="O54" s="197"/>
      <c r="P54" s="937"/>
      <c r="Q54" s="197"/>
      <c r="R54" s="937"/>
      <c r="S54" s="197"/>
      <c r="T54" s="937"/>
      <c r="U54" s="199"/>
      <c r="V54" s="195"/>
      <c r="W54" s="1026"/>
      <c r="X54" s="199"/>
    </row>
    <row r="55" spans="1:24" s="1" customFormat="1" ht="15" customHeight="1" x14ac:dyDescent="0.2">
      <c r="A55" s="706" t="s">
        <v>47</v>
      </c>
      <c r="B55" s="373"/>
      <c r="C55" s="165"/>
      <c r="D55" s="374"/>
      <c r="E55" s="166"/>
      <c r="F55" s="373"/>
      <c r="G55" s="166"/>
      <c r="H55" s="373"/>
      <c r="I55" s="166"/>
      <c r="J55" s="373"/>
      <c r="K55" s="166"/>
      <c r="L55" s="160">
        <v>12</v>
      </c>
      <c r="M55" s="192">
        <f t="shared" ref="M55:M60" si="10">L55/M$52</f>
        <v>0.8</v>
      </c>
      <c r="N55" s="160">
        <v>10</v>
      </c>
      <c r="O55" s="192">
        <f t="shared" ref="O55:Q60" si="11">N55/O$52</f>
        <v>0.76923076923076927</v>
      </c>
      <c r="P55" s="160">
        <v>13</v>
      </c>
      <c r="Q55" s="192">
        <f t="shared" si="11"/>
        <v>0.8666666666666667</v>
      </c>
      <c r="R55" s="160">
        <v>13</v>
      </c>
      <c r="S55" s="192">
        <f t="shared" ref="S55:S60" si="12">R55/S$52</f>
        <v>0.8125</v>
      </c>
      <c r="T55" s="202"/>
      <c r="U55" s="203" t="e">
        <f t="shared" ref="U55:U60" si="13">T55/U$52</f>
        <v>#DIV/0!</v>
      </c>
      <c r="V55" s="204"/>
      <c r="W55" s="205">
        <f>AVERAGE(N55,L55,R55,T55,P55)</f>
        <v>12</v>
      </c>
      <c r="X55" s="206" t="e">
        <f>AVERAGE(O55,M55,S55,U55,Q55)</f>
        <v>#DIV/0!</v>
      </c>
    </row>
    <row r="56" spans="1:24" s="1" customFormat="1" ht="15" customHeight="1" x14ac:dyDescent="0.2">
      <c r="A56" s="207" t="s">
        <v>48</v>
      </c>
      <c r="B56" s="373"/>
      <c r="C56" s="165"/>
      <c r="D56" s="374"/>
      <c r="E56" s="166"/>
      <c r="F56" s="373"/>
      <c r="G56" s="166"/>
      <c r="H56" s="373"/>
      <c r="I56" s="166"/>
      <c r="J56" s="373"/>
      <c r="K56" s="166"/>
      <c r="L56" s="160">
        <v>0</v>
      </c>
      <c r="M56" s="192">
        <f t="shared" si="10"/>
        <v>0</v>
      </c>
      <c r="N56" s="160">
        <v>0</v>
      </c>
      <c r="O56" s="192">
        <f t="shared" si="11"/>
        <v>0</v>
      </c>
      <c r="P56" s="160">
        <v>0</v>
      </c>
      <c r="Q56" s="192">
        <f t="shared" si="11"/>
        <v>0</v>
      </c>
      <c r="R56" s="160">
        <v>0</v>
      </c>
      <c r="S56" s="192">
        <f t="shared" si="12"/>
        <v>0</v>
      </c>
      <c r="T56" s="202"/>
      <c r="U56" s="203" t="e">
        <f t="shared" si="13"/>
        <v>#DIV/0!</v>
      </c>
      <c r="V56" s="204"/>
      <c r="W56" s="205">
        <f t="shared" ref="W56:X74" si="14">AVERAGE(N56,L56,R56,T56,P56)</f>
        <v>0</v>
      </c>
      <c r="X56" s="206" t="e">
        <f t="shared" si="14"/>
        <v>#DIV/0!</v>
      </c>
    </row>
    <row r="57" spans="1:24" s="1" customFormat="1" ht="15" customHeight="1" x14ac:dyDescent="0.2">
      <c r="A57" s="207" t="s">
        <v>49</v>
      </c>
      <c r="B57" s="373"/>
      <c r="C57" s="165"/>
      <c r="D57" s="374"/>
      <c r="E57" s="166"/>
      <c r="F57" s="373"/>
      <c r="G57" s="166"/>
      <c r="H57" s="373"/>
      <c r="I57" s="166"/>
      <c r="J57" s="373"/>
      <c r="K57" s="166"/>
      <c r="L57" s="160">
        <v>1</v>
      </c>
      <c r="M57" s="192">
        <f t="shared" si="10"/>
        <v>6.6666666666666666E-2</v>
      </c>
      <c r="N57" s="160">
        <v>1</v>
      </c>
      <c r="O57" s="192">
        <f t="shared" si="11"/>
        <v>7.6923076923076927E-2</v>
      </c>
      <c r="P57" s="160">
        <v>1</v>
      </c>
      <c r="Q57" s="192">
        <f t="shared" si="11"/>
        <v>6.6666666666666666E-2</v>
      </c>
      <c r="R57" s="160">
        <v>1</v>
      </c>
      <c r="S57" s="192">
        <f t="shared" si="12"/>
        <v>6.25E-2</v>
      </c>
      <c r="T57" s="202"/>
      <c r="U57" s="203" t="e">
        <f t="shared" si="13"/>
        <v>#DIV/0!</v>
      </c>
      <c r="V57" s="204"/>
      <c r="W57" s="205">
        <f t="shared" si="14"/>
        <v>1</v>
      </c>
      <c r="X57" s="206" t="e">
        <f t="shared" si="14"/>
        <v>#DIV/0!</v>
      </c>
    </row>
    <row r="58" spans="1:24" s="1" customFormat="1" ht="15" customHeight="1" x14ac:dyDescent="0.2">
      <c r="A58" s="207" t="s">
        <v>50</v>
      </c>
      <c r="B58" s="373"/>
      <c r="C58" s="165"/>
      <c r="D58" s="374"/>
      <c r="E58" s="166"/>
      <c r="F58" s="373"/>
      <c r="G58" s="166"/>
      <c r="H58" s="373"/>
      <c r="I58" s="166"/>
      <c r="J58" s="373"/>
      <c r="K58" s="166"/>
      <c r="L58" s="160">
        <v>0</v>
      </c>
      <c r="M58" s="192">
        <f t="shared" si="10"/>
        <v>0</v>
      </c>
      <c r="N58" s="160">
        <v>0</v>
      </c>
      <c r="O58" s="192">
        <f t="shared" si="11"/>
        <v>0</v>
      </c>
      <c r="P58" s="160">
        <v>0</v>
      </c>
      <c r="Q58" s="192">
        <f t="shared" si="11"/>
        <v>0</v>
      </c>
      <c r="R58" s="160">
        <v>0</v>
      </c>
      <c r="S58" s="192">
        <f t="shared" si="12"/>
        <v>0</v>
      </c>
      <c r="T58" s="202"/>
      <c r="U58" s="203" t="e">
        <f t="shared" si="13"/>
        <v>#DIV/0!</v>
      </c>
      <c r="V58" s="204"/>
      <c r="W58" s="205">
        <f t="shared" si="14"/>
        <v>0</v>
      </c>
      <c r="X58" s="206" t="e">
        <f t="shared" si="14"/>
        <v>#DIV/0!</v>
      </c>
    </row>
    <row r="59" spans="1:24" s="1" customFormat="1" ht="15" customHeight="1" x14ac:dyDescent="0.2">
      <c r="A59" s="207" t="s">
        <v>51</v>
      </c>
      <c r="B59" s="373"/>
      <c r="C59" s="165"/>
      <c r="D59" s="374"/>
      <c r="E59" s="166"/>
      <c r="F59" s="373"/>
      <c r="G59" s="166"/>
      <c r="H59" s="373"/>
      <c r="I59" s="166"/>
      <c r="J59" s="373"/>
      <c r="K59" s="166"/>
      <c r="L59" s="160">
        <v>2</v>
      </c>
      <c r="M59" s="192">
        <f t="shared" si="10"/>
        <v>0.13333333333333333</v>
      </c>
      <c r="N59" s="160">
        <v>2</v>
      </c>
      <c r="O59" s="192">
        <f t="shared" si="11"/>
        <v>0.15384615384615385</v>
      </c>
      <c r="P59" s="160">
        <v>1</v>
      </c>
      <c r="Q59" s="192">
        <f t="shared" si="11"/>
        <v>6.6666666666666666E-2</v>
      </c>
      <c r="R59" s="160">
        <v>1</v>
      </c>
      <c r="S59" s="192">
        <f t="shared" si="12"/>
        <v>6.25E-2</v>
      </c>
      <c r="T59" s="202"/>
      <c r="U59" s="203" t="e">
        <f t="shared" si="13"/>
        <v>#DIV/0!</v>
      </c>
      <c r="V59" s="204"/>
      <c r="W59" s="205">
        <f t="shared" si="14"/>
        <v>1.5</v>
      </c>
      <c r="X59" s="206" t="e">
        <f t="shared" si="14"/>
        <v>#DIV/0!</v>
      </c>
    </row>
    <row r="60" spans="1:24" s="1" customFormat="1" ht="15" customHeight="1" x14ac:dyDescent="0.2">
      <c r="A60" s="207" t="s">
        <v>52</v>
      </c>
      <c r="B60" s="373"/>
      <c r="C60" s="165"/>
      <c r="D60" s="374"/>
      <c r="E60" s="166"/>
      <c r="F60" s="373"/>
      <c r="G60" s="166"/>
      <c r="H60" s="373"/>
      <c r="I60" s="166"/>
      <c r="J60" s="373"/>
      <c r="K60" s="166"/>
      <c r="L60" s="160">
        <v>0</v>
      </c>
      <c r="M60" s="192">
        <f t="shared" si="10"/>
        <v>0</v>
      </c>
      <c r="N60" s="160">
        <v>0</v>
      </c>
      <c r="O60" s="192">
        <f t="shared" si="11"/>
        <v>0</v>
      </c>
      <c r="P60" s="160">
        <v>0</v>
      </c>
      <c r="Q60" s="192">
        <f t="shared" si="11"/>
        <v>0</v>
      </c>
      <c r="R60" s="160">
        <v>1</v>
      </c>
      <c r="S60" s="192">
        <f t="shared" si="12"/>
        <v>6.25E-2</v>
      </c>
      <c r="T60" s="202"/>
      <c r="U60" s="203" t="e">
        <f t="shared" si="13"/>
        <v>#DIV/0!</v>
      </c>
      <c r="V60" s="204"/>
      <c r="W60" s="205">
        <f t="shared" si="14"/>
        <v>0.25</v>
      </c>
      <c r="X60" s="206" t="e">
        <f t="shared" si="14"/>
        <v>#DIV/0!</v>
      </c>
    </row>
    <row r="61" spans="1:24" s="1" customFormat="1" ht="15" customHeight="1" x14ac:dyDescent="0.2">
      <c r="A61" s="207" t="s">
        <v>53</v>
      </c>
      <c r="B61" s="167"/>
      <c r="C61" s="165"/>
      <c r="D61" s="164"/>
      <c r="E61" s="166"/>
      <c r="F61" s="167"/>
      <c r="G61" s="166"/>
      <c r="H61" s="373"/>
      <c r="I61" s="166"/>
      <c r="J61" s="373"/>
      <c r="K61" s="166"/>
      <c r="L61" s="162">
        <v>0</v>
      </c>
      <c r="M61" s="192">
        <f>L61/M$52</f>
        <v>0</v>
      </c>
      <c r="N61" s="162">
        <v>0</v>
      </c>
      <c r="O61" s="192">
        <f>N61/O$52</f>
        <v>0</v>
      </c>
      <c r="P61" s="162">
        <v>0</v>
      </c>
      <c r="Q61" s="192">
        <f>P61/Q$52</f>
        <v>0</v>
      </c>
      <c r="R61" s="162">
        <v>0</v>
      </c>
      <c r="S61" s="192">
        <f>R61/S$52</f>
        <v>0</v>
      </c>
      <c r="T61" s="202"/>
      <c r="U61" s="203" t="e">
        <f>T61/U$52</f>
        <v>#DIV/0!</v>
      </c>
      <c r="V61" s="204"/>
      <c r="W61" s="205">
        <f t="shared" si="14"/>
        <v>0</v>
      </c>
      <c r="X61" s="206" t="e">
        <f t="shared" si="14"/>
        <v>#DIV/0!</v>
      </c>
    </row>
    <row r="62" spans="1:24" s="1" customFormat="1" ht="15" customHeight="1" thickBot="1" x14ac:dyDescent="0.25">
      <c r="A62" s="696" t="s">
        <v>54</v>
      </c>
      <c r="B62" s="167"/>
      <c r="C62" s="997"/>
      <c r="D62" s="164"/>
      <c r="E62" s="998"/>
      <c r="F62" s="167"/>
      <c r="G62" s="998"/>
      <c r="H62" s="167"/>
      <c r="I62" s="998"/>
      <c r="J62" s="167"/>
      <c r="K62" s="998"/>
      <c r="L62" s="162">
        <v>0</v>
      </c>
      <c r="M62" s="725">
        <f>L62/M$52</f>
        <v>0</v>
      </c>
      <c r="N62" s="162">
        <v>0</v>
      </c>
      <c r="O62" s="725">
        <f>N62/O$52</f>
        <v>0</v>
      </c>
      <c r="P62" s="162">
        <v>0</v>
      </c>
      <c r="Q62" s="725">
        <f>P62/Q$52</f>
        <v>0</v>
      </c>
      <c r="R62" s="162">
        <v>0</v>
      </c>
      <c r="S62" s="725">
        <f>R62/S$52</f>
        <v>0</v>
      </c>
      <c r="T62" s="193"/>
      <c r="U62" s="726" t="e">
        <f>T62/U$52</f>
        <v>#DIV/0!</v>
      </c>
      <c r="V62" s="204"/>
      <c r="W62" s="727">
        <f t="shared" si="14"/>
        <v>0</v>
      </c>
      <c r="X62" s="728" t="e">
        <f t="shared" si="14"/>
        <v>#DIV/0!</v>
      </c>
    </row>
    <row r="63" spans="1:24" s="1" customFormat="1" ht="18" customHeight="1" x14ac:dyDescent="0.2">
      <c r="A63" s="680" t="s">
        <v>55</v>
      </c>
      <c r="B63" s="1001"/>
      <c r="C63" s="1002"/>
      <c r="D63" s="1003"/>
      <c r="E63" s="1004"/>
      <c r="F63" s="1001"/>
      <c r="G63" s="1004"/>
      <c r="H63" s="1001"/>
      <c r="I63" s="1004"/>
      <c r="J63" s="1001"/>
      <c r="K63" s="1004"/>
      <c r="L63" s="914"/>
      <c r="M63" s="733"/>
      <c r="N63" s="914"/>
      <c r="O63" s="733"/>
      <c r="P63" s="914"/>
      <c r="Q63" s="733"/>
      <c r="R63" s="914"/>
      <c r="S63" s="733"/>
      <c r="T63" s="734"/>
      <c r="U63" s="735"/>
      <c r="V63" s="204"/>
      <c r="W63" s="736"/>
      <c r="X63" s="737"/>
    </row>
    <row r="64" spans="1:24" s="1" customFormat="1" ht="15" customHeight="1" x14ac:dyDescent="0.2">
      <c r="A64" s="200" t="s">
        <v>56</v>
      </c>
      <c r="B64" s="368"/>
      <c r="C64" s="165"/>
      <c r="D64" s="375"/>
      <c r="E64" s="166"/>
      <c r="F64" s="368"/>
      <c r="G64" s="166"/>
      <c r="H64" s="368"/>
      <c r="I64" s="166"/>
      <c r="J64" s="368"/>
      <c r="K64" s="166"/>
      <c r="L64" s="48">
        <v>9</v>
      </c>
      <c r="M64" s="192">
        <f>L64/M$52</f>
        <v>0.6</v>
      </c>
      <c r="N64" s="48">
        <f>1+7</f>
        <v>8</v>
      </c>
      <c r="O64" s="192">
        <f>N64/O$52</f>
        <v>0.61538461538461542</v>
      </c>
      <c r="P64" s="48">
        <v>10</v>
      </c>
      <c r="Q64" s="192">
        <f>P64/Q$52</f>
        <v>0.66666666666666663</v>
      </c>
      <c r="R64" s="48">
        <v>10</v>
      </c>
      <c r="S64" s="192">
        <f>R64/S$52</f>
        <v>0.625</v>
      </c>
      <c r="T64" s="209"/>
      <c r="U64" s="203" t="e">
        <f>T64/U$52</f>
        <v>#DIV/0!</v>
      </c>
      <c r="V64" s="204"/>
      <c r="W64" s="205">
        <f t="shared" si="14"/>
        <v>9.25</v>
      </c>
      <c r="X64" s="206" t="e">
        <f t="shared" si="14"/>
        <v>#DIV/0!</v>
      </c>
    </row>
    <row r="65" spans="1:24" s="1" customFormat="1" ht="15" customHeight="1" thickBot="1" x14ac:dyDescent="0.25">
      <c r="A65" s="696" t="s">
        <v>57</v>
      </c>
      <c r="B65" s="999"/>
      <c r="C65" s="997"/>
      <c r="D65" s="1000"/>
      <c r="E65" s="998"/>
      <c r="F65" s="999"/>
      <c r="G65" s="998"/>
      <c r="H65" s="999"/>
      <c r="I65" s="998"/>
      <c r="J65" s="999"/>
      <c r="K65" s="998"/>
      <c r="L65" s="911">
        <v>6</v>
      </c>
      <c r="M65" s="725">
        <f>L65/M$52</f>
        <v>0.4</v>
      </c>
      <c r="N65" s="911">
        <f>1+4</f>
        <v>5</v>
      </c>
      <c r="O65" s="725">
        <f>N65/O$52</f>
        <v>0.38461538461538464</v>
      </c>
      <c r="P65" s="911">
        <v>5</v>
      </c>
      <c r="Q65" s="725">
        <f>P65/Q$52</f>
        <v>0.33333333333333331</v>
      </c>
      <c r="R65" s="911">
        <v>6</v>
      </c>
      <c r="S65" s="725">
        <f>R65/S$52</f>
        <v>0.375</v>
      </c>
      <c r="T65" s="730"/>
      <c r="U65" s="726" t="e">
        <f>T65/U$52</f>
        <v>#DIV/0!</v>
      </c>
      <c r="V65" s="204"/>
      <c r="W65" s="727">
        <f t="shared" si="14"/>
        <v>5.5</v>
      </c>
      <c r="X65" s="728" t="e">
        <f t="shared" si="14"/>
        <v>#DIV/0!</v>
      </c>
    </row>
    <row r="66" spans="1:24" s="1" customFormat="1" ht="18" customHeight="1" x14ac:dyDescent="0.2">
      <c r="A66" s="680" t="s">
        <v>58</v>
      </c>
      <c r="B66" s="1005"/>
      <c r="C66" s="1006"/>
      <c r="D66" s="1007"/>
      <c r="E66" s="1008"/>
      <c r="F66" s="1005"/>
      <c r="G66" s="1008"/>
      <c r="H66" s="1005"/>
      <c r="I66" s="1008"/>
      <c r="J66" s="1005"/>
      <c r="K66" s="1008"/>
      <c r="L66" s="918"/>
      <c r="M66" s="740"/>
      <c r="N66" s="918"/>
      <c r="O66" s="740"/>
      <c r="P66" s="918"/>
      <c r="Q66" s="740"/>
      <c r="R66" s="918"/>
      <c r="S66" s="740"/>
      <c r="T66" s="741"/>
      <c r="U66" s="742"/>
      <c r="V66" s="204"/>
      <c r="W66" s="736"/>
      <c r="X66" s="737"/>
    </row>
    <row r="67" spans="1:24" s="1" customFormat="1" ht="15" customHeight="1" x14ac:dyDescent="0.2">
      <c r="A67" s="200" t="s">
        <v>59</v>
      </c>
      <c r="B67" s="376"/>
      <c r="C67" s="165"/>
      <c r="D67" s="377"/>
      <c r="E67" s="166"/>
      <c r="F67" s="376"/>
      <c r="G67" s="166"/>
      <c r="H67" s="376"/>
      <c r="I67" s="166"/>
      <c r="J67" s="376"/>
      <c r="K67" s="166"/>
      <c r="L67" s="134">
        <v>5</v>
      </c>
      <c r="M67" s="192">
        <f>L67/M$52</f>
        <v>0.33333333333333331</v>
      </c>
      <c r="N67" s="134">
        <f>1+3</f>
        <v>4</v>
      </c>
      <c r="O67" s="192">
        <f>N67/O$52</f>
        <v>0.30769230769230771</v>
      </c>
      <c r="P67" s="134">
        <v>3</v>
      </c>
      <c r="Q67" s="192">
        <f>P67/Q$52</f>
        <v>0.2</v>
      </c>
      <c r="R67" s="134">
        <v>2</v>
      </c>
      <c r="S67" s="192">
        <f>R67/S$52</f>
        <v>0.125</v>
      </c>
      <c r="T67" s="211"/>
      <c r="U67" s="203" t="e">
        <f>T67/U$52</f>
        <v>#DIV/0!</v>
      </c>
      <c r="V67" s="204"/>
      <c r="W67" s="205">
        <f t="shared" si="14"/>
        <v>3.5</v>
      </c>
      <c r="X67" s="206" t="e">
        <f t="shared" si="14"/>
        <v>#DIV/0!</v>
      </c>
    </row>
    <row r="68" spans="1:24" s="1" customFormat="1" ht="15" customHeight="1" x14ac:dyDescent="0.2">
      <c r="A68" s="200" t="s">
        <v>60</v>
      </c>
      <c r="B68" s="376"/>
      <c r="C68" s="165"/>
      <c r="D68" s="377"/>
      <c r="E68" s="166"/>
      <c r="F68" s="376"/>
      <c r="G68" s="166"/>
      <c r="H68" s="376"/>
      <c r="I68" s="166"/>
      <c r="J68" s="376"/>
      <c r="K68" s="166"/>
      <c r="L68" s="134">
        <v>2</v>
      </c>
      <c r="M68" s="192">
        <f>L68/M$52</f>
        <v>0.13333333333333333</v>
      </c>
      <c r="N68" s="134">
        <v>3</v>
      </c>
      <c r="O68" s="192">
        <f>N68/O$52</f>
        <v>0.23076923076923078</v>
      </c>
      <c r="P68" s="134">
        <v>4</v>
      </c>
      <c r="Q68" s="192">
        <f>P68/Q$52</f>
        <v>0.26666666666666666</v>
      </c>
      <c r="R68" s="134">
        <v>7</v>
      </c>
      <c r="S68" s="192">
        <f>R68/S$52</f>
        <v>0.4375</v>
      </c>
      <c r="T68" s="211"/>
      <c r="U68" s="203" t="e">
        <f>T68/U$52</f>
        <v>#DIV/0!</v>
      </c>
      <c r="V68" s="204"/>
      <c r="W68" s="205">
        <f t="shared" si="14"/>
        <v>4</v>
      </c>
      <c r="X68" s="206" t="e">
        <f t="shared" si="14"/>
        <v>#DIV/0!</v>
      </c>
    </row>
    <row r="69" spans="1:24" s="1" customFormat="1" ht="15" customHeight="1" thickBot="1" x14ac:dyDescent="0.25">
      <c r="A69" s="696" t="s">
        <v>61</v>
      </c>
      <c r="B69" s="999"/>
      <c r="C69" s="997"/>
      <c r="D69" s="1000"/>
      <c r="E69" s="998"/>
      <c r="F69" s="999"/>
      <c r="G69" s="998"/>
      <c r="H69" s="999"/>
      <c r="I69" s="998"/>
      <c r="J69" s="999"/>
      <c r="K69" s="998"/>
      <c r="L69" s="911">
        <v>8</v>
      </c>
      <c r="M69" s="725">
        <f>L69/M$52</f>
        <v>0.53333333333333333</v>
      </c>
      <c r="N69" s="911">
        <f>1+5</f>
        <v>6</v>
      </c>
      <c r="O69" s="725">
        <f>N69/O$52</f>
        <v>0.46153846153846156</v>
      </c>
      <c r="P69" s="911">
        <v>8</v>
      </c>
      <c r="Q69" s="725">
        <f>P69/Q$52</f>
        <v>0.53333333333333333</v>
      </c>
      <c r="R69" s="911">
        <v>7</v>
      </c>
      <c r="S69" s="725">
        <f>R69/S$52</f>
        <v>0.4375</v>
      </c>
      <c r="T69" s="730"/>
      <c r="U69" s="726" t="e">
        <f>T69/U$52</f>
        <v>#DIV/0!</v>
      </c>
      <c r="V69" s="204"/>
      <c r="W69" s="727">
        <f t="shared" si="14"/>
        <v>7.25</v>
      </c>
      <c r="X69" s="728" t="e">
        <f t="shared" si="14"/>
        <v>#DIV/0!</v>
      </c>
    </row>
    <row r="70" spans="1:24" s="1" customFormat="1" ht="18" customHeight="1" x14ac:dyDescent="0.2">
      <c r="A70" s="680" t="s">
        <v>62</v>
      </c>
      <c r="B70" s="1005"/>
      <c r="C70" s="1006"/>
      <c r="D70" s="1007"/>
      <c r="E70" s="1008"/>
      <c r="F70" s="1005"/>
      <c r="G70" s="1008"/>
      <c r="H70" s="1005"/>
      <c r="I70" s="1008"/>
      <c r="J70" s="1005"/>
      <c r="K70" s="1008"/>
      <c r="L70" s="918"/>
      <c r="M70" s="740"/>
      <c r="N70" s="918"/>
      <c r="O70" s="740"/>
      <c r="P70" s="918"/>
      <c r="Q70" s="740"/>
      <c r="R70" s="918"/>
      <c r="S70" s="740"/>
      <c r="T70" s="741"/>
      <c r="U70" s="742"/>
      <c r="V70" s="204"/>
      <c r="W70" s="736"/>
      <c r="X70" s="737"/>
    </row>
    <row r="71" spans="1:24" s="1" customFormat="1" ht="15" customHeight="1" x14ac:dyDescent="0.2">
      <c r="A71" s="200" t="s">
        <v>63</v>
      </c>
      <c r="B71" s="376"/>
      <c r="C71" s="165"/>
      <c r="D71" s="377"/>
      <c r="E71" s="166"/>
      <c r="F71" s="376"/>
      <c r="G71" s="166"/>
      <c r="H71" s="376"/>
      <c r="I71" s="166"/>
      <c r="J71" s="376"/>
      <c r="K71" s="166"/>
      <c r="L71" s="134">
        <v>7</v>
      </c>
      <c r="M71" s="192">
        <f>L71/M$52</f>
        <v>0.46666666666666667</v>
      </c>
      <c r="N71" s="134">
        <f>1+7</f>
        <v>8</v>
      </c>
      <c r="O71" s="192">
        <f>N71/O$52</f>
        <v>0.61538461538461542</v>
      </c>
      <c r="P71" s="134">
        <v>7</v>
      </c>
      <c r="Q71" s="192">
        <f>P71/Q$52</f>
        <v>0.46666666666666667</v>
      </c>
      <c r="R71" s="134">
        <v>9</v>
      </c>
      <c r="S71" s="192">
        <f>R71/S$52</f>
        <v>0.5625</v>
      </c>
      <c r="T71" s="211"/>
      <c r="U71" s="203" t="e">
        <f>T71/U$52</f>
        <v>#DIV/0!</v>
      </c>
      <c r="V71" s="204"/>
      <c r="W71" s="205">
        <f t="shared" si="14"/>
        <v>7.75</v>
      </c>
      <c r="X71" s="206" t="e">
        <f t="shared" si="14"/>
        <v>#DIV/0!</v>
      </c>
    </row>
    <row r="72" spans="1:24" s="1" customFormat="1" ht="15" customHeight="1" x14ac:dyDescent="0.2">
      <c r="A72" s="200" t="s">
        <v>64</v>
      </c>
      <c r="B72" s="376"/>
      <c r="C72" s="165"/>
      <c r="D72" s="377"/>
      <c r="E72" s="166"/>
      <c r="F72" s="376"/>
      <c r="G72" s="166"/>
      <c r="H72" s="376"/>
      <c r="I72" s="166"/>
      <c r="J72" s="376"/>
      <c r="K72" s="166"/>
      <c r="L72" s="134">
        <v>7</v>
      </c>
      <c r="M72" s="192">
        <f>L72/M$52</f>
        <v>0.46666666666666667</v>
      </c>
      <c r="N72" s="134">
        <f>1+4</f>
        <v>5</v>
      </c>
      <c r="O72" s="192">
        <f>N72/O$52</f>
        <v>0.38461538461538464</v>
      </c>
      <c r="P72" s="134">
        <v>8</v>
      </c>
      <c r="Q72" s="192">
        <f>P72/Q$52</f>
        <v>0.53333333333333333</v>
      </c>
      <c r="R72" s="134">
        <v>7</v>
      </c>
      <c r="S72" s="192">
        <f>R72/S$52</f>
        <v>0.4375</v>
      </c>
      <c r="T72" s="211"/>
      <c r="U72" s="203" t="e">
        <f>T72/U$52</f>
        <v>#DIV/0!</v>
      </c>
      <c r="V72" s="204"/>
      <c r="W72" s="205">
        <f t="shared" si="14"/>
        <v>6.75</v>
      </c>
      <c r="X72" s="206" t="e">
        <f t="shared" si="14"/>
        <v>#DIV/0!</v>
      </c>
    </row>
    <row r="73" spans="1:24" s="1" customFormat="1" ht="15" customHeight="1" x14ac:dyDescent="0.2">
      <c r="A73" s="200" t="s">
        <v>65</v>
      </c>
      <c r="B73" s="376"/>
      <c r="C73" s="165"/>
      <c r="D73" s="377"/>
      <c r="E73" s="166"/>
      <c r="F73" s="376"/>
      <c r="G73" s="166"/>
      <c r="H73" s="376"/>
      <c r="I73" s="166"/>
      <c r="J73" s="376"/>
      <c r="K73" s="166"/>
      <c r="L73" s="134">
        <v>1</v>
      </c>
      <c r="M73" s="192">
        <f>L73/M$52</f>
        <v>6.6666666666666666E-2</v>
      </c>
      <c r="N73" s="134">
        <v>0</v>
      </c>
      <c r="O73" s="192">
        <f>N73/O$52</f>
        <v>0</v>
      </c>
      <c r="P73" s="134">
        <v>0</v>
      </c>
      <c r="Q73" s="192">
        <f>P73/Q$52</f>
        <v>0</v>
      </c>
      <c r="R73" s="134">
        <v>0</v>
      </c>
      <c r="S73" s="192">
        <f>R73/S$52</f>
        <v>0</v>
      </c>
      <c r="T73" s="211"/>
      <c r="U73" s="203" t="e">
        <f>T73/U$52</f>
        <v>#DIV/0!</v>
      </c>
      <c r="V73" s="195"/>
      <c r="W73" s="205">
        <f t="shared" si="14"/>
        <v>0.25</v>
      </c>
      <c r="X73" s="206" t="e">
        <f t="shared" si="14"/>
        <v>#DIV/0!</v>
      </c>
    </row>
    <row r="74" spans="1:24" s="1" customFormat="1" ht="15" customHeight="1" thickBot="1" x14ac:dyDescent="0.25">
      <c r="A74" s="212" t="s">
        <v>66</v>
      </c>
      <c r="B74" s="378"/>
      <c r="C74" s="379"/>
      <c r="D74" s="380"/>
      <c r="E74" s="381"/>
      <c r="F74" s="378"/>
      <c r="G74" s="381"/>
      <c r="H74" s="378"/>
      <c r="I74" s="381"/>
      <c r="J74" s="378"/>
      <c r="K74" s="381"/>
      <c r="L74" s="163">
        <v>0</v>
      </c>
      <c r="M74" s="215">
        <f>L74/M$52</f>
        <v>0</v>
      </c>
      <c r="N74" s="163">
        <v>0</v>
      </c>
      <c r="O74" s="215">
        <f>N74/O$52</f>
        <v>0</v>
      </c>
      <c r="P74" s="163">
        <v>0</v>
      </c>
      <c r="Q74" s="215">
        <f>P74/Q$52</f>
        <v>0</v>
      </c>
      <c r="R74" s="163">
        <v>0</v>
      </c>
      <c r="S74" s="215">
        <f>R74/S$52</f>
        <v>0</v>
      </c>
      <c r="T74" s="217"/>
      <c r="U74" s="218" t="e">
        <f>T74/U$52</f>
        <v>#DIV/0!</v>
      </c>
      <c r="V74" s="195"/>
      <c r="W74" s="219">
        <f t="shared" si="14"/>
        <v>0</v>
      </c>
      <c r="X74" s="220" t="e">
        <f t="shared" si="14"/>
        <v>#DIV/0!</v>
      </c>
    </row>
    <row r="75" spans="1:24" ht="15" customHeight="1" thickTop="1" x14ac:dyDescent="0.2">
      <c r="A75" s="743" t="s">
        <v>248</v>
      </c>
    </row>
    <row r="76" spans="1:24" ht="15" customHeight="1" x14ac:dyDescent="0.2">
      <c r="A76" s="1"/>
      <c r="H76" s="65" t="s">
        <v>19</v>
      </c>
      <c r="J76" s="65" t="s">
        <v>19</v>
      </c>
      <c r="L76" s="65" t="s">
        <v>19</v>
      </c>
      <c r="N76" s="65" t="s">
        <v>19</v>
      </c>
      <c r="P76" s="65" t="s">
        <v>19</v>
      </c>
      <c r="R76" s="65" t="s">
        <v>19</v>
      </c>
      <c r="T76" s="65"/>
    </row>
    <row r="77" spans="1:24" x14ac:dyDescent="0.2">
      <c r="A77" s="1"/>
    </row>
    <row r="78" spans="1:24" x14ac:dyDescent="0.2">
      <c r="A78" s="1"/>
    </row>
    <row r="79" spans="1:24" x14ac:dyDescent="0.2">
      <c r="A79" s="1"/>
    </row>
    <row r="80" spans="1:24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x14ac:dyDescent="0.2">
      <c r="A84" s="1"/>
    </row>
    <row r="85" spans="1:1" x14ac:dyDescent="0.2">
      <c r="A85" s="1"/>
    </row>
    <row r="86" spans="1:1" x14ac:dyDescent="0.2">
      <c r="A86" s="1"/>
    </row>
    <row r="87" spans="1:1" x14ac:dyDescent="0.2">
      <c r="A87" s="1"/>
    </row>
    <row r="88" spans="1:1" x14ac:dyDescent="0.2">
      <c r="A88" s="1"/>
    </row>
    <row r="89" spans="1:1" x14ac:dyDescent="0.2">
      <c r="A89" s="1"/>
    </row>
    <row r="90" spans="1:1" x14ac:dyDescent="0.2">
      <c r="A90" s="1"/>
    </row>
    <row r="91" spans="1:1" x14ac:dyDescent="0.2">
      <c r="A91" s="1"/>
    </row>
    <row r="92" spans="1:1" x14ac:dyDescent="0.2">
      <c r="A92" s="1"/>
    </row>
    <row r="93" spans="1:1" x14ac:dyDescent="0.2">
      <c r="A93" s="1"/>
    </row>
    <row r="94" spans="1:1" x14ac:dyDescent="0.2">
      <c r="A94" s="1"/>
    </row>
    <row r="95" spans="1:1" x14ac:dyDescent="0.2">
      <c r="A95" s="1"/>
    </row>
    <row r="96" spans="1:1" x14ac:dyDescent="0.2">
      <c r="A96" s="1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x14ac:dyDescent="0.2">
      <c r="A100" s="1"/>
    </row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x14ac:dyDescent="0.2">
      <c r="A107" s="1"/>
    </row>
    <row r="108" spans="1:1" x14ac:dyDescent="0.2">
      <c r="A108" s="1"/>
    </row>
    <row r="109" spans="1:1" x14ac:dyDescent="0.2">
      <c r="A109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x14ac:dyDescent="0.2">
      <c r="A120" s="1"/>
    </row>
    <row r="121" spans="1:1" x14ac:dyDescent="0.2">
      <c r="A121" s="1"/>
    </row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x14ac:dyDescent="0.2">
      <c r="A128" s="1"/>
    </row>
    <row r="129" spans="1:1" x14ac:dyDescent="0.2">
      <c r="A129" s="1"/>
    </row>
    <row r="130" spans="1:1" x14ac:dyDescent="0.2">
      <c r="A130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x14ac:dyDescent="0.2">
      <c r="A152" s="1"/>
    </row>
    <row r="153" spans="1:1" x14ac:dyDescent="0.2">
      <c r="A153" s="1"/>
    </row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  <row r="177" spans="1:1" x14ac:dyDescent="0.2">
      <c r="A177" s="1"/>
    </row>
    <row r="178" spans="1:1" x14ac:dyDescent="0.2">
      <c r="A178" s="1"/>
    </row>
    <row r="179" spans="1:1" x14ac:dyDescent="0.2">
      <c r="A179" s="1"/>
    </row>
    <row r="180" spans="1:1" x14ac:dyDescent="0.2">
      <c r="A180" s="1"/>
    </row>
    <row r="181" spans="1:1" x14ac:dyDescent="0.2">
      <c r="A181" s="1"/>
    </row>
    <row r="182" spans="1:1" x14ac:dyDescent="0.2">
      <c r="A182" s="1"/>
    </row>
    <row r="183" spans="1:1" x14ac:dyDescent="0.2">
      <c r="A183" s="1"/>
    </row>
    <row r="184" spans="1:1" x14ac:dyDescent="0.2">
      <c r="A184" s="1"/>
    </row>
    <row r="185" spans="1:1" x14ac:dyDescent="0.2">
      <c r="A185" s="1"/>
    </row>
    <row r="186" spans="1:1" x14ac:dyDescent="0.2">
      <c r="A186" s="1"/>
    </row>
    <row r="187" spans="1:1" x14ac:dyDescent="0.2">
      <c r="A187" s="1"/>
    </row>
    <row r="188" spans="1:1" x14ac:dyDescent="0.2">
      <c r="A188" s="1"/>
    </row>
    <row r="189" spans="1:1" x14ac:dyDescent="0.2">
      <c r="A189" s="1"/>
    </row>
    <row r="190" spans="1:1" x14ac:dyDescent="0.2">
      <c r="A190" s="1"/>
    </row>
    <row r="191" spans="1:1" x14ac:dyDescent="0.2">
      <c r="A191" s="1"/>
    </row>
    <row r="192" spans="1:1" x14ac:dyDescent="0.2">
      <c r="A192" s="1"/>
    </row>
    <row r="193" spans="1:1" x14ac:dyDescent="0.2">
      <c r="A193" s="1"/>
    </row>
    <row r="194" spans="1:1" x14ac:dyDescent="0.2">
      <c r="A194" s="1"/>
    </row>
    <row r="195" spans="1:1" x14ac:dyDescent="0.2">
      <c r="A195" s="1"/>
    </row>
    <row r="196" spans="1:1" x14ac:dyDescent="0.2">
      <c r="A196" s="1"/>
    </row>
    <row r="197" spans="1:1" x14ac:dyDescent="0.2">
      <c r="A197" s="1"/>
    </row>
    <row r="198" spans="1:1" x14ac:dyDescent="0.2">
      <c r="A198" s="1"/>
    </row>
    <row r="199" spans="1:1" x14ac:dyDescent="0.2">
      <c r="A199" s="1"/>
    </row>
    <row r="200" spans="1:1" x14ac:dyDescent="0.2">
      <c r="A200" s="1"/>
    </row>
    <row r="201" spans="1:1" x14ac:dyDescent="0.2">
      <c r="A201" s="1"/>
    </row>
    <row r="202" spans="1:1" x14ac:dyDescent="0.2">
      <c r="A202" s="1"/>
    </row>
    <row r="203" spans="1:1" x14ac:dyDescent="0.2">
      <c r="A203" s="1"/>
    </row>
    <row r="204" spans="1:1" x14ac:dyDescent="0.2">
      <c r="A204" s="1"/>
    </row>
    <row r="205" spans="1:1" x14ac:dyDescent="0.2">
      <c r="A205" s="1"/>
    </row>
    <row r="206" spans="1:1" x14ac:dyDescent="0.2">
      <c r="A206" s="1"/>
    </row>
    <row r="207" spans="1:1" x14ac:dyDescent="0.2">
      <c r="A207" s="1"/>
    </row>
    <row r="208" spans="1:1" x14ac:dyDescent="0.2">
      <c r="A208" s="1"/>
    </row>
    <row r="209" spans="1:1" x14ac:dyDescent="0.2">
      <c r="A209" s="1"/>
    </row>
    <row r="210" spans="1:1" x14ac:dyDescent="0.2">
      <c r="A210" s="1"/>
    </row>
    <row r="211" spans="1:1" x14ac:dyDescent="0.2">
      <c r="A211" s="1"/>
    </row>
    <row r="212" spans="1:1" x14ac:dyDescent="0.2">
      <c r="A212" s="1"/>
    </row>
    <row r="213" spans="1:1" x14ac:dyDescent="0.2">
      <c r="A213" s="1"/>
    </row>
    <row r="214" spans="1:1" x14ac:dyDescent="0.2">
      <c r="A214" s="1"/>
    </row>
    <row r="215" spans="1:1" x14ac:dyDescent="0.2">
      <c r="A215" s="1"/>
    </row>
    <row r="216" spans="1:1" x14ac:dyDescent="0.2">
      <c r="A216" s="1"/>
    </row>
    <row r="217" spans="1:1" x14ac:dyDescent="0.2">
      <c r="A217" s="1"/>
    </row>
    <row r="218" spans="1:1" x14ac:dyDescent="0.2">
      <c r="A218" s="1"/>
    </row>
    <row r="219" spans="1:1" x14ac:dyDescent="0.2">
      <c r="A219" s="1"/>
    </row>
    <row r="220" spans="1:1" x14ac:dyDescent="0.2">
      <c r="A220" s="1"/>
    </row>
    <row r="221" spans="1:1" x14ac:dyDescent="0.2">
      <c r="A221" s="1"/>
    </row>
    <row r="222" spans="1:1" x14ac:dyDescent="0.2">
      <c r="A222" s="1"/>
    </row>
    <row r="223" spans="1:1" x14ac:dyDescent="0.2">
      <c r="A223" s="1"/>
    </row>
    <row r="224" spans="1:1" x14ac:dyDescent="0.2">
      <c r="A224" s="1"/>
    </row>
    <row r="225" spans="1:1" x14ac:dyDescent="0.2">
      <c r="A225" s="1"/>
    </row>
    <row r="226" spans="1:1" x14ac:dyDescent="0.2">
      <c r="A226" s="1"/>
    </row>
    <row r="227" spans="1:1" x14ac:dyDescent="0.2">
      <c r="A227" s="1"/>
    </row>
    <row r="228" spans="1:1" x14ac:dyDescent="0.2">
      <c r="A228" s="1"/>
    </row>
    <row r="229" spans="1:1" x14ac:dyDescent="0.2">
      <c r="A229" s="1"/>
    </row>
    <row r="230" spans="1:1" x14ac:dyDescent="0.2">
      <c r="A230" s="1"/>
    </row>
    <row r="231" spans="1:1" x14ac:dyDescent="0.2">
      <c r="A231" s="1"/>
    </row>
    <row r="232" spans="1:1" x14ac:dyDescent="0.2">
      <c r="A232" s="1"/>
    </row>
    <row r="233" spans="1:1" x14ac:dyDescent="0.2">
      <c r="A233" s="1"/>
    </row>
    <row r="234" spans="1:1" x14ac:dyDescent="0.2">
      <c r="A234" s="1"/>
    </row>
    <row r="235" spans="1:1" x14ac:dyDescent="0.2">
      <c r="A235" s="1"/>
    </row>
    <row r="236" spans="1:1" x14ac:dyDescent="0.2">
      <c r="A236" s="1"/>
    </row>
    <row r="237" spans="1:1" x14ac:dyDescent="0.2">
      <c r="A237" s="1"/>
    </row>
    <row r="238" spans="1:1" x14ac:dyDescent="0.2">
      <c r="A238" s="1"/>
    </row>
    <row r="239" spans="1:1" x14ac:dyDescent="0.2">
      <c r="A239" s="1"/>
    </row>
    <row r="240" spans="1:1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6" spans="1:1" x14ac:dyDescent="0.2">
      <c r="A296" s="1"/>
    </row>
    <row r="297" spans="1:1" x14ac:dyDescent="0.2">
      <c r="A297" s="1"/>
    </row>
    <row r="298" spans="1:1" x14ac:dyDescent="0.2">
      <c r="A298" s="1"/>
    </row>
    <row r="299" spans="1:1" x14ac:dyDescent="0.2">
      <c r="A299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  <row r="303" spans="1:1" x14ac:dyDescent="0.2">
      <c r="A303" s="1"/>
    </row>
    <row r="304" spans="1:1" x14ac:dyDescent="0.2">
      <c r="A304" s="1"/>
    </row>
    <row r="305" spans="1:1" x14ac:dyDescent="0.2">
      <c r="A305" s="1"/>
    </row>
    <row r="306" spans="1:1" x14ac:dyDescent="0.2">
      <c r="A306" s="1"/>
    </row>
    <row r="307" spans="1:1" x14ac:dyDescent="0.2">
      <c r="A307" s="1"/>
    </row>
    <row r="308" spans="1:1" x14ac:dyDescent="0.2">
      <c r="A308" s="1"/>
    </row>
    <row r="309" spans="1:1" x14ac:dyDescent="0.2">
      <c r="A309" s="1"/>
    </row>
    <row r="310" spans="1:1" x14ac:dyDescent="0.2">
      <c r="A310" s="1"/>
    </row>
    <row r="311" spans="1:1" x14ac:dyDescent="0.2">
      <c r="A311" s="1"/>
    </row>
    <row r="312" spans="1:1" x14ac:dyDescent="0.2">
      <c r="A312" s="1"/>
    </row>
    <row r="313" spans="1:1" x14ac:dyDescent="0.2">
      <c r="A313" s="1"/>
    </row>
    <row r="314" spans="1:1" x14ac:dyDescent="0.2">
      <c r="A314" s="1"/>
    </row>
    <row r="315" spans="1:1" x14ac:dyDescent="0.2">
      <c r="A315" s="1"/>
    </row>
    <row r="316" spans="1:1" x14ac:dyDescent="0.2">
      <c r="A316" s="1"/>
    </row>
    <row r="317" spans="1:1" x14ac:dyDescent="0.2">
      <c r="A317" s="1"/>
    </row>
    <row r="318" spans="1:1" x14ac:dyDescent="0.2">
      <c r="A318" s="1"/>
    </row>
    <row r="319" spans="1:1" x14ac:dyDescent="0.2">
      <c r="A319" s="1"/>
    </row>
    <row r="320" spans="1:1" x14ac:dyDescent="0.2">
      <c r="A320" s="1"/>
    </row>
    <row r="321" spans="1:1" x14ac:dyDescent="0.2">
      <c r="A321" s="1"/>
    </row>
    <row r="322" spans="1:1" x14ac:dyDescent="0.2">
      <c r="A322" s="1"/>
    </row>
    <row r="323" spans="1:1" x14ac:dyDescent="0.2">
      <c r="A323" s="1"/>
    </row>
    <row r="324" spans="1:1" x14ac:dyDescent="0.2">
      <c r="A324" s="1"/>
    </row>
    <row r="325" spans="1:1" x14ac:dyDescent="0.2">
      <c r="A325" s="1"/>
    </row>
    <row r="326" spans="1:1" x14ac:dyDescent="0.2">
      <c r="A326" s="1"/>
    </row>
    <row r="327" spans="1:1" x14ac:dyDescent="0.2">
      <c r="A327" s="1"/>
    </row>
    <row r="328" spans="1:1" x14ac:dyDescent="0.2">
      <c r="A328" s="1"/>
    </row>
    <row r="329" spans="1:1" x14ac:dyDescent="0.2">
      <c r="A329" s="1"/>
    </row>
    <row r="330" spans="1:1" x14ac:dyDescent="0.2">
      <c r="A330" s="1"/>
    </row>
    <row r="331" spans="1:1" x14ac:dyDescent="0.2">
      <c r="A331" s="1"/>
    </row>
    <row r="332" spans="1:1" x14ac:dyDescent="0.2">
      <c r="A332" s="1"/>
    </row>
    <row r="333" spans="1:1" x14ac:dyDescent="0.2">
      <c r="A333" s="1"/>
    </row>
    <row r="334" spans="1:1" x14ac:dyDescent="0.2">
      <c r="A334" s="1"/>
    </row>
    <row r="335" spans="1:1" x14ac:dyDescent="0.2">
      <c r="A335" s="1"/>
    </row>
    <row r="336" spans="1:1" x14ac:dyDescent="0.2">
      <c r="A336" s="1"/>
    </row>
    <row r="337" spans="1:1" x14ac:dyDescent="0.2">
      <c r="A337" s="1"/>
    </row>
    <row r="338" spans="1:1" x14ac:dyDescent="0.2">
      <c r="A338" s="1"/>
    </row>
    <row r="339" spans="1:1" x14ac:dyDescent="0.2">
      <c r="A339" s="1"/>
    </row>
    <row r="340" spans="1:1" x14ac:dyDescent="0.2">
      <c r="A340" s="1"/>
    </row>
    <row r="341" spans="1:1" x14ac:dyDescent="0.2">
      <c r="A341" s="1"/>
    </row>
    <row r="342" spans="1:1" x14ac:dyDescent="0.2">
      <c r="A342" s="1"/>
    </row>
    <row r="343" spans="1:1" x14ac:dyDescent="0.2">
      <c r="A343" s="1"/>
    </row>
    <row r="344" spans="1:1" x14ac:dyDescent="0.2">
      <c r="A344" s="1"/>
    </row>
    <row r="345" spans="1:1" x14ac:dyDescent="0.2">
      <c r="A345" s="1"/>
    </row>
    <row r="346" spans="1:1" x14ac:dyDescent="0.2">
      <c r="A346" s="1"/>
    </row>
    <row r="347" spans="1:1" x14ac:dyDescent="0.2">
      <c r="A347" s="1"/>
    </row>
    <row r="348" spans="1:1" x14ac:dyDescent="0.2">
      <c r="A348" s="1"/>
    </row>
    <row r="349" spans="1:1" x14ac:dyDescent="0.2">
      <c r="A349" s="1"/>
    </row>
    <row r="350" spans="1:1" x14ac:dyDescent="0.2">
      <c r="A350" s="1"/>
    </row>
    <row r="351" spans="1:1" x14ac:dyDescent="0.2">
      <c r="A351" s="1"/>
    </row>
    <row r="352" spans="1:1" x14ac:dyDescent="0.2">
      <c r="A352" s="1"/>
    </row>
    <row r="353" spans="1:1" x14ac:dyDescent="0.2">
      <c r="A353" s="1"/>
    </row>
    <row r="354" spans="1:1" x14ac:dyDescent="0.2">
      <c r="A354" s="1"/>
    </row>
    <row r="355" spans="1:1" x14ac:dyDescent="0.2">
      <c r="A355" s="1"/>
    </row>
    <row r="356" spans="1:1" x14ac:dyDescent="0.2">
      <c r="A356" s="1"/>
    </row>
    <row r="357" spans="1:1" x14ac:dyDescent="0.2">
      <c r="A357" s="1"/>
    </row>
    <row r="358" spans="1:1" x14ac:dyDescent="0.2">
      <c r="A358" s="1"/>
    </row>
    <row r="359" spans="1:1" x14ac:dyDescent="0.2">
      <c r="A359" s="1"/>
    </row>
    <row r="360" spans="1:1" x14ac:dyDescent="0.2">
      <c r="A360" s="1"/>
    </row>
    <row r="361" spans="1:1" x14ac:dyDescent="0.2">
      <c r="A361" s="1"/>
    </row>
    <row r="362" spans="1:1" x14ac:dyDescent="0.2">
      <c r="A362" s="1"/>
    </row>
    <row r="363" spans="1:1" x14ac:dyDescent="0.2">
      <c r="A363" s="1"/>
    </row>
    <row r="364" spans="1:1" x14ac:dyDescent="0.2">
      <c r="A364" s="1"/>
    </row>
    <row r="365" spans="1:1" x14ac:dyDescent="0.2">
      <c r="A365" s="1"/>
    </row>
    <row r="366" spans="1:1" x14ac:dyDescent="0.2">
      <c r="A366" s="1"/>
    </row>
    <row r="367" spans="1:1" x14ac:dyDescent="0.2">
      <c r="A367" s="1"/>
    </row>
    <row r="368" spans="1:1" x14ac:dyDescent="0.2">
      <c r="A368" s="1"/>
    </row>
    <row r="369" spans="1:1" x14ac:dyDescent="0.2">
      <c r="A369" s="1"/>
    </row>
    <row r="370" spans="1:1" x14ac:dyDescent="0.2">
      <c r="A370" s="1"/>
    </row>
    <row r="371" spans="1:1" x14ac:dyDescent="0.2">
      <c r="A371" s="1"/>
    </row>
    <row r="372" spans="1:1" x14ac:dyDescent="0.2">
      <c r="A372" s="1"/>
    </row>
    <row r="373" spans="1:1" x14ac:dyDescent="0.2">
      <c r="A373" s="1"/>
    </row>
    <row r="374" spans="1:1" x14ac:dyDescent="0.2">
      <c r="A374" s="1"/>
    </row>
    <row r="375" spans="1:1" x14ac:dyDescent="0.2">
      <c r="A375" s="1"/>
    </row>
    <row r="376" spans="1:1" x14ac:dyDescent="0.2">
      <c r="A376" s="1"/>
    </row>
    <row r="377" spans="1:1" x14ac:dyDescent="0.2">
      <c r="A377" s="1"/>
    </row>
    <row r="378" spans="1:1" x14ac:dyDescent="0.2">
      <c r="A378" s="1"/>
    </row>
    <row r="379" spans="1:1" x14ac:dyDescent="0.2">
      <c r="A379" s="1"/>
    </row>
    <row r="380" spans="1:1" x14ac:dyDescent="0.2">
      <c r="A380" s="1"/>
    </row>
    <row r="381" spans="1:1" x14ac:dyDescent="0.2">
      <c r="A381" s="1"/>
    </row>
    <row r="382" spans="1:1" x14ac:dyDescent="0.2">
      <c r="A382" s="1"/>
    </row>
    <row r="383" spans="1:1" x14ac:dyDescent="0.2">
      <c r="A383" s="1"/>
    </row>
    <row r="384" spans="1:1" x14ac:dyDescent="0.2">
      <c r="A384" s="1"/>
    </row>
    <row r="385" spans="1:1" x14ac:dyDescent="0.2">
      <c r="A385" s="1"/>
    </row>
    <row r="386" spans="1:1" x14ac:dyDescent="0.2">
      <c r="A386" s="1"/>
    </row>
    <row r="387" spans="1:1" x14ac:dyDescent="0.2">
      <c r="A387" s="1"/>
    </row>
    <row r="388" spans="1:1" x14ac:dyDescent="0.2">
      <c r="A388" s="1"/>
    </row>
    <row r="389" spans="1:1" x14ac:dyDescent="0.2">
      <c r="A389" s="1"/>
    </row>
    <row r="390" spans="1:1" x14ac:dyDescent="0.2">
      <c r="A390" s="1"/>
    </row>
    <row r="391" spans="1:1" x14ac:dyDescent="0.2">
      <c r="A391" s="1"/>
    </row>
    <row r="392" spans="1:1" x14ac:dyDescent="0.2">
      <c r="A392" s="1"/>
    </row>
    <row r="393" spans="1:1" x14ac:dyDescent="0.2">
      <c r="A393" s="1"/>
    </row>
    <row r="394" spans="1:1" x14ac:dyDescent="0.2">
      <c r="A394" s="1"/>
    </row>
    <row r="395" spans="1:1" x14ac:dyDescent="0.2">
      <c r="A395" s="1"/>
    </row>
    <row r="396" spans="1:1" x14ac:dyDescent="0.2">
      <c r="A396" s="1"/>
    </row>
    <row r="397" spans="1:1" x14ac:dyDescent="0.2">
      <c r="A397" s="1"/>
    </row>
    <row r="398" spans="1:1" x14ac:dyDescent="0.2">
      <c r="A398" s="1"/>
    </row>
    <row r="399" spans="1:1" x14ac:dyDescent="0.2">
      <c r="A399" s="1"/>
    </row>
    <row r="400" spans="1:1" x14ac:dyDescent="0.2">
      <c r="A400" s="1"/>
    </row>
    <row r="401" spans="1:1" x14ac:dyDescent="0.2">
      <c r="A401" s="1"/>
    </row>
    <row r="402" spans="1:1" x14ac:dyDescent="0.2">
      <c r="A402" s="1"/>
    </row>
    <row r="403" spans="1:1" x14ac:dyDescent="0.2">
      <c r="A403" s="1"/>
    </row>
    <row r="404" spans="1:1" x14ac:dyDescent="0.2">
      <c r="A404" s="1"/>
    </row>
    <row r="405" spans="1:1" x14ac:dyDescent="0.2">
      <c r="A405" s="1"/>
    </row>
    <row r="406" spans="1:1" x14ac:dyDescent="0.2">
      <c r="A406" s="1"/>
    </row>
    <row r="407" spans="1:1" x14ac:dyDescent="0.2">
      <c r="A407" s="1"/>
    </row>
    <row r="408" spans="1:1" x14ac:dyDescent="0.2">
      <c r="A408" s="1"/>
    </row>
    <row r="409" spans="1:1" x14ac:dyDescent="0.2">
      <c r="A409" s="1"/>
    </row>
    <row r="410" spans="1:1" x14ac:dyDescent="0.2">
      <c r="A410" s="1"/>
    </row>
    <row r="411" spans="1:1" x14ac:dyDescent="0.2">
      <c r="A411" s="1"/>
    </row>
    <row r="412" spans="1:1" x14ac:dyDescent="0.2">
      <c r="A412" s="1"/>
    </row>
    <row r="413" spans="1:1" x14ac:dyDescent="0.2">
      <c r="A413" s="1"/>
    </row>
    <row r="414" spans="1:1" x14ac:dyDescent="0.2">
      <c r="A414" s="1"/>
    </row>
    <row r="415" spans="1:1" x14ac:dyDescent="0.2">
      <c r="A415" s="1"/>
    </row>
    <row r="416" spans="1:1" x14ac:dyDescent="0.2">
      <c r="A416" s="1"/>
    </row>
    <row r="417" spans="1:1" x14ac:dyDescent="0.2">
      <c r="A417" s="1"/>
    </row>
    <row r="418" spans="1:1" x14ac:dyDescent="0.2">
      <c r="A418" s="1"/>
    </row>
    <row r="419" spans="1:1" x14ac:dyDescent="0.2">
      <c r="A419" s="1"/>
    </row>
    <row r="420" spans="1:1" x14ac:dyDescent="0.2">
      <c r="A420" s="1"/>
    </row>
    <row r="421" spans="1:1" x14ac:dyDescent="0.2">
      <c r="A421" s="1"/>
    </row>
  </sheetData>
  <mergeCells count="77">
    <mergeCell ref="W9:X9"/>
    <mergeCell ref="P9:Q9"/>
    <mergeCell ref="B9:C9"/>
    <mergeCell ref="D9:E9"/>
    <mergeCell ref="F9:G9"/>
    <mergeCell ref="H9:I9"/>
    <mergeCell ref="J9:K9"/>
    <mergeCell ref="T9:U9"/>
    <mergeCell ref="L19:M19"/>
    <mergeCell ref="N19:O19"/>
    <mergeCell ref="L9:M9"/>
    <mergeCell ref="N9:O9"/>
    <mergeCell ref="R9:S9"/>
    <mergeCell ref="B19:C19"/>
    <mergeCell ref="D19:E19"/>
    <mergeCell ref="F19:G19"/>
    <mergeCell ref="H19:I19"/>
    <mergeCell ref="J19:K19"/>
    <mergeCell ref="P23:Q23"/>
    <mergeCell ref="R23:S23"/>
    <mergeCell ref="W23:X23"/>
    <mergeCell ref="R19:S19"/>
    <mergeCell ref="W19:X19"/>
    <mergeCell ref="P19:Q19"/>
    <mergeCell ref="T19:U19"/>
    <mergeCell ref="T23:U23"/>
    <mergeCell ref="J23:K23"/>
    <mergeCell ref="L23:M23"/>
    <mergeCell ref="N23:O23"/>
    <mergeCell ref="B23:C23"/>
    <mergeCell ref="D23:E23"/>
    <mergeCell ref="F23:G23"/>
    <mergeCell ref="H23:I23"/>
    <mergeCell ref="B32:C32"/>
    <mergeCell ref="D32:E32"/>
    <mergeCell ref="F32:G32"/>
    <mergeCell ref="H32:I32"/>
    <mergeCell ref="P32:Q32"/>
    <mergeCell ref="J32:K32"/>
    <mergeCell ref="L32:M32"/>
    <mergeCell ref="N32:O32"/>
    <mergeCell ref="R25:S25"/>
    <mergeCell ref="W25:X25"/>
    <mergeCell ref="P25:Q25"/>
    <mergeCell ref="B25:C25"/>
    <mergeCell ref="D25:E25"/>
    <mergeCell ref="F25:G25"/>
    <mergeCell ref="H25:I25"/>
    <mergeCell ref="J25:K25"/>
    <mergeCell ref="L25:M25"/>
    <mergeCell ref="N25:O25"/>
    <mergeCell ref="T25:U25"/>
    <mergeCell ref="R32:S32"/>
    <mergeCell ref="W35:X35"/>
    <mergeCell ref="P35:Q35"/>
    <mergeCell ref="R35:S35"/>
    <mergeCell ref="J35:K35"/>
    <mergeCell ref="L35:M35"/>
    <mergeCell ref="N35:O35"/>
    <mergeCell ref="W32:X32"/>
    <mergeCell ref="T32:U32"/>
    <mergeCell ref="T35:U35"/>
    <mergeCell ref="P40:Q40"/>
    <mergeCell ref="R40:S40"/>
    <mergeCell ref="W40:X40"/>
    <mergeCell ref="B40:C40"/>
    <mergeCell ref="D40:E40"/>
    <mergeCell ref="F40:G40"/>
    <mergeCell ref="H40:I40"/>
    <mergeCell ref="J40:K40"/>
    <mergeCell ref="T40:U40"/>
    <mergeCell ref="B35:C35"/>
    <mergeCell ref="D35:E35"/>
    <mergeCell ref="F35:G35"/>
    <mergeCell ref="L40:M40"/>
    <mergeCell ref="N40:O40"/>
    <mergeCell ref="H35:I35"/>
  </mergeCells>
  <printOptions horizontalCentered="1"/>
  <pageMargins left="0.75" right="0.75" top="0.5" bottom="0.5" header="0.25" footer="0.25"/>
  <pageSetup scale="70" orientation="landscape" r:id="rId1"/>
  <headerFooter alignWithMargins="0">
    <oddFooter>&amp;LPrepared by Planning and Analysis&amp;C&amp;P of &amp;N&amp;RUpdated &amp;D</oddFooter>
  </headerFooter>
  <rowBreaks count="1" manualBreakCount="1">
    <brk id="38" max="21" man="1"/>
  </rowBreaks>
  <colBreaks count="1" manualBreakCount="1">
    <brk id="21" min="8" max="72" man="1"/>
  </colBreaks>
  <ignoredErrors>
    <ignoredError sqref="M45:N72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A424"/>
  <sheetViews>
    <sheetView view="pageBreakPreview" zoomScaleNormal="100" zoomScaleSheetLayoutView="100" workbookViewId="0">
      <pane xSplit="1" ySplit="1" topLeftCell="T2" activePane="bottomRight" state="frozen"/>
      <selection activeCell="T36" sqref="T36:U36"/>
      <selection pane="topRight" activeCell="T36" sqref="T36:U36"/>
      <selection pane="bottomLeft" activeCell="T36" sqref="T36:U36"/>
      <selection pane="bottomRight" activeCell="T36" sqref="T36:U36"/>
    </sheetView>
  </sheetViews>
  <sheetFormatPr defaultColWidth="10.28515625" defaultRowHeight="12.75" x14ac:dyDescent="0.2"/>
  <cols>
    <col min="1" max="1" width="33.5703125" customWidth="1"/>
    <col min="2" max="2" width="6.7109375" hidden="1" customWidth="1"/>
    <col min="3" max="3" width="10.7109375" hidden="1" customWidth="1"/>
    <col min="4" max="4" width="6.7109375" hidden="1" customWidth="1"/>
    <col min="5" max="5" width="10.7109375" hidden="1" customWidth="1"/>
    <col min="6" max="6" width="6.7109375" customWidth="1"/>
    <col min="7" max="7" width="10.7109375" customWidth="1"/>
    <col min="8" max="8" width="6.7109375" customWidth="1"/>
    <col min="9" max="9" width="10.7109375" customWidth="1"/>
    <col min="10" max="10" width="6.7109375" customWidth="1"/>
    <col min="11" max="11" width="10.7109375" customWidth="1"/>
    <col min="12" max="12" width="6.7109375" customWidth="1"/>
    <col min="13" max="13" width="10.7109375" customWidth="1"/>
    <col min="14" max="14" width="6.7109375" customWidth="1"/>
    <col min="15" max="15" width="10.7109375" customWidth="1"/>
    <col min="16" max="16" width="6.7109375" customWidth="1"/>
    <col min="17" max="17" width="10.7109375" customWidth="1"/>
    <col min="18" max="18" width="6.7109375" customWidth="1"/>
    <col min="19" max="19" width="10.7109375" customWidth="1"/>
    <col min="20" max="20" width="6.7109375" customWidth="1"/>
    <col min="21" max="21" width="10.7109375" customWidth="1"/>
    <col min="22" max="22" width="3.28515625" customWidth="1"/>
    <col min="23" max="23" width="6.7109375" customWidth="1"/>
    <col min="24" max="24" width="10.7109375" customWidth="1"/>
    <col min="25" max="25" width="1.5703125" customWidth="1"/>
  </cols>
  <sheetData>
    <row r="1" spans="1:26" ht="15.75" x14ac:dyDescent="0.25">
      <c r="A1" s="667" t="s">
        <v>240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</row>
    <row r="2" spans="1:26" ht="15.75" x14ac:dyDescent="0.25">
      <c r="A2" s="667" t="s">
        <v>241</v>
      </c>
      <c r="K2" s="23"/>
    </row>
    <row r="3" spans="1:26" ht="15.75" x14ac:dyDescent="0.25">
      <c r="A3" s="667"/>
      <c r="K3" s="23"/>
    </row>
    <row r="4" spans="1:26" ht="15.75" x14ac:dyDescent="0.25">
      <c r="A4" s="668" t="s">
        <v>261</v>
      </c>
    </row>
    <row r="5" spans="1:26" ht="15.75" x14ac:dyDescent="0.25">
      <c r="A5" s="668"/>
    </row>
    <row r="6" spans="1:26" x14ac:dyDescent="0.2">
      <c r="A6" s="3" t="s">
        <v>277</v>
      </c>
    </row>
    <row r="7" spans="1:26" x14ac:dyDescent="0.2">
      <c r="A7" s="720">
        <v>3670020090</v>
      </c>
    </row>
    <row r="8" spans="1:26" ht="13.5" thickBot="1" x14ac:dyDescent="0.25">
      <c r="A8" s="1"/>
    </row>
    <row r="9" spans="1:26" ht="15" customHeight="1" thickTop="1" thickBot="1" x14ac:dyDescent="0.25">
      <c r="A9" s="341"/>
      <c r="B9" s="1412" t="s">
        <v>0</v>
      </c>
      <c r="C9" s="1413"/>
      <c r="D9" s="1412" t="s">
        <v>1</v>
      </c>
      <c r="E9" s="1413"/>
      <c r="F9" s="1412" t="s">
        <v>2</v>
      </c>
      <c r="G9" s="1413"/>
      <c r="H9" s="1412" t="s">
        <v>3</v>
      </c>
      <c r="I9" s="1413"/>
      <c r="J9" s="1412" t="s">
        <v>4</v>
      </c>
      <c r="K9" s="1413"/>
      <c r="L9" s="1412" t="s">
        <v>5</v>
      </c>
      <c r="M9" s="1413"/>
      <c r="N9" s="1412" t="s">
        <v>6</v>
      </c>
      <c r="O9" s="1413"/>
      <c r="P9" s="1412" t="s">
        <v>7</v>
      </c>
      <c r="Q9" s="1413"/>
      <c r="R9" s="1412" t="s">
        <v>8</v>
      </c>
      <c r="S9" s="1413"/>
      <c r="T9" s="1401" t="s">
        <v>301</v>
      </c>
      <c r="U9" s="1402"/>
      <c r="V9" s="226"/>
      <c r="W9" s="1382" t="s">
        <v>9</v>
      </c>
      <c r="X9" s="1383"/>
    </row>
    <row r="10" spans="1:26" ht="15" customHeight="1" x14ac:dyDescent="0.2">
      <c r="A10" s="342"/>
      <c r="B10" s="68" t="s">
        <v>287</v>
      </c>
      <c r="C10" s="8" t="s">
        <v>10</v>
      </c>
      <c r="D10" s="68" t="s">
        <v>287</v>
      </c>
      <c r="E10" s="8" t="s">
        <v>10</v>
      </c>
      <c r="F10" s="68" t="s">
        <v>287</v>
      </c>
      <c r="G10" s="8" t="s">
        <v>10</v>
      </c>
      <c r="H10" s="68" t="s">
        <v>287</v>
      </c>
      <c r="I10" s="8" t="s">
        <v>10</v>
      </c>
      <c r="J10" s="68" t="s">
        <v>287</v>
      </c>
      <c r="K10" s="8" t="s">
        <v>10</v>
      </c>
      <c r="L10" s="68" t="s">
        <v>287</v>
      </c>
      <c r="M10" s="8" t="s">
        <v>10</v>
      </c>
      <c r="N10" s="68" t="s">
        <v>287</v>
      </c>
      <c r="O10" s="8" t="s">
        <v>10</v>
      </c>
      <c r="P10" s="68" t="s">
        <v>287</v>
      </c>
      <c r="Q10" s="8" t="s">
        <v>10</v>
      </c>
      <c r="R10" s="68" t="s">
        <v>287</v>
      </c>
      <c r="S10" s="8" t="s">
        <v>10</v>
      </c>
      <c r="T10" s="68" t="s">
        <v>287</v>
      </c>
      <c r="U10" s="97" t="s">
        <v>10</v>
      </c>
      <c r="V10" s="226"/>
      <c r="W10" s="6" t="s">
        <v>287</v>
      </c>
      <c r="X10" s="7" t="s">
        <v>11</v>
      </c>
    </row>
    <row r="11" spans="1:26" ht="15" customHeight="1" thickBot="1" x14ac:dyDescent="0.25">
      <c r="A11" s="343" t="s">
        <v>77</v>
      </c>
      <c r="B11" s="69" t="s">
        <v>12</v>
      </c>
      <c r="C11" s="922" t="s">
        <v>13</v>
      </c>
      <c r="D11" s="69" t="s">
        <v>12</v>
      </c>
      <c r="E11" s="922" t="s">
        <v>13</v>
      </c>
      <c r="F11" s="69" t="s">
        <v>12</v>
      </c>
      <c r="G11" s="922" t="s">
        <v>13</v>
      </c>
      <c r="H11" s="69" t="s">
        <v>12</v>
      </c>
      <c r="I11" s="922" t="s">
        <v>13</v>
      </c>
      <c r="J11" s="69" t="s">
        <v>12</v>
      </c>
      <c r="K11" s="922" t="s">
        <v>13</v>
      </c>
      <c r="L11" s="69" t="s">
        <v>12</v>
      </c>
      <c r="M11" s="922" t="s">
        <v>13</v>
      </c>
      <c r="N11" s="69" t="s">
        <v>12</v>
      </c>
      <c r="O11" s="922" t="s">
        <v>13</v>
      </c>
      <c r="P11" s="69" t="s">
        <v>12</v>
      </c>
      <c r="Q11" s="922" t="s">
        <v>13</v>
      </c>
      <c r="R11" s="69" t="s">
        <v>12</v>
      </c>
      <c r="S11" s="922" t="s">
        <v>13</v>
      </c>
      <c r="T11" s="69" t="s">
        <v>12</v>
      </c>
      <c r="U11" s="10" t="s">
        <v>13</v>
      </c>
      <c r="V11" s="226"/>
      <c r="W11" s="9" t="s">
        <v>12</v>
      </c>
      <c r="X11" s="10" t="s">
        <v>13</v>
      </c>
    </row>
    <row r="12" spans="1:26" ht="15" customHeight="1" x14ac:dyDescent="0.2">
      <c r="A12" s="391" t="s">
        <v>101</v>
      </c>
      <c r="B12" s="258"/>
      <c r="C12" s="259"/>
      <c r="D12" s="260"/>
      <c r="E12" s="261"/>
      <c r="F12" s="13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5"/>
      <c r="V12" s="226"/>
      <c r="W12" s="347"/>
      <c r="X12" s="348"/>
    </row>
    <row r="13" spans="1:26" s="23" customFormat="1" ht="15" customHeight="1" x14ac:dyDescent="0.2">
      <c r="A13" s="349" t="s">
        <v>15</v>
      </c>
      <c r="B13" s="153">
        <v>38</v>
      </c>
      <c r="C13" s="262"/>
      <c r="D13" s="350">
        <v>30</v>
      </c>
      <c r="E13" s="264"/>
      <c r="F13" s="153">
        <v>48</v>
      </c>
      <c r="G13" s="264"/>
      <c r="H13" s="153">
        <v>45</v>
      </c>
      <c r="I13" s="264"/>
      <c r="J13" s="153">
        <v>39</v>
      </c>
      <c r="K13" s="264"/>
      <c r="L13" s="153">
        <v>46</v>
      </c>
      <c r="M13" s="264"/>
      <c r="N13" s="153">
        <v>55</v>
      </c>
      <c r="O13" s="264"/>
      <c r="P13" s="153">
        <v>47</v>
      </c>
      <c r="Q13" s="264"/>
      <c r="R13" s="153">
        <f>21+25+5</f>
        <v>51</v>
      </c>
      <c r="S13" s="264"/>
      <c r="T13" s="153">
        <v>34</v>
      </c>
      <c r="U13" s="266"/>
      <c r="V13" s="352"/>
      <c r="W13" s="347">
        <f>AVERAGE(N13,L13,R13,T13,P13)</f>
        <v>46.6</v>
      </c>
      <c r="X13" s="1260"/>
    </row>
    <row r="14" spans="1:26" s="23" customFormat="1" ht="15" customHeight="1" thickBot="1" x14ac:dyDescent="0.25">
      <c r="A14" s="353" t="s">
        <v>16</v>
      </c>
      <c r="B14" s="354">
        <v>100</v>
      </c>
      <c r="C14" s="263"/>
      <c r="D14" s="355">
        <v>98</v>
      </c>
      <c r="E14" s="265"/>
      <c r="F14" s="354">
        <v>89</v>
      </c>
      <c r="G14" s="265"/>
      <c r="H14" s="354">
        <v>80</v>
      </c>
      <c r="I14" s="265"/>
      <c r="J14" s="354">
        <v>97</v>
      </c>
      <c r="K14" s="265"/>
      <c r="L14" s="354">
        <v>90</v>
      </c>
      <c r="M14" s="265"/>
      <c r="N14" s="354">
        <v>102</v>
      </c>
      <c r="O14" s="265"/>
      <c r="P14" s="354">
        <v>114</v>
      </c>
      <c r="Q14" s="265"/>
      <c r="R14" s="354">
        <f>39+69</f>
        <v>108</v>
      </c>
      <c r="S14" s="265"/>
      <c r="T14" s="354">
        <v>101</v>
      </c>
      <c r="U14" s="267"/>
      <c r="V14" s="352"/>
      <c r="W14" s="347">
        <f>AVERAGE(N14,L14,R14,T14,P14)</f>
        <v>103</v>
      </c>
      <c r="X14" s="394"/>
    </row>
    <row r="15" spans="1:26" s="73" customFormat="1" ht="15" customHeight="1" thickBot="1" x14ac:dyDescent="0.25">
      <c r="A15" s="357" t="s">
        <v>17</v>
      </c>
      <c r="B15" s="358">
        <f t="shared" ref="B15:R15" si="0">SUM(B13:B14)</f>
        <v>138</v>
      </c>
      <c r="C15" s="359">
        <v>32</v>
      </c>
      <c r="D15" s="358">
        <f t="shared" si="0"/>
        <v>128</v>
      </c>
      <c r="E15" s="359">
        <v>44</v>
      </c>
      <c r="F15" s="358">
        <f t="shared" si="0"/>
        <v>137</v>
      </c>
      <c r="G15" s="359">
        <v>33</v>
      </c>
      <c r="H15" s="358">
        <f t="shared" si="0"/>
        <v>125</v>
      </c>
      <c r="I15" s="359">
        <v>24</v>
      </c>
      <c r="J15" s="358">
        <f>SUM(J13:J14)</f>
        <v>136</v>
      </c>
      <c r="K15" s="642">
        <v>32</v>
      </c>
      <c r="L15" s="358">
        <f t="shared" si="0"/>
        <v>136</v>
      </c>
      <c r="M15" s="359">
        <v>31</v>
      </c>
      <c r="N15" s="640">
        <f t="shared" si="0"/>
        <v>157</v>
      </c>
      <c r="O15" s="359">
        <v>54</v>
      </c>
      <c r="P15" s="358">
        <f t="shared" si="0"/>
        <v>161</v>
      </c>
      <c r="Q15" s="1233">
        <v>41</v>
      </c>
      <c r="R15" s="1315">
        <f t="shared" si="0"/>
        <v>159</v>
      </c>
      <c r="S15" s="359">
        <v>43</v>
      </c>
      <c r="T15" s="1234">
        <v>135</v>
      </c>
      <c r="U15" s="1281">
        <f t="shared" ref="U15" si="1">SUM(U13:U14)</f>
        <v>0</v>
      </c>
      <c r="V15" s="360"/>
      <c r="W15" s="493">
        <f t="shared" ref="W15" si="2">AVERAGE(N15,L15,R15,J15,P15)</f>
        <v>149.80000000000001</v>
      </c>
      <c r="X15" s="1262">
        <f>AVERAGE(O15,M15,S15,K15,Q15)</f>
        <v>40.200000000000003</v>
      </c>
    </row>
    <row r="16" spans="1:26" s="23" customFormat="1" ht="15" customHeight="1" x14ac:dyDescent="0.2">
      <c r="A16" s="353" t="s">
        <v>18</v>
      </c>
      <c r="B16" s="392">
        <v>8</v>
      </c>
      <c r="C16" s="139">
        <v>92</v>
      </c>
      <c r="D16" s="393">
        <v>11</v>
      </c>
      <c r="E16" s="351">
        <v>93</v>
      </c>
      <c r="F16" s="392">
        <v>28</v>
      </c>
      <c r="G16" s="351">
        <v>72</v>
      </c>
      <c r="H16" s="392">
        <v>38</v>
      </c>
      <c r="I16" s="351">
        <v>70</v>
      </c>
      <c r="J16" s="392">
        <v>48</v>
      </c>
      <c r="K16" s="351">
        <v>101</v>
      </c>
      <c r="L16" s="392">
        <v>42</v>
      </c>
      <c r="M16" s="351">
        <v>74</v>
      </c>
      <c r="N16" s="392">
        <v>41</v>
      </c>
      <c r="O16" s="351">
        <v>61</v>
      </c>
      <c r="P16" s="392">
        <v>58</v>
      </c>
      <c r="Q16" s="351">
        <v>73</v>
      </c>
      <c r="R16" s="392">
        <v>43</v>
      </c>
      <c r="S16" s="351">
        <v>75</v>
      </c>
      <c r="T16" s="153">
        <v>51</v>
      </c>
      <c r="U16" s="152"/>
      <c r="V16" s="352"/>
      <c r="W16" s="1174">
        <f>AVERAGE(N16,L16,R16,T16,P16)</f>
        <v>47</v>
      </c>
      <c r="X16" s="1259">
        <f>AVERAGE(O16,M16,S16,U16,Q16)</f>
        <v>70.75</v>
      </c>
      <c r="Z16" s="23" t="s">
        <v>19</v>
      </c>
    </row>
    <row r="17" spans="1:24" s="23" customFormat="1" ht="15" customHeight="1" x14ac:dyDescent="0.2">
      <c r="A17" s="353" t="s">
        <v>20</v>
      </c>
      <c r="B17" s="392">
        <v>17</v>
      </c>
      <c r="C17" s="139">
        <v>6</v>
      </c>
      <c r="D17" s="393">
        <v>23</v>
      </c>
      <c r="E17" s="351">
        <v>9</v>
      </c>
      <c r="F17" s="392">
        <v>21</v>
      </c>
      <c r="G17" s="351">
        <v>8</v>
      </c>
      <c r="H17" s="392">
        <v>17</v>
      </c>
      <c r="I17" s="351">
        <v>8</v>
      </c>
      <c r="J17" s="392">
        <v>16</v>
      </c>
      <c r="K17" s="351">
        <v>8</v>
      </c>
      <c r="L17" s="392">
        <v>12</v>
      </c>
      <c r="M17" s="351">
        <v>8</v>
      </c>
      <c r="N17" s="392">
        <v>10</v>
      </c>
      <c r="O17" s="351">
        <v>11</v>
      </c>
      <c r="P17" s="252">
        <v>5</v>
      </c>
      <c r="Q17" s="351">
        <v>8</v>
      </c>
      <c r="R17" s="392">
        <v>6</v>
      </c>
      <c r="S17" s="351">
        <v>3</v>
      </c>
      <c r="T17" s="20">
        <v>1</v>
      </c>
      <c r="U17" s="152"/>
      <c r="V17" s="352"/>
      <c r="W17" s="347">
        <f>AVERAGE(N17,L17,R17,T17,P17)</f>
        <v>6.8</v>
      </c>
      <c r="X17" s="1260">
        <f t="shared" ref="X17:X19" si="3">AVERAGE(O17,M17,S17,U17,Q17)</f>
        <v>7.5</v>
      </c>
    </row>
    <row r="18" spans="1:24" s="23" customFormat="1" ht="15" customHeight="1" x14ac:dyDescent="0.2">
      <c r="A18" s="353" t="s">
        <v>86</v>
      </c>
      <c r="B18" s="392">
        <v>28</v>
      </c>
      <c r="C18" s="139">
        <f>4+1</f>
        <v>5</v>
      </c>
      <c r="D18" s="393">
        <f>47-19</f>
        <v>28</v>
      </c>
      <c r="E18" s="351">
        <v>11</v>
      </c>
      <c r="F18" s="392">
        <v>28</v>
      </c>
      <c r="G18" s="351">
        <v>4</v>
      </c>
      <c r="H18" s="392">
        <v>31</v>
      </c>
      <c r="I18" s="351">
        <v>3</v>
      </c>
      <c r="J18" s="392">
        <v>30</v>
      </c>
      <c r="K18" s="351">
        <v>4</v>
      </c>
      <c r="L18" s="392">
        <v>28</v>
      </c>
      <c r="M18" s="351">
        <v>6</v>
      </c>
      <c r="N18" s="392">
        <v>26</v>
      </c>
      <c r="O18" s="351">
        <v>4</v>
      </c>
      <c r="P18" s="392">
        <v>27</v>
      </c>
      <c r="Q18" s="351">
        <v>6</v>
      </c>
      <c r="R18" s="392">
        <v>30</v>
      </c>
      <c r="S18" s="351">
        <v>4</v>
      </c>
      <c r="T18" s="354">
        <v>29</v>
      </c>
      <c r="U18" s="152"/>
      <c r="V18" s="352"/>
      <c r="W18" s="347">
        <f>AVERAGE(N18,L18,R18,T18,P18)</f>
        <v>28</v>
      </c>
      <c r="X18" s="1260">
        <f t="shared" si="3"/>
        <v>5</v>
      </c>
    </row>
    <row r="19" spans="1:24" s="23" customFormat="1" ht="15" customHeight="1" thickBot="1" x14ac:dyDescent="0.25">
      <c r="A19" s="362" t="s">
        <v>102</v>
      </c>
      <c r="B19" s="395">
        <v>16</v>
      </c>
      <c r="C19" s="363">
        <v>0</v>
      </c>
      <c r="D19" s="396">
        <v>19</v>
      </c>
      <c r="E19" s="364">
        <v>6</v>
      </c>
      <c r="F19" s="395">
        <v>18</v>
      </c>
      <c r="G19" s="364">
        <v>1</v>
      </c>
      <c r="H19" s="395">
        <v>22</v>
      </c>
      <c r="I19" s="364">
        <v>0</v>
      </c>
      <c r="J19" s="395">
        <v>22</v>
      </c>
      <c r="K19" s="364">
        <v>3</v>
      </c>
      <c r="L19" s="395">
        <v>21</v>
      </c>
      <c r="M19" s="364">
        <v>3</v>
      </c>
      <c r="N19" s="395">
        <v>25</v>
      </c>
      <c r="O19" s="364">
        <v>3</v>
      </c>
      <c r="P19" s="395">
        <v>27</v>
      </c>
      <c r="Q19" s="364">
        <v>3</v>
      </c>
      <c r="R19" s="395">
        <v>34</v>
      </c>
      <c r="S19" s="364">
        <v>5</v>
      </c>
      <c r="T19" s="365">
        <v>38</v>
      </c>
      <c r="U19" s="1282"/>
      <c r="V19" s="352"/>
      <c r="W19" s="366">
        <f>AVERAGE(N19,L19,R19,T19,P19)</f>
        <v>29</v>
      </c>
      <c r="X19" s="1261">
        <f t="shared" si="3"/>
        <v>3.5</v>
      </c>
    </row>
    <row r="20" spans="1:24" ht="18" customHeight="1" thickTop="1" thickBot="1" x14ac:dyDescent="0.25">
      <c r="A20" s="298" t="s">
        <v>71</v>
      </c>
      <c r="B20" s="1380"/>
      <c r="C20" s="1381"/>
      <c r="D20" s="1380"/>
      <c r="E20" s="1381"/>
      <c r="F20" s="1380"/>
      <c r="G20" s="1381"/>
      <c r="H20" s="1380"/>
      <c r="I20" s="1381"/>
      <c r="J20" s="1380"/>
      <c r="K20" s="1381"/>
      <c r="L20" s="1380"/>
      <c r="M20" s="1381"/>
      <c r="N20" s="1380"/>
      <c r="O20" s="1381"/>
      <c r="P20" s="1380"/>
      <c r="Q20" s="1381"/>
      <c r="R20" s="1380"/>
      <c r="S20" s="1381"/>
      <c r="T20" s="1380"/>
      <c r="U20" s="1383"/>
      <c r="V20" s="226"/>
      <c r="W20" s="1382"/>
      <c r="X20" s="1383"/>
    </row>
    <row r="21" spans="1:24" ht="15" customHeight="1" x14ac:dyDescent="0.2">
      <c r="A21" s="1226" t="s">
        <v>79</v>
      </c>
      <c r="B21" s="384"/>
      <c r="C21" s="385"/>
      <c r="D21" s="384"/>
      <c r="E21" s="385"/>
      <c r="F21" s="384"/>
      <c r="G21" s="385"/>
      <c r="H21" s="384"/>
      <c r="I21" s="385"/>
      <c r="J21" s="384"/>
      <c r="K21" s="385"/>
      <c r="L21" s="384"/>
      <c r="M21" s="385"/>
      <c r="N21" s="384"/>
      <c r="O21" s="385"/>
      <c r="P21" s="384"/>
      <c r="Q21" s="385"/>
      <c r="R21" s="384"/>
      <c r="S21" s="385"/>
      <c r="T21" s="384"/>
      <c r="U21" s="386"/>
      <c r="V21" s="226"/>
      <c r="W21" s="851"/>
      <c r="X21" s="852" t="e">
        <f>AVERAGE(O21,M21,I21,K21,Q21)</f>
        <v>#DIV/0!</v>
      </c>
    </row>
    <row r="22" spans="1:24" ht="15" customHeight="1" x14ac:dyDescent="0.2">
      <c r="A22" s="303" t="s">
        <v>72</v>
      </c>
      <c r="B22" s="387"/>
      <c r="C22" s="388">
        <v>0.45</v>
      </c>
      <c r="D22" s="387"/>
      <c r="E22" s="388">
        <v>0.51</v>
      </c>
      <c r="F22" s="387"/>
      <c r="G22" s="388">
        <v>0.36</v>
      </c>
      <c r="H22" s="387"/>
      <c r="I22" s="388">
        <v>0.48</v>
      </c>
      <c r="J22" s="387"/>
      <c r="K22" s="388">
        <v>0.64</v>
      </c>
      <c r="L22" s="387"/>
      <c r="M22" s="388">
        <v>0.54</v>
      </c>
      <c r="N22" s="387"/>
      <c r="O22" s="388">
        <v>0.59</v>
      </c>
      <c r="P22" s="387"/>
      <c r="Q22" s="388">
        <v>0.6</v>
      </c>
      <c r="R22" s="387"/>
      <c r="S22" s="388"/>
      <c r="T22" s="387"/>
      <c r="U22" s="1271"/>
      <c r="V22" s="226"/>
      <c r="W22" s="853"/>
      <c r="X22" s="1255">
        <f>AVERAGE(O22,M22,S22,K22,Q22)</f>
        <v>0.59250000000000003</v>
      </c>
    </row>
    <row r="23" spans="1:24" ht="15" customHeight="1" x14ac:dyDescent="0.2">
      <c r="A23" s="305" t="s">
        <v>73</v>
      </c>
      <c r="B23" s="389"/>
      <c r="C23" s="390">
        <v>0.5</v>
      </c>
      <c r="D23" s="389"/>
      <c r="E23" s="390">
        <v>0.28999999999999998</v>
      </c>
      <c r="F23" s="389"/>
      <c r="G23" s="390">
        <v>0.48</v>
      </c>
      <c r="H23" s="389"/>
      <c r="I23" s="390">
        <v>0.44</v>
      </c>
      <c r="J23" s="389"/>
      <c r="K23" s="390">
        <v>0.28000000000000003</v>
      </c>
      <c r="L23" s="389"/>
      <c r="M23" s="390">
        <v>0.25</v>
      </c>
      <c r="N23" s="389"/>
      <c r="O23" s="390">
        <v>0.28000000000000003</v>
      </c>
      <c r="P23" s="389"/>
      <c r="Q23" s="390">
        <v>0.23</v>
      </c>
      <c r="R23" s="389"/>
      <c r="S23" s="390"/>
      <c r="T23" s="389"/>
      <c r="U23" s="1276"/>
      <c r="V23" s="226"/>
      <c r="W23" s="853"/>
      <c r="X23" s="1255">
        <f>AVERAGE(O23,M23,S23,K23,Q23)</f>
        <v>0.26</v>
      </c>
    </row>
    <row r="24" spans="1:24" ht="15" customHeight="1" thickBot="1" x14ac:dyDescent="0.25">
      <c r="A24" s="307" t="s">
        <v>75</v>
      </c>
      <c r="B24" s="308"/>
      <c r="C24" s="309"/>
      <c r="D24" s="308"/>
      <c r="E24" s="309"/>
      <c r="F24" s="308"/>
      <c r="G24" s="309"/>
      <c r="H24" s="308"/>
      <c r="I24" s="309"/>
      <c r="J24" s="308"/>
      <c r="K24" s="309"/>
      <c r="L24" s="308"/>
      <c r="M24" s="309"/>
      <c r="N24" s="308"/>
      <c r="O24" s="309"/>
      <c r="P24" s="308"/>
      <c r="Q24" s="309"/>
      <c r="R24" s="308"/>
      <c r="S24" s="309"/>
      <c r="T24" s="308"/>
      <c r="U24" s="310"/>
      <c r="V24" s="226"/>
      <c r="W24" s="854"/>
      <c r="X24" s="543" t="e">
        <f>AVERAGE(O24,M24,S24,U24,Q24)</f>
        <v>#DIV/0!</v>
      </c>
    </row>
    <row r="25" spans="1:24" ht="18" customHeight="1" thickTop="1" thickBot="1" x14ac:dyDescent="0.25">
      <c r="A25" s="221" t="s">
        <v>78</v>
      </c>
      <c r="B25" s="1380"/>
      <c r="C25" s="1381"/>
      <c r="D25" s="1380"/>
      <c r="E25" s="1381"/>
      <c r="F25" s="1380"/>
      <c r="G25" s="1381"/>
      <c r="H25" s="1380"/>
      <c r="I25" s="1381"/>
      <c r="J25" s="1380"/>
      <c r="K25" s="1381"/>
      <c r="L25" s="1380"/>
      <c r="M25" s="1381"/>
      <c r="N25" s="1380"/>
      <c r="O25" s="1381"/>
      <c r="P25" s="1380"/>
      <c r="Q25" s="1381"/>
      <c r="R25" s="1380"/>
      <c r="S25" s="1381"/>
      <c r="T25" s="1380"/>
      <c r="U25" s="1383"/>
      <c r="V25" s="226"/>
      <c r="W25" s="1382"/>
      <c r="X25" s="1383"/>
    </row>
    <row r="26" spans="1:24" ht="15" customHeight="1" thickBot="1" x14ac:dyDescent="0.25">
      <c r="A26" s="222" t="s">
        <v>209</v>
      </c>
      <c r="B26" s="223"/>
      <c r="C26" s="224">
        <v>26.1</v>
      </c>
      <c r="D26" s="223"/>
      <c r="E26" s="224">
        <v>26.2</v>
      </c>
      <c r="F26" s="223"/>
      <c r="G26" s="224">
        <v>26.4</v>
      </c>
      <c r="H26" s="223"/>
      <c r="I26" s="224">
        <v>25.8</v>
      </c>
      <c r="J26" s="223"/>
      <c r="K26" s="224">
        <v>26.4</v>
      </c>
      <c r="L26" s="223"/>
      <c r="M26" s="224">
        <v>26.6</v>
      </c>
      <c r="N26" s="223"/>
      <c r="O26" s="224">
        <v>26.3</v>
      </c>
      <c r="P26" s="223"/>
      <c r="Q26" s="224">
        <v>25.6</v>
      </c>
      <c r="R26" s="223"/>
      <c r="S26" s="224">
        <v>26.2</v>
      </c>
      <c r="T26" s="223"/>
      <c r="U26" s="225"/>
      <c r="V26" s="226"/>
      <c r="W26" s="247"/>
      <c r="X26" s="757">
        <f>AVERAGE(O26,M26,S26,U26,Q26)</f>
        <v>26.175000000000004</v>
      </c>
    </row>
    <row r="27" spans="1:24" ht="18" customHeight="1" thickTop="1" thickBot="1" x14ac:dyDescent="0.25">
      <c r="A27" s="314" t="s">
        <v>22</v>
      </c>
      <c r="B27" s="1380"/>
      <c r="C27" s="1381"/>
      <c r="D27" s="1380"/>
      <c r="E27" s="1381"/>
      <c r="F27" s="1380"/>
      <c r="G27" s="1381"/>
      <c r="H27" s="1380"/>
      <c r="I27" s="1381"/>
      <c r="J27" s="1380"/>
      <c r="K27" s="1381"/>
      <c r="L27" s="1380"/>
      <c r="M27" s="1381"/>
      <c r="N27" s="1380"/>
      <c r="O27" s="1381"/>
      <c r="P27" s="1380"/>
      <c r="Q27" s="1381"/>
      <c r="R27" s="1380"/>
      <c r="S27" s="1381"/>
      <c r="T27" s="1380"/>
      <c r="U27" s="1383"/>
      <c r="V27" s="226"/>
      <c r="W27" s="1382"/>
      <c r="X27" s="1383"/>
    </row>
    <row r="28" spans="1:24" ht="15" customHeight="1" x14ac:dyDescent="0.2">
      <c r="A28" s="305" t="s">
        <v>24</v>
      </c>
      <c r="B28" s="315"/>
      <c r="C28" s="209">
        <v>12792</v>
      </c>
      <c r="D28" s="316"/>
      <c r="E28" s="321">
        <v>12258</v>
      </c>
      <c r="F28" s="315"/>
      <c r="G28" s="321">
        <v>12387</v>
      </c>
      <c r="H28" s="315"/>
      <c r="I28" s="321">
        <v>12810</v>
      </c>
      <c r="J28" s="315"/>
      <c r="K28" s="321">
        <v>13071</v>
      </c>
      <c r="L28" s="315"/>
      <c r="M28" s="321">
        <v>13725</v>
      </c>
      <c r="N28" s="315"/>
      <c r="O28" s="321">
        <v>14328</v>
      </c>
      <c r="P28" s="315"/>
      <c r="Q28" s="321">
        <v>14196</v>
      </c>
      <c r="R28" s="315"/>
      <c r="S28" s="321">
        <v>13179</v>
      </c>
      <c r="T28" s="315"/>
      <c r="U28" s="1273"/>
      <c r="V28" s="226"/>
      <c r="W28" s="50"/>
      <c r="X28" s="51">
        <f>AVERAGE(O28,M28,S28,K28,Q28)</f>
        <v>13699.8</v>
      </c>
    </row>
    <row r="29" spans="1:24" ht="15" customHeight="1" x14ac:dyDescent="0.2">
      <c r="A29" s="305" t="s">
        <v>25</v>
      </c>
      <c r="B29" s="315"/>
      <c r="C29" s="209">
        <v>6984</v>
      </c>
      <c r="D29" s="316"/>
      <c r="E29" s="321">
        <v>6481</v>
      </c>
      <c r="F29" s="315"/>
      <c r="G29" s="321">
        <v>5871</v>
      </c>
      <c r="H29" s="315"/>
      <c r="I29" s="321">
        <v>6369</v>
      </c>
      <c r="J29" s="315"/>
      <c r="K29" s="321">
        <v>6171</v>
      </c>
      <c r="L29" s="315"/>
      <c r="M29" s="321">
        <v>7037</v>
      </c>
      <c r="N29" s="315"/>
      <c r="O29" s="321">
        <v>7379</v>
      </c>
      <c r="P29" s="315"/>
      <c r="Q29" s="321">
        <v>7422</v>
      </c>
      <c r="R29" s="315"/>
      <c r="S29" s="321">
        <v>7371</v>
      </c>
      <c r="T29" s="315"/>
      <c r="U29" s="1273"/>
      <c r="V29" s="226"/>
      <c r="W29" s="52"/>
      <c r="X29" s="51">
        <f t="shared" ref="X29:X32" si="4">AVERAGE(O29,M29,S29,K29,Q29)</f>
        <v>7076</v>
      </c>
    </row>
    <row r="30" spans="1:24" ht="15" customHeight="1" x14ac:dyDescent="0.2">
      <c r="A30" s="305" t="s">
        <v>26</v>
      </c>
      <c r="B30" s="315"/>
      <c r="C30" s="209">
        <v>583</v>
      </c>
      <c r="D30" s="316"/>
      <c r="E30" s="321">
        <v>528</v>
      </c>
      <c r="F30" s="315"/>
      <c r="G30" s="321">
        <v>597</v>
      </c>
      <c r="H30" s="315"/>
      <c r="I30" s="321">
        <v>430</v>
      </c>
      <c r="J30" s="315"/>
      <c r="K30" s="321">
        <v>406</v>
      </c>
      <c r="L30" s="315"/>
      <c r="M30" s="321">
        <v>373</v>
      </c>
      <c r="N30" s="315"/>
      <c r="O30" s="321">
        <v>340</v>
      </c>
      <c r="P30" s="315"/>
      <c r="Q30" s="321">
        <v>334</v>
      </c>
      <c r="R30" s="315"/>
      <c r="S30" s="321">
        <v>389</v>
      </c>
      <c r="T30" s="315"/>
      <c r="U30" s="1273"/>
      <c r="V30" s="226"/>
      <c r="W30" s="52"/>
      <c r="X30" s="51">
        <f t="shared" si="4"/>
        <v>368.4</v>
      </c>
    </row>
    <row r="31" spans="1:24" ht="15" customHeight="1" thickBot="1" x14ac:dyDescent="0.25">
      <c r="A31" s="305" t="s">
        <v>27</v>
      </c>
      <c r="B31" s="315"/>
      <c r="C31" s="324">
        <v>323</v>
      </c>
      <c r="D31" s="316"/>
      <c r="E31" s="325">
        <v>468</v>
      </c>
      <c r="F31" s="315"/>
      <c r="G31" s="325">
        <v>359</v>
      </c>
      <c r="H31" s="315"/>
      <c r="I31" s="325">
        <v>497</v>
      </c>
      <c r="J31" s="315"/>
      <c r="K31" s="325">
        <v>572</v>
      </c>
      <c r="L31" s="315"/>
      <c r="M31" s="325">
        <v>520</v>
      </c>
      <c r="N31" s="315"/>
      <c r="O31" s="325">
        <v>480</v>
      </c>
      <c r="P31" s="315"/>
      <c r="Q31" s="325">
        <v>397</v>
      </c>
      <c r="R31" s="315"/>
      <c r="S31" s="325">
        <v>445</v>
      </c>
      <c r="T31" s="83"/>
      <c r="U31" s="1274"/>
      <c r="V31" s="226"/>
      <c r="W31" s="63"/>
      <c r="X31" s="484">
        <f t="shared" si="4"/>
        <v>482.8</v>
      </c>
    </row>
    <row r="32" spans="1:24" ht="15" customHeight="1" thickBot="1" x14ac:dyDescent="0.25">
      <c r="A32" s="327" t="s">
        <v>28</v>
      </c>
      <c r="B32" s="328"/>
      <c r="C32" s="329">
        <f>SUM(C28:C31)</f>
        <v>20682</v>
      </c>
      <c r="D32" s="330"/>
      <c r="E32" s="331">
        <f>SUM(E28:E31)</f>
        <v>19735</v>
      </c>
      <c r="F32" s="328"/>
      <c r="G32" s="331">
        <f>SUM(G28:G31)</f>
        <v>19214</v>
      </c>
      <c r="H32" s="328"/>
      <c r="I32" s="331">
        <f>SUM(I28:I31)</f>
        <v>20106</v>
      </c>
      <c r="J32" s="328"/>
      <c r="K32" s="331">
        <f>SUM(K28:K31)</f>
        <v>20220</v>
      </c>
      <c r="L32" s="328"/>
      <c r="M32" s="331">
        <f>SUM(M28:M31)</f>
        <v>21655</v>
      </c>
      <c r="N32" s="328"/>
      <c r="O32" s="331">
        <f>SUM(O28:O31)</f>
        <v>22527</v>
      </c>
      <c r="P32" s="328"/>
      <c r="Q32" s="331">
        <f>SUM(Q28:Q31)</f>
        <v>22349</v>
      </c>
      <c r="R32" s="328"/>
      <c r="S32" s="331">
        <f>SUM(S28:S31)</f>
        <v>21384</v>
      </c>
      <c r="T32" s="328"/>
      <c r="U32" s="1277">
        <f>SUM(U28:U31)</f>
        <v>0</v>
      </c>
      <c r="V32" s="226"/>
      <c r="W32" s="485"/>
      <c r="X32" s="486">
        <f t="shared" si="4"/>
        <v>21627</v>
      </c>
    </row>
    <row r="33" spans="1:27" ht="15" customHeight="1" thickTop="1" thickBot="1" x14ac:dyDescent="0.25">
      <c r="A33" s="280"/>
      <c r="B33" s="332"/>
      <c r="C33" s="333"/>
      <c r="D33" s="332"/>
      <c r="E33" s="333"/>
      <c r="F33" s="332"/>
      <c r="G33" s="333"/>
      <c r="H33" s="332"/>
      <c r="I33" s="333"/>
      <c r="J33" s="332"/>
      <c r="K33" s="333"/>
      <c r="L33" s="332"/>
      <c r="M33" s="333"/>
      <c r="N33" s="332"/>
      <c r="O33" s="333"/>
      <c r="P33" s="332"/>
      <c r="Q33" s="333"/>
      <c r="R33" s="332"/>
      <c r="S33" s="333"/>
      <c r="T33" s="332"/>
      <c r="U33" s="333"/>
      <c r="V33" s="334"/>
      <c r="W33" s="335"/>
      <c r="X33" s="333"/>
    </row>
    <row r="34" spans="1:27" ht="18" customHeight="1" thickTop="1" thickBot="1" x14ac:dyDescent="0.25">
      <c r="A34" s="175" t="s">
        <v>29</v>
      </c>
      <c r="B34" s="1385" t="s">
        <v>30</v>
      </c>
      <c r="C34" s="1395"/>
      <c r="D34" s="1385" t="s">
        <v>31</v>
      </c>
      <c r="E34" s="1396"/>
      <c r="F34" s="1385" t="s">
        <v>32</v>
      </c>
      <c r="G34" s="1396"/>
      <c r="H34" s="1385" t="s">
        <v>33</v>
      </c>
      <c r="I34" s="1396"/>
      <c r="J34" s="1385" t="s">
        <v>34</v>
      </c>
      <c r="K34" s="1396"/>
      <c r="L34" s="1385" t="s">
        <v>35</v>
      </c>
      <c r="M34" s="1396"/>
      <c r="N34" s="1385" t="s">
        <v>36</v>
      </c>
      <c r="O34" s="1396"/>
      <c r="P34" s="1385" t="s">
        <v>37</v>
      </c>
      <c r="Q34" s="1396"/>
      <c r="R34" s="1385" t="s">
        <v>38</v>
      </c>
      <c r="S34" s="1396"/>
      <c r="T34" s="1385" t="s">
        <v>302</v>
      </c>
      <c r="U34" s="1386"/>
      <c r="V34" s="176"/>
      <c r="W34" s="1382" t="s">
        <v>9</v>
      </c>
      <c r="X34" s="1383"/>
      <c r="Y34" s="56"/>
      <c r="Z34" s="56"/>
      <c r="AA34" s="57"/>
    </row>
    <row r="35" spans="1:27" ht="15" customHeight="1" x14ac:dyDescent="0.2">
      <c r="A35" s="1068" t="s">
        <v>244</v>
      </c>
      <c r="B35" s="177"/>
      <c r="C35" s="178">
        <v>5.5E-2</v>
      </c>
      <c r="D35" s="179"/>
      <c r="E35" s="180">
        <v>5.2999999999999999E-2</v>
      </c>
      <c r="F35" s="181"/>
      <c r="G35" s="180">
        <v>5.3999999999999999E-2</v>
      </c>
      <c r="H35" s="181"/>
      <c r="I35" s="180">
        <v>0.05</v>
      </c>
      <c r="J35" s="181"/>
      <c r="K35" s="180">
        <v>5.6000000000000001E-2</v>
      </c>
      <c r="L35" s="181"/>
      <c r="M35" s="180">
        <v>5.3999999999999999E-2</v>
      </c>
      <c r="N35" s="181"/>
      <c r="O35" s="180">
        <v>5.2999999999999999E-2</v>
      </c>
      <c r="P35" s="181"/>
      <c r="Q35" s="180">
        <v>0.05</v>
      </c>
      <c r="R35" s="181"/>
      <c r="S35" s="180">
        <v>0.06</v>
      </c>
      <c r="T35" s="181"/>
      <c r="U35" s="182">
        <v>6.2E-2</v>
      </c>
      <c r="V35" s="183"/>
      <c r="W35" s="469"/>
      <c r="X35" s="594">
        <f>AVERAGE(Q35,O35,M35,U35,S35)</f>
        <v>5.5800000000000002E-2</v>
      </c>
      <c r="Y35" s="56"/>
      <c r="Z35" s="56"/>
      <c r="AA35" s="57"/>
    </row>
    <row r="36" spans="1:27" ht="15" customHeight="1" x14ac:dyDescent="0.2">
      <c r="A36" s="1069" t="s">
        <v>245</v>
      </c>
      <c r="B36" s="184"/>
      <c r="C36" s="185">
        <v>3.1E-2</v>
      </c>
      <c r="D36" s="184"/>
      <c r="E36" s="185">
        <v>5.0999999999999997E-2</v>
      </c>
      <c r="F36" s="186"/>
      <c r="G36" s="185">
        <v>4.2999999999999997E-2</v>
      </c>
      <c r="H36" s="186"/>
      <c r="I36" s="185">
        <v>0.04</v>
      </c>
      <c r="J36" s="186"/>
      <c r="K36" s="185">
        <v>0.04</v>
      </c>
      <c r="L36" s="186"/>
      <c r="M36" s="185">
        <v>3.9E-2</v>
      </c>
      <c r="N36" s="186"/>
      <c r="O36" s="185">
        <v>0.03</v>
      </c>
      <c r="P36" s="186"/>
      <c r="Q36" s="185">
        <v>2.7E-2</v>
      </c>
      <c r="R36" s="186"/>
      <c r="S36" s="185">
        <v>3.3000000000000002E-2</v>
      </c>
      <c r="T36" s="186"/>
      <c r="U36" s="187">
        <v>3.6999999999999998E-2</v>
      </c>
      <c r="V36" s="183"/>
      <c r="W36" s="469"/>
      <c r="X36" s="594">
        <f>AVERAGE(Q36,O36,M36,U36,S36)</f>
        <v>3.32E-2</v>
      </c>
      <c r="Y36" s="56"/>
      <c r="Z36" s="56"/>
      <c r="AA36" s="57"/>
    </row>
    <row r="37" spans="1:27" ht="15" customHeight="1" thickBot="1" x14ac:dyDescent="0.25">
      <c r="A37" s="189" t="s">
        <v>243</v>
      </c>
      <c r="B37" s="1403">
        <f>1-C35-C36</f>
        <v>0.91399999999999992</v>
      </c>
      <c r="C37" s="1404"/>
      <c r="D37" s="1403">
        <f>1-E35-E36</f>
        <v>0.89599999999999991</v>
      </c>
      <c r="E37" s="1404"/>
      <c r="F37" s="1403">
        <f>1-G35-G36</f>
        <v>0.90299999999999991</v>
      </c>
      <c r="G37" s="1404"/>
      <c r="H37" s="1403">
        <f>1-I35-I36</f>
        <v>0.90999999999999992</v>
      </c>
      <c r="I37" s="1404"/>
      <c r="J37" s="1403">
        <f>1-K35-K36</f>
        <v>0.90399999999999991</v>
      </c>
      <c r="K37" s="1404"/>
      <c r="L37" s="1403">
        <f>1-M35-M36</f>
        <v>0.90699999999999992</v>
      </c>
      <c r="M37" s="1404"/>
      <c r="N37" s="1403">
        <f>1-O35-O36</f>
        <v>0.91699999999999993</v>
      </c>
      <c r="O37" s="1404"/>
      <c r="P37" s="1403">
        <f>1-Q35-Q36</f>
        <v>0.92299999999999993</v>
      </c>
      <c r="Q37" s="1404"/>
      <c r="R37" s="1403">
        <f>1-S35-S36</f>
        <v>0.90699999999999992</v>
      </c>
      <c r="S37" s="1404"/>
      <c r="T37" s="1403">
        <f>1-U35-U36</f>
        <v>0.90099999999999991</v>
      </c>
      <c r="U37" s="1406"/>
      <c r="V37" s="183"/>
      <c r="W37" s="1390">
        <f>1-X35-X36</f>
        <v>0.91100000000000003</v>
      </c>
      <c r="X37" s="1391"/>
      <c r="Y37" s="58"/>
      <c r="Z37" s="56"/>
      <c r="AA37" s="57"/>
    </row>
    <row r="38" spans="1:27" s="3" customFormat="1" ht="18" customHeight="1" thickTop="1" thickBot="1" x14ac:dyDescent="0.25">
      <c r="A38" s="194" t="s">
        <v>67</v>
      </c>
      <c r="B38" s="227" t="s">
        <v>39</v>
      </c>
      <c r="C38" s="228" t="s">
        <v>74</v>
      </c>
      <c r="D38" s="227" t="s">
        <v>39</v>
      </c>
      <c r="E38" s="228" t="s">
        <v>74</v>
      </c>
      <c r="F38" s="227" t="s">
        <v>39</v>
      </c>
      <c r="G38" s="228" t="s">
        <v>74</v>
      </c>
      <c r="H38" s="227" t="s">
        <v>39</v>
      </c>
      <c r="I38" s="228" t="s">
        <v>74</v>
      </c>
      <c r="J38" s="227" t="s">
        <v>39</v>
      </c>
      <c r="K38" s="228" t="s">
        <v>74</v>
      </c>
      <c r="L38" s="227" t="s">
        <v>39</v>
      </c>
      <c r="M38" s="228" t="s">
        <v>74</v>
      </c>
      <c r="N38" s="227" t="s">
        <v>39</v>
      </c>
      <c r="O38" s="228" t="s">
        <v>74</v>
      </c>
      <c r="P38" s="227" t="s">
        <v>39</v>
      </c>
      <c r="Q38" s="228" t="s">
        <v>74</v>
      </c>
      <c r="R38" s="227" t="s">
        <v>39</v>
      </c>
      <c r="S38" s="228" t="s">
        <v>74</v>
      </c>
      <c r="T38" s="227" t="s">
        <v>39</v>
      </c>
      <c r="U38" s="229" t="s">
        <v>74</v>
      </c>
      <c r="V38" s="230"/>
      <c r="W38" s="1071" t="s">
        <v>39</v>
      </c>
      <c r="X38" s="229" t="s">
        <v>74</v>
      </c>
    </row>
    <row r="39" spans="1:27" ht="15" customHeight="1" x14ac:dyDescent="0.2">
      <c r="A39" s="233" t="s">
        <v>68</v>
      </c>
      <c r="B39" s="234"/>
      <c r="C39" s="235">
        <f>B39/B17</f>
        <v>0</v>
      </c>
      <c r="D39" s="234"/>
      <c r="E39" s="235">
        <f>D39/D17</f>
        <v>0</v>
      </c>
      <c r="F39" s="234"/>
      <c r="G39" s="235">
        <f>F39/F17</f>
        <v>0</v>
      </c>
      <c r="H39" s="234">
        <v>7</v>
      </c>
      <c r="I39" s="235">
        <f>H39/H17</f>
        <v>0.41176470588235292</v>
      </c>
      <c r="J39" s="234">
        <v>6</v>
      </c>
      <c r="K39" s="235">
        <f>J39/J17</f>
        <v>0.375</v>
      </c>
      <c r="L39" s="234">
        <v>4</v>
      </c>
      <c r="M39" s="235">
        <f>L39/L17</f>
        <v>0.33333333333333331</v>
      </c>
      <c r="N39" s="234">
        <v>5</v>
      </c>
      <c r="O39" s="235">
        <f>N39/N17</f>
        <v>0.5</v>
      </c>
      <c r="P39" s="234">
        <v>3</v>
      </c>
      <c r="Q39" s="235">
        <f>P39/P17</f>
        <v>0.6</v>
      </c>
      <c r="R39" s="234">
        <v>2</v>
      </c>
      <c r="S39" s="235">
        <f>R39/R17</f>
        <v>0.33333333333333331</v>
      </c>
      <c r="T39" s="234"/>
      <c r="U39" s="236">
        <f>T39/T17</f>
        <v>0</v>
      </c>
      <c r="V39" s="226"/>
      <c r="W39" s="237">
        <f>AVERAGE(N39,L39,R39,T39,P39)</f>
        <v>3.5</v>
      </c>
      <c r="X39" s="480">
        <f>W39/W17</f>
        <v>0.51470588235294124</v>
      </c>
    </row>
    <row r="40" spans="1:27" ht="15" customHeight="1" thickBot="1" x14ac:dyDescent="0.25">
      <c r="A40" s="238" t="s">
        <v>69</v>
      </c>
      <c r="B40" s="239"/>
      <c r="C40" s="240">
        <f>B40/B19</f>
        <v>0</v>
      </c>
      <c r="D40" s="239"/>
      <c r="E40" s="240">
        <f>D40/D19</f>
        <v>0</v>
      </c>
      <c r="F40" s="239"/>
      <c r="G40" s="240">
        <f>F40/F18</f>
        <v>0</v>
      </c>
      <c r="H40" s="239">
        <v>22</v>
      </c>
      <c r="I40" s="240">
        <f>H40/H18</f>
        <v>0.70967741935483875</v>
      </c>
      <c r="J40" s="239">
        <v>23</v>
      </c>
      <c r="K40" s="240">
        <f>J40/J18</f>
        <v>0.76666666666666672</v>
      </c>
      <c r="L40" s="239">
        <v>22</v>
      </c>
      <c r="M40" s="240">
        <f>L40/L18</f>
        <v>0.7857142857142857</v>
      </c>
      <c r="N40" s="239">
        <v>22</v>
      </c>
      <c r="O40" s="240">
        <f>N40/N18</f>
        <v>0.84615384615384615</v>
      </c>
      <c r="P40" s="239">
        <v>23</v>
      </c>
      <c r="Q40" s="240">
        <f>P40/P18</f>
        <v>0.85185185185185186</v>
      </c>
      <c r="R40" s="239">
        <v>24</v>
      </c>
      <c r="S40" s="240">
        <f>R40/R18</f>
        <v>0.8</v>
      </c>
      <c r="T40" s="239"/>
      <c r="U40" s="241">
        <f>T40/T18</f>
        <v>0</v>
      </c>
      <c r="V40" s="226"/>
      <c r="W40" s="242">
        <f>AVERAGE(N40,L40,R40,T40,P40)</f>
        <v>22.75</v>
      </c>
      <c r="X40" s="241">
        <f>W40/W18</f>
        <v>0.8125</v>
      </c>
    </row>
    <row r="41" spans="1:27" s="85" customFormat="1" ht="15" customHeight="1" thickTop="1" x14ac:dyDescent="0.2">
      <c r="A41" s="37" t="s">
        <v>288</v>
      </c>
      <c r="B41" s="650"/>
      <c r="C41" s="650"/>
      <c r="D41" s="650"/>
      <c r="E41" s="650"/>
      <c r="F41" s="650"/>
      <c r="G41" s="650"/>
      <c r="H41" s="650"/>
      <c r="I41" s="650"/>
      <c r="J41" s="650"/>
      <c r="K41" s="650"/>
      <c r="L41" s="650"/>
      <c r="M41" s="650"/>
      <c r="N41" s="650"/>
      <c r="O41" s="650"/>
      <c r="P41" s="650"/>
      <c r="Q41" s="650"/>
      <c r="R41" s="650"/>
      <c r="S41" s="650"/>
      <c r="T41" s="650"/>
      <c r="U41" s="650"/>
      <c r="V41" s="651"/>
      <c r="W41" s="650"/>
      <c r="X41" s="650"/>
      <c r="Y41" s="56"/>
      <c r="Z41" s="56"/>
      <c r="AA41" s="57"/>
    </row>
    <row r="42" spans="1:27" s="85" customFormat="1" ht="15" customHeight="1" thickBot="1" x14ac:dyDescent="0.25">
      <c r="A42" s="37"/>
      <c r="B42" s="650"/>
      <c r="C42" s="650"/>
      <c r="D42" s="650"/>
      <c r="E42" s="650"/>
      <c r="F42" s="650"/>
      <c r="G42" s="650"/>
      <c r="H42" s="650"/>
      <c r="I42" s="650"/>
      <c r="J42" s="650"/>
      <c r="K42" s="650"/>
      <c r="L42" s="650"/>
      <c r="M42" s="650"/>
      <c r="N42" s="650"/>
      <c r="O42" s="650"/>
      <c r="P42" s="650"/>
      <c r="Q42" s="650"/>
      <c r="R42" s="650"/>
      <c r="S42" s="650"/>
      <c r="T42" s="650"/>
      <c r="U42" s="650"/>
      <c r="V42" s="651"/>
      <c r="W42" s="650"/>
      <c r="X42" s="650"/>
      <c r="Y42" s="56"/>
      <c r="Z42" s="56"/>
      <c r="AA42" s="57"/>
    </row>
    <row r="43" spans="1:27" s="1" customFormat="1" ht="18.75" customHeight="1" thickTop="1" thickBot="1" x14ac:dyDescent="0.25">
      <c r="A43" s="175" t="s">
        <v>247</v>
      </c>
      <c r="B43" s="1385" t="s">
        <v>30</v>
      </c>
      <c r="C43" s="1395"/>
      <c r="D43" s="1385" t="s">
        <v>31</v>
      </c>
      <c r="E43" s="1396"/>
      <c r="F43" s="1385" t="s">
        <v>32</v>
      </c>
      <c r="G43" s="1396"/>
      <c r="H43" s="1385" t="s">
        <v>33</v>
      </c>
      <c r="I43" s="1396"/>
      <c r="J43" s="1385" t="s">
        <v>34</v>
      </c>
      <c r="K43" s="1396"/>
      <c r="L43" s="1385" t="s">
        <v>35</v>
      </c>
      <c r="M43" s="1396"/>
      <c r="N43" s="1385" t="s">
        <v>36</v>
      </c>
      <c r="O43" s="1396"/>
      <c r="P43" s="1385" t="s">
        <v>37</v>
      </c>
      <c r="Q43" s="1396"/>
      <c r="R43" s="1385" t="s">
        <v>38</v>
      </c>
      <c r="S43" s="1396"/>
      <c r="T43" s="1385" t="s">
        <v>302</v>
      </c>
      <c r="U43" s="1386"/>
      <c r="V43" s="195"/>
      <c r="W43" s="1382" t="s">
        <v>9</v>
      </c>
      <c r="X43" s="1383"/>
    </row>
    <row r="44" spans="1:27" s="1" customFormat="1" ht="24" x14ac:dyDescent="0.2">
      <c r="A44" s="715" t="s">
        <v>289</v>
      </c>
      <c r="B44" s="711"/>
      <c r="C44" s="529"/>
      <c r="D44" s="711"/>
      <c r="E44" s="712"/>
      <c r="F44" s="711"/>
      <c r="G44" s="712"/>
      <c r="H44" s="711"/>
      <c r="I44" s="712"/>
      <c r="J44" s="711"/>
      <c r="K44" s="712"/>
      <c r="L44" s="711"/>
      <c r="M44" s="712"/>
      <c r="N44" s="711"/>
      <c r="O44" s="712"/>
      <c r="P44" s="711"/>
      <c r="Q44" s="712"/>
      <c r="R44" s="711"/>
      <c r="S44" s="712"/>
      <c r="T44" s="713"/>
      <c r="U44" s="714"/>
      <c r="V44" s="195"/>
      <c r="W44" s="272"/>
      <c r="X44" s="271"/>
    </row>
    <row r="45" spans="1:27" s="1" customFormat="1" ht="24" x14ac:dyDescent="0.2">
      <c r="A45" s="721" t="s">
        <v>237</v>
      </c>
      <c r="B45" s="186"/>
      <c r="C45" s="653">
        <v>15</v>
      </c>
      <c r="D45" s="186"/>
      <c r="E45" s="653">
        <v>16</v>
      </c>
      <c r="F45" s="186"/>
      <c r="G45" s="653">
        <v>15</v>
      </c>
      <c r="H45" s="186"/>
      <c r="I45" s="653">
        <v>13</v>
      </c>
      <c r="J45" s="186"/>
      <c r="K45" s="653">
        <v>15</v>
      </c>
      <c r="L45" s="186"/>
      <c r="M45" s="653">
        <v>12</v>
      </c>
      <c r="N45" s="186"/>
      <c r="O45" s="653">
        <v>13</v>
      </c>
      <c r="P45" s="186"/>
      <c r="Q45" s="653">
        <v>13</v>
      </c>
      <c r="R45" s="186"/>
      <c r="S45" s="653">
        <v>15</v>
      </c>
      <c r="T45" s="654"/>
      <c r="U45" s="340"/>
      <c r="V45" s="195"/>
      <c r="W45" s="347"/>
      <c r="X45" s="340">
        <f>AVERAGE(O45,M45,S45,U45,Q45)</f>
        <v>13.25</v>
      </c>
    </row>
    <row r="46" spans="1:27" s="1" customFormat="1" ht="24" x14ac:dyDescent="0.2">
      <c r="A46" s="721" t="s">
        <v>239</v>
      </c>
      <c r="B46" s="654"/>
      <c r="C46" s="716">
        <v>15</v>
      </c>
      <c r="D46" s="654"/>
      <c r="E46" s="716">
        <v>16</v>
      </c>
      <c r="F46" s="654"/>
      <c r="G46" s="716">
        <v>15</v>
      </c>
      <c r="H46" s="654"/>
      <c r="I46" s="716">
        <v>13</v>
      </c>
      <c r="J46" s="654"/>
      <c r="K46" s="716">
        <v>15</v>
      </c>
      <c r="L46" s="654"/>
      <c r="M46" s="716">
        <v>12</v>
      </c>
      <c r="N46" s="654"/>
      <c r="O46" s="716">
        <v>13</v>
      </c>
      <c r="P46" s="654"/>
      <c r="Q46" s="716">
        <v>13</v>
      </c>
      <c r="R46" s="654"/>
      <c r="S46" s="716">
        <v>15</v>
      </c>
      <c r="T46" s="654"/>
      <c r="U46" s="340"/>
      <c r="V46" s="195"/>
      <c r="W46" s="1252"/>
      <c r="X46" s="394">
        <f t="shared" ref="X46:X47" si="5">AVERAGE(O46,M46,S46,U46,Q46)</f>
        <v>13.25</v>
      </c>
    </row>
    <row r="47" spans="1:27" s="1" customFormat="1" ht="15" customHeight="1" thickBot="1" x14ac:dyDescent="0.25">
      <c r="A47" s="942" t="s">
        <v>238</v>
      </c>
      <c r="B47" s="943"/>
      <c r="C47" s="944">
        <v>15</v>
      </c>
      <c r="D47" s="943"/>
      <c r="E47" s="944">
        <v>16</v>
      </c>
      <c r="F47" s="943"/>
      <c r="G47" s="944">
        <v>15</v>
      </c>
      <c r="H47" s="943"/>
      <c r="I47" s="944">
        <v>13</v>
      </c>
      <c r="J47" s="943"/>
      <c r="K47" s="944">
        <v>15</v>
      </c>
      <c r="L47" s="943"/>
      <c r="M47" s="944">
        <v>12</v>
      </c>
      <c r="N47" s="943"/>
      <c r="O47" s="944">
        <v>13</v>
      </c>
      <c r="P47" s="943"/>
      <c r="Q47" s="944">
        <v>13</v>
      </c>
      <c r="R47" s="943"/>
      <c r="S47" s="944">
        <v>15</v>
      </c>
      <c r="T47" s="956"/>
      <c r="U47" s="957"/>
      <c r="V47" s="195"/>
      <c r="W47" s="950"/>
      <c r="X47" s="1253">
        <f t="shared" si="5"/>
        <v>13.25</v>
      </c>
    </row>
    <row r="48" spans="1:27" s="1" customFormat="1" ht="18" customHeight="1" thickBot="1" x14ac:dyDescent="0.25">
      <c r="A48" s="872" t="s">
        <v>264</v>
      </c>
      <c r="B48" s="709" t="s">
        <v>40</v>
      </c>
      <c r="C48" s="708" t="s">
        <v>41</v>
      </c>
      <c r="D48" s="709" t="s">
        <v>40</v>
      </c>
      <c r="E48" s="708" t="s">
        <v>41</v>
      </c>
      <c r="F48" s="709" t="s">
        <v>40</v>
      </c>
      <c r="G48" s="708" t="s">
        <v>41</v>
      </c>
      <c r="H48" s="709" t="s">
        <v>40</v>
      </c>
      <c r="I48" s="708" t="s">
        <v>41</v>
      </c>
      <c r="J48" s="709" t="s">
        <v>40</v>
      </c>
      <c r="K48" s="708" t="s">
        <v>41</v>
      </c>
      <c r="L48" s="709" t="s">
        <v>40</v>
      </c>
      <c r="M48" s="708" t="s">
        <v>41</v>
      </c>
      <c r="N48" s="709" t="s">
        <v>40</v>
      </c>
      <c r="O48" s="708" t="s">
        <v>41</v>
      </c>
      <c r="P48" s="709" t="s">
        <v>40</v>
      </c>
      <c r="Q48" s="708" t="s">
        <v>41</v>
      </c>
      <c r="R48" s="709" t="s">
        <v>40</v>
      </c>
      <c r="S48" s="708" t="s">
        <v>41</v>
      </c>
      <c r="T48" s="709" t="s">
        <v>40</v>
      </c>
      <c r="U48" s="710" t="s">
        <v>41</v>
      </c>
      <c r="V48" s="955"/>
      <c r="W48" s="1254" t="s">
        <v>40</v>
      </c>
      <c r="X48" s="804" t="s">
        <v>41</v>
      </c>
    </row>
    <row r="49" spans="1:24" s="1" customFormat="1" ht="15" customHeight="1" x14ac:dyDescent="0.2">
      <c r="A49" s="680" t="s">
        <v>42</v>
      </c>
      <c r="B49" s="808"/>
      <c r="C49" s="805"/>
      <c r="D49" s="806"/>
      <c r="E49" s="807"/>
      <c r="F49" s="808"/>
      <c r="G49" s="807"/>
      <c r="H49" s="808"/>
      <c r="I49" s="807"/>
      <c r="J49" s="808"/>
      <c r="K49" s="807"/>
      <c r="L49" s="808"/>
      <c r="M49" s="807"/>
      <c r="N49" s="808"/>
      <c r="O49" s="807"/>
      <c r="P49" s="808"/>
      <c r="Q49" s="807"/>
      <c r="R49" s="808"/>
      <c r="S49" s="807"/>
      <c r="T49" s="808"/>
      <c r="U49" s="1013"/>
      <c r="V49" s="195"/>
      <c r="W49" s="1029"/>
      <c r="X49" s="1030"/>
    </row>
    <row r="50" spans="1:24" s="1" customFormat="1" ht="15" customHeight="1" x14ac:dyDescent="0.2">
      <c r="A50" s="678" t="s">
        <v>43</v>
      </c>
      <c r="B50" s="258"/>
      <c r="C50" s="1053">
        <v>17</v>
      </c>
      <c r="D50" s="260"/>
      <c r="E50" s="1044">
        <v>18</v>
      </c>
      <c r="F50" s="258"/>
      <c r="G50" s="1044">
        <v>17</v>
      </c>
      <c r="H50" s="258"/>
      <c r="I50" s="1044">
        <v>17</v>
      </c>
      <c r="J50" s="1036">
        <v>17</v>
      </c>
      <c r="K50" s="1044">
        <v>17</v>
      </c>
      <c r="L50" s="1036">
        <v>17</v>
      </c>
      <c r="M50" s="1044">
        <v>17</v>
      </c>
      <c r="N50" s="1036">
        <v>17</v>
      </c>
      <c r="O50" s="1044">
        <v>17</v>
      </c>
      <c r="P50" s="1036">
        <v>17</v>
      </c>
      <c r="Q50" s="1044">
        <v>17</v>
      </c>
      <c r="R50" s="1036">
        <v>19</v>
      </c>
      <c r="S50" s="1044">
        <v>19</v>
      </c>
      <c r="T50" s="813"/>
      <c r="U50" s="932"/>
      <c r="V50" s="195"/>
      <c r="W50" s="936">
        <f>AVERAGE(T50,L50,N50,P50,R50)</f>
        <v>17.5</v>
      </c>
      <c r="X50" s="1031">
        <f t="shared" ref="X50:X55" si="6">AVERAGE(O50,M50,S50,U50,Q50)</f>
        <v>17.5</v>
      </c>
    </row>
    <row r="51" spans="1:24" s="1" customFormat="1" ht="15" customHeight="1" x14ac:dyDescent="0.2">
      <c r="A51" s="678" t="s">
        <v>44</v>
      </c>
      <c r="B51" s="258"/>
      <c r="C51" s="1053">
        <v>2</v>
      </c>
      <c r="D51" s="260"/>
      <c r="E51" s="1044">
        <v>2</v>
      </c>
      <c r="F51" s="258"/>
      <c r="G51" s="1044">
        <v>2</v>
      </c>
      <c r="H51" s="258"/>
      <c r="I51" s="1044">
        <v>3</v>
      </c>
      <c r="J51" s="13">
        <v>1.19</v>
      </c>
      <c r="K51" s="1044">
        <v>3</v>
      </c>
      <c r="L51" s="13">
        <v>1.9</v>
      </c>
      <c r="M51" s="1044">
        <v>3</v>
      </c>
      <c r="N51" s="13">
        <v>1.65</v>
      </c>
      <c r="O51" s="1044">
        <v>3</v>
      </c>
      <c r="P51" s="13">
        <v>1.3</v>
      </c>
      <c r="Q51" s="1044">
        <v>2</v>
      </c>
      <c r="R51" s="13">
        <v>0.4</v>
      </c>
      <c r="S51" s="1044">
        <v>1</v>
      </c>
      <c r="T51" s="345"/>
      <c r="U51" s="932"/>
      <c r="V51" s="195"/>
      <c r="W51" s="936">
        <f t="shared" ref="W51:W55" si="7">AVERAGE(T51,L51,N51,P51,R51)</f>
        <v>1.3125</v>
      </c>
      <c r="X51" s="1031">
        <f t="shared" si="6"/>
        <v>2.25</v>
      </c>
    </row>
    <row r="52" spans="1:24" s="1" customFormat="1" ht="15" customHeight="1" x14ac:dyDescent="0.2">
      <c r="A52" s="676" t="s">
        <v>45</v>
      </c>
      <c r="B52" s="13"/>
      <c r="C52" s="1054"/>
      <c r="D52" s="11"/>
      <c r="E52" s="1045"/>
      <c r="F52" s="13"/>
      <c r="G52" s="1045"/>
      <c r="H52" s="13"/>
      <c r="I52" s="1045"/>
      <c r="J52" s="13"/>
      <c r="K52" s="1045"/>
      <c r="L52" s="13"/>
      <c r="M52" s="1045"/>
      <c r="N52" s="13"/>
      <c r="O52" s="1045"/>
      <c r="P52" s="13"/>
      <c r="Q52" s="1045"/>
      <c r="R52" s="13"/>
      <c r="S52" s="1045"/>
      <c r="T52" s="345"/>
      <c r="U52" s="933"/>
      <c r="V52" s="195"/>
      <c r="W52" s="936"/>
      <c r="X52" s="1031"/>
    </row>
    <row r="53" spans="1:24" s="1" customFormat="1" ht="15" customHeight="1" x14ac:dyDescent="0.2">
      <c r="A53" s="678" t="s">
        <v>43</v>
      </c>
      <c r="B53" s="258"/>
      <c r="C53" s="1054">
        <v>0</v>
      </c>
      <c r="D53" s="260"/>
      <c r="E53" s="1045">
        <v>0</v>
      </c>
      <c r="F53" s="258"/>
      <c r="G53" s="1045">
        <v>0</v>
      </c>
      <c r="H53" s="258"/>
      <c r="I53" s="1045">
        <v>0</v>
      </c>
      <c r="J53" s="1036">
        <v>0</v>
      </c>
      <c r="K53" s="1045">
        <v>0</v>
      </c>
      <c r="L53" s="1036">
        <v>0</v>
      </c>
      <c r="M53" s="1045">
        <v>0</v>
      </c>
      <c r="N53" s="1036">
        <v>0</v>
      </c>
      <c r="O53" s="1045">
        <v>0</v>
      </c>
      <c r="P53" s="1036">
        <v>0</v>
      </c>
      <c r="Q53" s="1045">
        <v>0</v>
      </c>
      <c r="R53" s="1036">
        <v>0</v>
      </c>
      <c r="S53" s="1045">
        <v>0</v>
      </c>
      <c r="T53" s="813"/>
      <c r="U53" s="933"/>
      <c r="V53" s="195"/>
      <c r="W53" s="936">
        <f t="shared" si="7"/>
        <v>0</v>
      </c>
      <c r="X53" s="1031">
        <f t="shared" si="6"/>
        <v>0</v>
      </c>
    </row>
    <row r="54" spans="1:24" s="1" customFormat="1" ht="15" customHeight="1" thickBot="1" x14ac:dyDescent="0.25">
      <c r="A54" s="939" t="s">
        <v>44</v>
      </c>
      <c r="B54" s="1017"/>
      <c r="C54" s="1060">
        <v>0</v>
      </c>
      <c r="D54" s="1050"/>
      <c r="E54" s="1056">
        <v>0</v>
      </c>
      <c r="F54" s="1017"/>
      <c r="G54" s="1056">
        <v>0</v>
      </c>
      <c r="H54" s="1017"/>
      <c r="I54" s="1056">
        <v>1</v>
      </c>
      <c r="J54" s="1039">
        <v>0</v>
      </c>
      <c r="K54" s="1056">
        <v>0</v>
      </c>
      <c r="L54" s="1039">
        <v>0</v>
      </c>
      <c r="M54" s="1056">
        <v>0</v>
      </c>
      <c r="N54" s="1039">
        <v>0</v>
      </c>
      <c r="O54" s="1056">
        <v>0</v>
      </c>
      <c r="P54" s="1039">
        <v>0</v>
      </c>
      <c r="Q54" s="1056">
        <v>0</v>
      </c>
      <c r="R54" s="1039">
        <v>0</v>
      </c>
      <c r="S54" s="1056">
        <v>0</v>
      </c>
      <c r="T54" s="821"/>
      <c r="U54" s="934"/>
      <c r="V54" s="195"/>
      <c r="W54" s="1020">
        <f t="shared" si="7"/>
        <v>0</v>
      </c>
      <c r="X54" s="1032">
        <f t="shared" si="6"/>
        <v>0</v>
      </c>
    </row>
    <row r="55" spans="1:24" s="1" customFormat="1" ht="15" customHeight="1" thickBot="1" x14ac:dyDescent="0.25">
      <c r="A55" s="796" t="s">
        <v>28</v>
      </c>
      <c r="B55" s="1021"/>
      <c r="C55" s="824">
        <f>SUM(C50:C54)</f>
        <v>19</v>
      </c>
      <c r="D55" s="1022"/>
      <c r="E55" s="826">
        <f>SUM(E50:E54)</f>
        <v>20</v>
      </c>
      <c r="F55" s="1021"/>
      <c r="G55" s="826">
        <f>SUM(G50:G54)</f>
        <v>19</v>
      </c>
      <c r="H55" s="1021"/>
      <c r="I55" s="826">
        <f t="shared" ref="I55:S55" si="8">SUM(I50:I54)</f>
        <v>21</v>
      </c>
      <c r="J55" s="906">
        <f t="shared" si="8"/>
        <v>18.190000000000001</v>
      </c>
      <c r="K55" s="826">
        <f t="shared" si="8"/>
        <v>20</v>
      </c>
      <c r="L55" s="906">
        <f t="shared" si="8"/>
        <v>18.899999999999999</v>
      </c>
      <c r="M55" s="826">
        <f t="shared" si="8"/>
        <v>20</v>
      </c>
      <c r="N55" s="906">
        <f t="shared" si="8"/>
        <v>18.649999999999999</v>
      </c>
      <c r="O55" s="826">
        <f t="shared" si="8"/>
        <v>20</v>
      </c>
      <c r="P55" s="906">
        <f t="shared" si="8"/>
        <v>18.3</v>
      </c>
      <c r="Q55" s="826">
        <f t="shared" si="8"/>
        <v>19</v>
      </c>
      <c r="R55" s="906">
        <f t="shared" si="8"/>
        <v>19.399999999999999</v>
      </c>
      <c r="S55" s="826">
        <f t="shared" si="8"/>
        <v>20</v>
      </c>
      <c r="T55" s="906">
        <f t="shared" ref="T55:U55" si="9">SUM(T50:T54)</f>
        <v>0</v>
      </c>
      <c r="U55" s="1023">
        <f t="shared" si="9"/>
        <v>0</v>
      </c>
      <c r="V55" s="195"/>
      <c r="W55" s="1028">
        <f t="shared" si="7"/>
        <v>15.05</v>
      </c>
      <c r="X55" s="1033">
        <f t="shared" si="6"/>
        <v>15.8</v>
      </c>
    </row>
    <row r="56" spans="1:24" s="1" customFormat="1" ht="18" customHeight="1" thickBot="1" x14ac:dyDescent="0.25">
      <c r="A56" s="795" t="s">
        <v>253</v>
      </c>
      <c r="B56" s="801" t="s">
        <v>39</v>
      </c>
      <c r="C56" s="954" t="s">
        <v>46</v>
      </c>
      <c r="D56" s="801" t="s">
        <v>39</v>
      </c>
      <c r="E56" s="798" t="s">
        <v>46</v>
      </c>
      <c r="F56" s="799" t="s">
        <v>39</v>
      </c>
      <c r="G56" s="798" t="s">
        <v>46</v>
      </c>
      <c r="H56" s="799" t="s">
        <v>39</v>
      </c>
      <c r="I56" s="798" t="s">
        <v>46</v>
      </c>
      <c r="J56" s="799" t="s">
        <v>39</v>
      </c>
      <c r="K56" s="798" t="s">
        <v>46</v>
      </c>
      <c r="L56" s="799" t="s">
        <v>39</v>
      </c>
      <c r="M56" s="798" t="s">
        <v>46</v>
      </c>
      <c r="N56" s="799" t="s">
        <v>39</v>
      </c>
      <c r="O56" s="798" t="s">
        <v>46</v>
      </c>
      <c r="P56" s="799" t="s">
        <v>39</v>
      </c>
      <c r="Q56" s="798" t="s">
        <v>46</v>
      </c>
      <c r="R56" s="799" t="s">
        <v>39</v>
      </c>
      <c r="S56" s="798" t="s">
        <v>46</v>
      </c>
      <c r="T56" s="799" t="s">
        <v>39</v>
      </c>
      <c r="U56" s="804" t="s">
        <v>46</v>
      </c>
      <c r="V56" s="195"/>
      <c r="W56" s="832" t="s">
        <v>39</v>
      </c>
      <c r="X56" s="804" t="s">
        <v>46</v>
      </c>
    </row>
    <row r="57" spans="1:24" s="1" customFormat="1" ht="18" customHeight="1" x14ac:dyDescent="0.2">
      <c r="A57" s="680" t="s">
        <v>265</v>
      </c>
      <c r="B57" s="937"/>
      <c r="C57" s="196"/>
      <c r="D57" s="938"/>
      <c r="E57" s="197"/>
      <c r="F57" s="937"/>
      <c r="G57" s="197"/>
      <c r="H57" s="937"/>
      <c r="I57" s="197"/>
      <c r="J57" s="937"/>
      <c r="K57" s="197"/>
      <c r="L57" s="937"/>
      <c r="M57" s="197"/>
      <c r="N57" s="937"/>
      <c r="O57" s="197"/>
      <c r="P57" s="937"/>
      <c r="Q57" s="197"/>
      <c r="R57" s="937"/>
      <c r="S57" s="197"/>
      <c r="T57" s="937"/>
      <c r="U57" s="199"/>
      <c r="V57" s="195"/>
      <c r="W57" s="1026"/>
      <c r="X57" s="199"/>
    </row>
    <row r="58" spans="1:24" s="1" customFormat="1" ht="15" customHeight="1" x14ac:dyDescent="0.2">
      <c r="A58" s="706" t="s">
        <v>47</v>
      </c>
      <c r="B58" s="160">
        <f>14+1</f>
        <v>15</v>
      </c>
      <c r="C58" s="191">
        <f t="shared" ref="C58:C63" si="10">B58/C$55</f>
        <v>0.78947368421052633</v>
      </c>
      <c r="D58" s="156">
        <f>15+1</f>
        <v>16</v>
      </c>
      <c r="E58" s="192">
        <f t="shared" ref="E58:E63" si="11">D58/E$55</f>
        <v>0.8</v>
      </c>
      <c r="F58" s="160">
        <v>15</v>
      </c>
      <c r="G58" s="192">
        <f t="shared" ref="G58:G63" si="12">F58/G$55</f>
        <v>0.78947368421052633</v>
      </c>
      <c r="H58" s="160">
        <v>15</v>
      </c>
      <c r="I58" s="192">
        <f t="shared" ref="I58:I65" si="13">H58/I$55</f>
        <v>0.7142857142857143</v>
      </c>
      <c r="J58" s="160">
        <f>2+10</f>
        <v>12</v>
      </c>
      <c r="K58" s="192">
        <f t="shared" ref="K58:K65" si="14">J58/K$55</f>
        <v>0.6</v>
      </c>
      <c r="L58" s="160">
        <v>12</v>
      </c>
      <c r="M58" s="192">
        <f t="shared" ref="M58:M63" si="15">L58/M$55</f>
        <v>0.6</v>
      </c>
      <c r="N58" s="160">
        <f>3+10</f>
        <v>13</v>
      </c>
      <c r="O58" s="192">
        <f t="shared" ref="O58:Q63" si="16">N58/O$55</f>
        <v>0.65</v>
      </c>
      <c r="P58" s="160">
        <v>11</v>
      </c>
      <c r="Q58" s="192">
        <f t="shared" si="16"/>
        <v>0.57894736842105265</v>
      </c>
      <c r="R58" s="160">
        <v>12</v>
      </c>
      <c r="S58" s="192">
        <f t="shared" ref="S58:S63" si="17">R58/S$55</f>
        <v>0.6</v>
      </c>
      <c r="T58" s="202"/>
      <c r="U58" s="203" t="e">
        <f t="shared" ref="U58:U63" si="18">T58/U$55</f>
        <v>#DIV/0!</v>
      </c>
      <c r="V58" s="204"/>
      <c r="W58" s="205">
        <f>AVERAGE(N58,L58,R58,T58,P58)</f>
        <v>12</v>
      </c>
      <c r="X58" s="206" t="e">
        <f>AVERAGE(O58,M58,S58,U58,Q58)</f>
        <v>#DIV/0!</v>
      </c>
    </row>
    <row r="59" spans="1:24" s="1" customFormat="1" ht="15" customHeight="1" x14ac:dyDescent="0.2">
      <c r="A59" s="207" t="s">
        <v>48</v>
      </c>
      <c r="B59" s="160">
        <f>1</f>
        <v>1</v>
      </c>
      <c r="C59" s="191">
        <f t="shared" si="10"/>
        <v>5.2631578947368418E-2</v>
      </c>
      <c r="D59" s="156">
        <v>1</v>
      </c>
      <c r="E59" s="192">
        <f t="shared" si="11"/>
        <v>0.05</v>
      </c>
      <c r="F59" s="160">
        <v>1</v>
      </c>
      <c r="G59" s="192">
        <f t="shared" si="12"/>
        <v>5.2631578947368418E-2</v>
      </c>
      <c r="H59" s="160">
        <v>1</v>
      </c>
      <c r="I59" s="192">
        <f t="shared" si="13"/>
        <v>4.7619047619047616E-2</v>
      </c>
      <c r="J59" s="160">
        <f>0+1</f>
        <v>1</v>
      </c>
      <c r="K59" s="192">
        <f t="shared" si="14"/>
        <v>0.05</v>
      </c>
      <c r="L59" s="160">
        <v>1</v>
      </c>
      <c r="M59" s="192">
        <f t="shared" si="15"/>
        <v>0.05</v>
      </c>
      <c r="N59" s="160">
        <v>1</v>
      </c>
      <c r="O59" s="192">
        <f t="shared" si="16"/>
        <v>0.05</v>
      </c>
      <c r="P59" s="160">
        <v>2</v>
      </c>
      <c r="Q59" s="192">
        <f t="shared" si="16"/>
        <v>0.10526315789473684</v>
      </c>
      <c r="R59" s="160">
        <v>1</v>
      </c>
      <c r="S59" s="192">
        <f t="shared" si="17"/>
        <v>0.05</v>
      </c>
      <c r="T59" s="202"/>
      <c r="U59" s="203" t="e">
        <f t="shared" si="18"/>
        <v>#DIV/0!</v>
      </c>
      <c r="V59" s="204"/>
      <c r="W59" s="205">
        <f t="shared" ref="W59:X77" si="19">AVERAGE(N59,L59,R59,T59,P59)</f>
        <v>1.25</v>
      </c>
      <c r="X59" s="206" t="e">
        <f t="shared" si="19"/>
        <v>#DIV/0!</v>
      </c>
    </row>
    <row r="60" spans="1:24" s="1" customFormat="1" ht="15" customHeight="1" x14ac:dyDescent="0.2">
      <c r="A60" s="207" t="s">
        <v>49</v>
      </c>
      <c r="B60" s="160">
        <v>0</v>
      </c>
      <c r="C60" s="191">
        <f t="shared" si="10"/>
        <v>0</v>
      </c>
      <c r="D60" s="156">
        <v>0</v>
      </c>
      <c r="E60" s="192">
        <f t="shared" si="11"/>
        <v>0</v>
      </c>
      <c r="F60" s="160">
        <v>0</v>
      </c>
      <c r="G60" s="192">
        <f t="shared" si="12"/>
        <v>0</v>
      </c>
      <c r="H60" s="160">
        <v>0</v>
      </c>
      <c r="I60" s="192">
        <f t="shared" si="13"/>
        <v>0</v>
      </c>
      <c r="J60" s="160">
        <f>0+1</f>
        <v>1</v>
      </c>
      <c r="K60" s="192">
        <f t="shared" si="14"/>
        <v>0.05</v>
      </c>
      <c r="L60" s="160">
        <v>1</v>
      </c>
      <c r="M60" s="192">
        <f t="shared" si="15"/>
        <v>0.05</v>
      </c>
      <c r="N60" s="160">
        <v>1</v>
      </c>
      <c r="O60" s="192">
        <f t="shared" si="16"/>
        <v>0.05</v>
      </c>
      <c r="P60" s="160">
        <v>1</v>
      </c>
      <c r="Q60" s="192">
        <f t="shared" si="16"/>
        <v>5.2631578947368418E-2</v>
      </c>
      <c r="R60" s="160">
        <v>1</v>
      </c>
      <c r="S60" s="192">
        <f t="shared" si="17"/>
        <v>0.05</v>
      </c>
      <c r="T60" s="202"/>
      <c r="U60" s="203" t="e">
        <f t="shared" si="18"/>
        <v>#DIV/0!</v>
      </c>
      <c r="V60" s="204"/>
      <c r="W60" s="205">
        <f t="shared" si="19"/>
        <v>1</v>
      </c>
      <c r="X60" s="206" t="e">
        <f t="shared" si="19"/>
        <v>#DIV/0!</v>
      </c>
    </row>
    <row r="61" spans="1:24" s="1" customFormat="1" ht="15" customHeight="1" x14ac:dyDescent="0.2">
      <c r="A61" s="207" t="s">
        <v>50</v>
      </c>
      <c r="B61" s="160">
        <v>0</v>
      </c>
      <c r="C61" s="191">
        <f t="shared" si="10"/>
        <v>0</v>
      </c>
      <c r="D61" s="156">
        <v>0</v>
      </c>
      <c r="E61" s="192">
        <f t="shared" si="11"/>
        <v>0</v>
      </c>
      <c r="F61" s="160">
        <v>0</v>
      </c>
      <c r="G61" s="192">
        <f t="shared" si="12"/>
        <v>0</v>
      </c>
      <c r="H61" s="160">
        <v>0</v>
      </c>
      <c r="I61" s="192">
        <f t="shared" si="13"/>
        <v>0</v>
      </c>
      <c r="J61" s="160">
        <f>0</f>
        <v>0</v>
      </c>
      <c r="K61" s="192">
        <f t="shared" si="14"/>
        <v>0</v>
      </c>
      <c r="L61" s="160">
        <v>0</v>
      </c>
      <c r="M61" s="192">
        <f t="shared" si="15"/>
        <v>0</v>
      </c>
      <c r="N61" s="160">
        <v>0</v>
      </c>
      <c r="O61" s="192">
        <f t="shared" si="16"/>
        <v>0</v>
      </c>
      <c r="P61" s="160">
        <v>0</v>
      </c>
      <c r="Q61" s="192">
        <f t="shared" si="16"/>
        <v>0</v>
      </c>
      <c r="R61" s="160">
        <v>0</v>
      </c>
      <c r="S61" s="192">
        <f t="shared" si="17"/>
        <v>0</v>
      </c>
      <c r="T61" s="202"/>
      <c r="U61" s="203" t="e">
        <f t="shared" si="18"/>
        <v>#DIV/0!</v>
      </c>
      <c r="V61" s="204"/>
      <c r="W61" s="205">
        <f t="shared" si="19"/>
        <v>0</v>
      </c>
      <c r="X61" s="206" t="e">
        <f t="shared" si="19"/>
        <v>#DIV/0!</v>
      </c>
    </row>
    <row r="62" spans="1:24" s="1" customFormat="1" ht="15" customHeight="1" x14ac:dyDescent="0.2">
      <c r="A62" s="207" t="s">
        <v>51</v>
      </c>
      <c r="B62" s="160">
        <f>1</f>
        <v>1</v>
      </c>
      <c r="C62" s="191">
        <f t="shared" si="10"/>
        <v>5.2631578947368418E-2</v>
      </c>
      <c r="D62" s="156">
        <f>2+1</f>
        <v>3</v>
      </c>
      <c r="E62" s="192">
        <f t="shared" si="11"/>
        <v>0.15</v>
      </c>
      <c r="F62" s="160">
        <v>3</v>
      </c>
      <c r="G62" s="192">
        <f t="shared" si="12"/>
        <v>0.15789473684210525</v>
      </c>
      <c r="H62" s="160">
        <v>4</v>
      </c>
      <c r="I62" s="192">
        <f t="shared" si="13"/>
        <v>0.19047619047619047</v>
      </c>
      <c r="J62" s="160">
        <f>1+3</f>
        <v>4</v>
      </c>
      <c r="K62" s="192">
        <f t="shared" si="14"/>
        <v>0.2</v>
      </c>
      <c r="L62" s="160">
        <v>2</v>
      </c>
      <c r="M62" s="192">
        <f t="shared" si="15"/>
        <v>0.1</v>
      </c>
      <c r="N62" s="160">
        <v>2</v>
      </c>
      <c r="O62" s="192">
        <f t="shared" si="16"/>
        <v>0.1</v>
      </c>
      <c r="P62" s="160">
        <v>3</v>
      </c>
      <c r="Q62" s="192">
        <f t="shared" si="16"/>
        <v>0.15789473684210525</v>
      </c>
      <c r="R62" s="160">
        <v>3</v>
      </c>
      <c r="S62" s="192">
        <f t="shared" si="17"/>
        <v>0.15</v>
      </c>
      <c r="T62" s="202"/>
      <c r="U62" s="203" t="e">
        <f t="shared" si="18"/>
        <v>#DIV/0!</v>
      </c>
      <c r="V62" s="204"/>
      <c r="W62" s="205">
        <f t="shared" si="19"/>
        <v>2.5</v>
      </c>
      <c r="X62" s="206" t="e">
        <f t="shared" si="19"/>
        <v>#DIV/0!</v>
      </c>
    </row>
    <row r="63" spans="1:24" s="1" customFormat="1" ht="15" customHeight="1" x14ac:dyDescent="0.2">
      <c r="A63" s="207" t="s">
        <v>52</v>
      </c>
      <c r="B63" s="160">
        <v>0</v>
      </c>
      <c r="C63" s="191">
        <f t="shared" si="10"/>
        <v>0</v>
      </c>
      <c r="D63" s="156">
        <v>0</v>
      </c>
      <c r="E63" s="192">
        <f t="shared" si="11"/>
        <v>0</v>
      </c>
      <c r="F63" s="160">
        <v>0</v>
      </c>
      <c r="G63" s="192">
        <f t="shared" si="12"/>
        <v>0</v>
      </c>
      <c r="H63" s="160">
        <v>1</v>
      </c>
      <c r="I63" s="192">
        <f t="shared" si="13"/>
        <v>4.7619047619047616E-2</v>
      </c>
      <c r="J63" s="160">
        <f>0+2</f>
        <v>2</v>
      </c>
      <c r="K63" s="192">
        <f t="shared" si="14"/>
        <v>0.1</v>
      </c>
      <c r="L63" s="160">
        <v>4</v>
      </c>
      <c r="M63" s="192">
        <f t="shared" si="15"/>
        <v>0.2</v>
      </c>
      <c r="N63" s="160">
        <v>3</v>
      </c>
      <c r="O63" s="192">
        <f t="shared" si="16"/>
        <v>0.15</v>
      </c>
      <c r="P63" s="160">
        <v>2</v>
      </c>
      <c r="Q63" s="192">
        <f t="shared" si="16"/>
        <v>0.10526315789473684</v>
      </c>
      <c r="R63" s="160">
        <v>3</v>
      </c>
      <c r="S63" s="192">
        <f t="shared" si="17"/>
        <v>0.15</v>
      </c>
      <c r="T63" s="202"/>
      <c r="U63" s="203" t="e">
        <f t="shared" si="18"/>
        <v>#DIV/0!</v>
      </c>
      <c r="V63" s="204"/>
      <c r="W63" s="205">
        <f t="shared" si="19"/>
        <v>3</v>
      </c>
      <c r="X63" s="206" t="e">
        <f t="shared" si="19"/>
        <v>#DIV/0!</v>
      </c>
    </row>
    <row r="64" spans="1:24" s="1" customFormat="1" ht="15" customHeight="1" x14ac:dyDescent="0.2">
      <c r="A64" s="207" t="s">
        <v>53</v>
      </c>
      <c r="B64" s="167"/>
      <c r="C64" s="165"/>
      <c r="D64" s="164"/>
      <c r="E64" s="166"/>
      <c r="F64" s="167"/>
      <c r="G64" s="166"/>
      <c r="H64" s="160">
        <v>0</v>
      </c>
      <c r="I64" s="192">
        <f t="shared" si="13"/>
        <v>0</v>
      </c>
      <c r="J64" s="160">
        <f>0</f>
        <v>0</v>
      </c>
      <c r="K64" s="192">
        <f t="shared" si="14"/>
        <v>0</v>
      </c>
      <c r="L64" s="160">
        <v>0</v>
      </c>
      <c r="M64" s="192">
        <f>L64/M$55</f>
        <v>0</v>
      </c>
      <c r="N64" s="160">
        <v>0</v>
      </c>
      <c r="O64" s="192">
        <f>N64/O$55</f>
        <v>0</v>
      </c>
      <c r="P64" s="160">
        <v>0</v>
      </c>
      <c r="Q64" s="192">
        <f>P64/Q$55</f>
        <v>0</v>
      </c>
      <c r="R64" s="160">
        <v>0</v>
      </c>
      <c r="S64" s="192">
        <f>R64/S$55</f>
        <v>0</v>
      </c>
      <c r="T64" s="202"/>
      <c r="U64" s="203" t="e">
        <f>T64/U$55</f>
        <v>#DIV/0!</v>
      </c>
      <c r="V64" s="204"/>
      <c r="W64" s="205">
        <f t="shared" si="19"/>
        <v>0</v>
      </c>
      <c r="X64" s="206" t="e">
        <f t="shared" si="19"/>
        <v>#DIV/0!</v>
      </c>
    </row>
    <row r="65" spans="1:24" s="1" customFormat="1" ht="15" customHeight="1" thickBot="1" x14ac:dyDescent="0.25">
      <c r="A65" s="696" t="s">
        <v>54</v>
      </c>
      <c r="B65" s="162">
        <v>0</v>
      </c>
      <c r="C65" s="724">
        <f>B65/C$55</f>
        <v>0</v>
      </c>
      <c r="D65" s="158">
        <v>0</v>
      </c>
      <c r="E65" s="725">
        <f>D65/E$55</f>
        <v>0</v>
      </c>
      <c r="F65" s="162">
        <v>0</v>
      </c>
      <c r="G65" s="725">
        <f>F65/G$55</f>
        <v>0</v>
      </c>
      <c r="H65" s="162">
        <v>0</v>
      </c>
      <c r="I65" s="725">
        <f t="shared" si="13"/>
        <v>0</v>
      </c>
      <c r="J65" s="162">
        <f>0</f>
        <v>0</v>
      </c>
      <c r="K65" s="725">
        <f t="shared" si="14"/>
        <v>0</v>
      </c>
      <c r="L65" s="162">
        <v>0</v>
      </c>
      <c r="M65" s="725">
        <f>L65/M$55</f>
        <v>0</v>
      </c>
      <c r="N65" s="162">
        <v>0</v>
      </c>
      <c r="O65" s="725">
        <f>N65/O$55</f>
        <v>0</v>
      </c>
      <c r="P65" s="162">
        <v>0</v>
      </c>
      <c r="Q65" s="725">
        <f>P65/Q$55</f>
        <v>0</v>
      </c>
      <c r="R65" s="162">
        <v>0</v>
      </c>
      <c r="S65" s="725">
        <f>R65/S$55</f>
        <v>0</v>
      </c>
      <c r="T65" s="193"/>
      <c r="U65" s="726" t="e">
        <f>T65/U$55</f>
        <v>#DIV/0!</v>
      </c>
      <c r="V65" s="204"/>
      <c r="W65" s="727">
        <f t="shared" si="19"/>
        <v>0</v>
      </c>
      <c r="X65" s="728" t="e">
        <f t="shared" si="19"/>
        <v>#DIV/0!</v>
      </c>
    </row>
    <row r="66" spans="1:24" s="1" customFormat="1" ht="18" customHeight="1" x14ac:dyDescent="0.2">
      <c r="A66" s="680" t="s">
        <v>55</v>
      </c>
      <c r="B66" s="914"/>
      <c r="C66" s="732"/>
      <c r="D66" s="912"/>
      <c r="E66" s="733"/>
      <c r="F66" s="914"/>
      <c r="G66" s="733"/>
      <c r="H66" s="914"/>
      <c r="I66" s="733"/>
      <c r="J66" s="914"/>
      <c r="K66" s="733"/>
      <c r="L66" s="914"/>
      <c r="M66" s="733"/>
      <c r="N66" s="914"/>
      <c r="O66" s="733"/>
      <c r="P66" s="914"/>
      <c r="Q66" s="733"/>
      <c r="R66" s="914"/>
      <c r="S66" s="733"/>
      <c r="T66" s="734"/>
      <c r="U66" s="735"/>
      <c r="V66" s="204"/>
      <c r="W66" s="736"/>
      <c r="X66" s="737"/>
    </row>
    <row r="67" spans="1:24" s="1" customFormat="1" ht="15" customHeight="1" x14ac:dyDescent="0.2">
      <c r="A67" s="200" t="s">
        <v>56</v>
      </c>
      <c r="B67" s="48">
        <v>16</v>
      </c>
      <c r="C67" s="191">
        <f>B67/C$55</f>
        <v>0.84210526315789469</v>
      </c>
      <c r="D67" s="132">
        <f>15+2</f>
        <v>17</v>
      </c>
      <c r="E67" s="192">
        <f>D67/E$55</f>
        <v>0.85</v>
      </c>
      <c r="F67" s="48">
        <v>16</v>
      </c>
      <c r="G67" s="192">
        <f>F67/G$55</f>
        <v>0.84210526315789469</v>
      </c>
      <c r="H67" s="48">
        <v>17</v>
      </c>
      <c r="I67" s="192">
        <f>H67/I$55</f>
        <v>0.80952380952380953</v>
      </c>
      <c r="J67" s="48">
        <f>3+14</f>
        <v>17</v>
      </c>
      <c r="K67" s="192">
        <f>J67/K$55</f>
        <v>0.85</v>
      </c>
      <c r="L67" s="48">
        <v>16</v>
      </c>
      <c r="M67" s="192">
        <f>L67/M$55</f>
        <v>0.8</v>
      </c>
      <c r="N67" s="48">
        <f>3+13</f>
        <v>16</v>
      </c>
      <c r="O67" s="192">
        <f>N67/O$55</f>
        <v>0.8</v>
      </c>
      <c r="P67" s="48">
        <v>15</v>
      </c>
      <c r="Q67" s="192">
        <f>P67/Q$55</f>
        <v>0.78947368421052633</v>
      </c>
      <c r="R67" s="48">
        <v>15</v>
      </c>
      <c r="S67" s="192">
        <f>R67/S$55</f>
        <v>0.75</v>
      </c>
      <c r="T67" s="209"/>
      <c r="U67" s="203" t="e">
        <f>T67/U$55</f>
        <v>#DIV/0!</v>
      </c>
      <c r="V67" s="204"/>
      <c r="W67" s="205">
        <f t="shared" si="19"/>
        <v>15.5</v>
      </c>
      <c r="X67" s="206" t="e">
        <f t="shared" si="19"/>
        <v>#DIV/0!</v>
      </c>
    </row>
    <row r="68" spans="1:24" s="1" customFormat="1" ht="15" customHeight="1" thickBot="1" x14ac:dyDescent="0.25">
      <c r="A68" s="696" t="s">
        <v>57</v>
      </c>
      <c r="B68" s="911">
        <v>3</v>
      </c>
      <c r="C68" s="724">
        <f>B68/C$55</f>
        <v>0.15789473684210525</v>
      </c>
      <c r="D68" s="910">
        <v>3</v>
      </c>
      <c r="E68" s="725">
        <f>D68/E$55</f>
        <v>0.15</v>
      </c>
      <c r="F68" s="911">
        <v>3</v>
      </c>
      <c r="G68" s="725">
        <f>F68/G$55</f>
        <v>0.15789473684210525</v>
      </c>
      <c r="H68" s="911">
        <v>4</v>
      </c>
      <c r="I68" s="725">
        <f>H68/I$55</f>
        <v>0.19047619047619047</v>
      </c>
      <c r="J68" s="911">
        <f>0+3</f>
        <v>3</v>
      </c>
      <c r="K68" s="725">
        <f>J68/K$55</f>
        <v>0.15</v>
      </c>
      <c r="L68" s="911">
        <v>4</v>
      </c>
      <c r="M68" s="725">
        <f>L68/M$55</f>
        <v>0.2</v>
      </c>
      <c r="N68" s="911">
        <v>4</v>
      </c>
      <c r="O68" s="725">
        <f>N68/O$55</f>
        <v>0.2</v>
      </c>
      <c r="P68" s="911">
        <v>4</v>
      </c>
      <c r="Q68" s="725">
        <f>P68/Q$55</f>
        <v>0.21052631578947367</v>
      </c>
      <c r="R68" s="911">
        <v>5</v>
      </c>
      <c r="S68" s="725">
        <f>R68/S$55</f>
        <v>0.25</v>
      </c>
      <c r="T68" s="730"/>
      <c r="U68" s="726" t="e">
        <f>T68/U$55</f>
        <v>#DIV/0!</v>
      </c>
      <c r="V68" s="204"/>
      <c r="W68" s="727">
        <f t="shared" si="19"/>
        <v>4.25</v>
      </c>
      <c r="X68" s="728" t="e">
        <f t="shared" si="19"/>
        <v>#DIV/0!</v>
      </c>
    </row>
    <row r="69" spans="1:24" s="1" customFormat="1" ht="18" customHeight="1" x14ac:dyDescent="0.2">
      <c r="A69" s="680" t="s">
        <v>58</v>
      </c>
      <c r="B69" s="918"/>
      <c r="C69" s="739"/>
      <c r="D69" s="917"/>
      <c r="E69" s="740"/>
      <c r="F69" s="918"/>
      <c r="G69" s="740"/>
      <c r="H69" s="918"/>
      <c r="I69" s="740"/>
      <c r="J69" s="918"/>
      <c r="K69" s="740"/>
      <c r="L69" s="918"/>
      <c r="M69" s="740"/>
      <c r="N69" s="918"/>
      <c r="O69" s="740"/>
      <c r="P69" s="918"/>
      <c r="Q69" s="740"/>
      <c r="R69" s="918"/>
      <c r="S69" s="740"/>
      <c r="T69" s="741"/>
      <c r="U69" s="742"/>
      <c r="V69" s="204"/>
      <c r="W69" s="736"/>
      <c r="X69" s="737"/>
    </row>
    <row r="70" spans="1:24" s="1" customFormat="1" ht="15" customHeight="1" x14ac:dyDescent="0.2">
      <c r="A70" s="200" t="s">
        <v>59</v>
      </c>
      <c r="B70" s="134">
        <v>12</v>
      </c>
      <c r="C70" s="191">
        <f>B70/C$55</f>
        <v>0.63157894736842102</v>
      </c>
      <c r="D70" s="133">
        <f>12+2</f>
        <v>14</v>
      </c>
      <c r="E70" s="192">
        <f>D70/E$55</f>
        <v>0.7</v>
      </c>
      <c r="F70" s="134">
        <v>13</v>
      </c>
      <c r="G70" s="192">
        <f>F70/G$55</f>
        <v>0.68421052631578949</v>
      </c>
      <c r="H70" s="134">
        <v>13</v>
      </c>
      <c r="I70" s="192">
        <f>H70/I$55</f>
        <v>0.61904761904761907</v>
      </c>
      <c r="J70" s="134">
        <f>3+11</f>
        <v>14</v>
      </c>
      <c r="K70" s="192">
        <f>J70/K$55</f>
        <v>0.7</v>
      </c>
      <c r="L70" s="134">
        <v>11</v>
      </c>
      <c r="M70" s="192">
        <f>L70/M$55</f>
        <v>0.55000000000000004</v>
      </c>
      <c r="N70" s="134">
        <f>3+9</f>
        <v>12</v>
      </c>
      <c r="O70" s="192">
        <f>N70/O$55</f>
        <v>0.6</v>
      </c>
      <c r="P70" s="134">
        <v>9</v>
      </c>
      <c r="Q70" s="192">
        <f>P70/Q$55</f>
        <v>0.47368421052631576</v>
      </c>
      <c r="R70" s="134">
        <v>7</v>
      </c>
      <c r="S70" s="192">
        <f>R70/S$55</f>
        <v>0.35</v>
      </c>
      <c r="T70" s="211"/>
      <c r="U70" s="203" t="e">
        <f>T70/U$55</f>
        <v>#DIV/0!</v>
      </c>
      <c r="V70" s="204"/>
      <c r="W70" s="205">
        <f t="shared" si="19"/>
        <v>9.75</v>
      </c>
      <c r="X70" s="206" t="e">
        <f t="shared" si="19"/>
        <v>#DIV/0!</v>
      </c>
    </row>
    <row r="71" spans="1:24" s="1" customFormat="1" ht="15" customHeight="1" x14ac:dyDescent="0.2">
      <c r="A71" s="200" t="s">
        <v>60</v>
      </c>
      <c r="B71" s="134">
        <v>5</v>
      </c>
      <c r="C71" s="191">
        <f>B71/C$55</f>
        <v>0.26315789473684209</v>
      </c>
      <c r="D71" s="133">
        <v>4</v>
      </c>
      <c r="E71" s="192">
        <f>D71/E$55</f>
        <v>0.2</v>
      </c>
      <c r="F71" s="134">
        <v>4</v>
      </c>
      <c r="G71" s="192">
        <f>F71/G$55</f>
        <v>0.21052631578947367</v>
      </c>
      <c r="H71" s="134">
        <v>3</v>
      </c>
      <c r="I71" s="192">
        <f>H71/I$55</f>
        <v>0.14285714285714285</v>
      </c>
      <c r="J71" s="134">
        <f>0+4</f>
        <v>4</v>
      </c>
      <c r="K71" s="192">
        <f>J71/K$55</f>
        <v>0.2</v>
      </c>
      <c r="L71" s="134">
        <v>4</v>
      </c>
      <c r="M71" s="192">
        <f>L71/M$55</f>
        <v>0.2</v>
      </c>
      <c r="N71" s="134">
        <v>4</v>
      </c>
      <c r="O71" s="192">
        <f>N71/O$55</f>
        <v>0.2</v>
      </c>
      <c r="P71" s="134">
        <v>5</v>
      </c>
      <c r="Q71" s="192">
        <f>P71/Q$55</f>
        <v>0.26315789473684209</v>
      </c>
      <c r="R71" s="134">
        <v>8</v>
      </c>
      <c r="S71" s="192">
        <f>R71/S$55</f>
        <v>0.4</v>
      </c>
      <c r="T71" s="211"/>
      <c r="U71" s="203" t="e">
        <f>T71/U$55</f>
        <v>#DIV/0!</v>
      </c>
      <c r="V71" s="204"/>
      <c r="W71" s="205">
        <f t="shared" si="19"/>
        <v>5.25</v>
      </c>
      <c r="X71" s="206" t="e">
        <f t="shared" si="19"/>
        <v>#DIV/0!</v>
      </c>
    </row>
    <row r="72" spans="1:24" s="1" customFormat="1" ht="15" customHeight="1" thickBot="1" x14ac:dyDescent="0.25">
      <c r="A72" s="696" t="s">
        <v>61</v>
      </c>
      <c r="B72" s="911">
        <v>2</v>
      </c>
      <c r="C72" s="724">
        <f>B72/C$55</f>
        <v>0.10526315789473684</v>
      </c>
      <c r="D72" s="910">
        <v>2</v>
      </c>
      <c r="E72" s="725">
        <f>D72/E$55</f>
        <v>0.1</v>
      </c>
      <c r="F72" s="911">
        <v>2</v>
      </c>
      <c r="G72" s="725">
        <f>F72/G$55</f>
        <v>0.10526315789473684</v>
      </c>
      <c r="H72" s="911">
        <v>5</v>
      </c>
      <c r="I72" s="725">
        <f>H72/I$55</f>
        <v>0.23809523809523808</v>
      </c>
      <c r="J72" s="911">
        <f>0+2</f>
        <v>2</v>
      </c>
      <c r="K72" s="725">
        <f>J72/K$55</f>
        <v>0.1</v>
      </c>
      <c r="L72" s="911">
        <v>5</v>
      </c>
      <c r="M72" s="725">
        <f>L72/M$55</f>
        <v>0.25</v>
      </c>
      <c r="N72" s="911">
        <v>4</v>
      </c>
      <c r="O72" s="725">
        <f>N72/O$55</f>
        <v>0.2</v>
      </c>
      <c r="P72" s="911">
        <v>5</v>
      </c>
      <c r="Q72" s="725">
        <f>P72/Q$55</f>
        <v>0.26315789473684209</v>
      </c>
      <c r="R72" s="911">
        <v>5</v>
      </c>
      <c r="S72" s="725">
        <f>R72/S$55</f>
        <v>0.25</v>
      </c>
      <c r="T72" s="730"/>
      <c r="U72" s="726" t="e">
        <f>T72/U$55</f>
        <v>#DIV/0!</v>
      </c>
      <c r="V72" s="204"/>
      <c r="W72" s="727">
        <f t="shared" si="19"/>
        <v>4.75</v>
      </c>
      <c r="X72" s="728" t="e">
        <f t="shared" si="19"/>
        <v>#DIV/0!</v>
      </c>
    </row>
    <row r="73" spans="1:24" s="1" customFormat="1" ht="18" customHeight="1" x14ac:dyDescent="0.2">
      <c r="A73" s="680" t="s">
        <v>62</v>
      </c>
      <c r="B73" s="918"/>
      <c r="C73" s="739"/>
      <c r="D73" s="917"/>
      <c r="E73" s="740"/>
      <c r="F73" s="918"/>
      <c r="G73" s="740"/>
      <c r="H73" s="918"/>
      <c r="I73" s="740"/>
      <c r="J73" s="918"/>
      <c r="K73" s="740"/>
      <c r="L73" s="918"/>
      <c r="M73" s="740"/>
      <c r="N73" s="918"/>
      <c r="O73" s="740"/>
      <c r="P73" s="918"/>
      <c r="Q73" s="740"/>
      <c r="R73" s="918"/>
      <c r="S73" s="740"/>
      <c r="T73" s="741"/>
      <c r="U73" s="742"/>
      <c r="V73" s="204"/>
      <c r="W73" s="736"/>
      <c r="X73" s="737"/>
    </row>
    <row r="74" spans="1:24" s="1" customFormat="1" ht="15" customHeight="1" x14ac:dyDescent="0.2">
      <c r="A74" s="200" t="s">
        <v>63</v>
      </c>
      <c r="B74" s="134">
        <v>18</v>
      </c>
      <c r="C74" s="191">
        <f>B74/C$55</f>
        <v>0.94736842105263153</v>
      </c>
      <c r="D74" s="133">
        <f>17+2</f>
        <v>19</v>
      </c>
      <c r="E74" s="192">
        <f>D74/E$55</f>
        <v>0.95</v>
      </c>
      <c r="F74" s="134">
        <v>18</v>
      </c>
      <c r="G74" s="192">
        <f>F74/G$55</f>
        <v>0.94736842105263153</v>
      </c>
      <c r="H74" s="134">
        <v>21</v>
      </c>
      <c r="I74" s="192">
        <f>H74/I$55</f>
        <v>1</v>
      </c>
      <c r="J74" s="134">
        <f>3+17</f>
        <v>20</v>
      </c>
      <c r="K74" s="192">
        <f>J74/K$55</f>
        <v>1</v>
      </c>
      <c r="L74" s="134">
        <v>19</v>
      </c>
      <c r="M74" s="192">
        <f>L74/M$55</f>
        <v>0.95</v>
      </c>
      <c r="N74" s="134">
        <f>3+16</f>
        <v>19</v>
      </c>
      <c r="O74" s="192">
        <f>N74/O$55</f>
        <v>0.95</v>
      </c>
      <c r="P74" s="134">
        <v>18</v>
      </c>
      <c r="Q74" s="192">
        <f>P74/Q$55</f>
        <v>0.94736842105263153</v>
      </c>
      <c r="R74" s="134">
        <v>19</v>
      </c>
      <c r="S74" s="192">
        <f>R74/S$55</f>
        <v>0.95</v>
      </c>
      <c r="T74" s="211"/>
      <c r="U74" s="203" t="e">
        <f>T74/U$55</f>
        <v>#DIV/0!</v>
      </c>
      <c r="V74" s="204"/>
      <c r="W74" s="205">
        <f t="shared" si="19"/>
        <v>18.75</v>
      </c>
      <c r="X74" s="206" t="e">
        <f t="shared" si="19"/>
        <v>#DIV/0!</v>
      </c>
    </row>
    <row r="75" spans="1:24" s="1" customFormat="1" ht="15" customHeight="1" x14ac:dyDescent="0.2">
      <c r="A75" s="200" t="s">
        <v>64</v>
      </c>
      <c r="B75" s="134">
        <v>1</v>
      </c>
      <c r="C75" s="191">
        <f>B75/C$55</f>
        <v>5.2631578947368418E-2</v>
      </c>
      <c r="D75" s="133">
        <v>1</v>
      </c>
      <c r="E75" s="192">
        <f>D75/E$55</f>
        <v>0.05</v>
      </c>
      <c r="F75" s="134">
        <v>1</v>
      </c>
      <c r="G75" s="192">
        <f>F75/G$55</f>
        <v>5.2631578947368418E-2</v>
      </c>
      <c r="H75" s="134">
        <v>0</v>
      </c>
      <c r="I75" s="192">
        <f>H75/I$55</f>
        <v>0</v>
      </c>
      <c r="J75" s="134">
        <f>0</f>
        <v>0</v>
      </c>
      <c r="K75" s="192">
        <f>J75/K$55</f>
        <v>0</v>
      </c>
      <c r="L75" s="134">
        <v>1</v>
      </c>
      <c r="M75" s="192">
        <f>L75/M$55</f>
        <v>0.05</v>
      </c>
      <c r="N75" s="134">
        <v>1</v>
      </c>
      <c r="O75" s="192">
        <f>N75/O$55</f>
        <v>0.05</v>
      </c>
      <c r="P75" s="134">
        <v>1</v>
      </c>
      <c r="Q75" s="192">
        <f>P75/Q$55</f>
        <v>5.2631578947368418E-2</v>
      </c>
      <c r="R75" s="134">
        <v>1</v>
      </c>
      <c r="S75" s="192">
        <f>R75/S$55</f>
        <v>0.05</v>
      </c>
      <c r="T75" s="211"/>
      <c r="U75" s="203" t="e">
        <f>T75/U$55</f>
        <v>#DIV/0!</v>
      </c>
      <c r="V75" s="204"/>
      <c r="W75" s="205">
        <f t="shared" si="19"/>
        <v>1</v>
      </c>
      <c r="X75" s="206" t="e">
        <f t="shared" si="19"/>
        <v>#DIV/0!</v>
      </c>
    </row>
    <row r="76" spans="1:24" s="1" customFormat="1" ht="15" customHeight="1" x14ac:dyDescent="0.2">
      <c r="A76" s="200" t="s">
        <v>65</v>
      </c>
      <c r="B76" s="134">
        <v>0</v>
      </c>
      <c r="C76" s="191">
        <f>B76/C$55</f>
        <v>0</v>
      </c>
      <c r="D76" s="133">
        <v>0</v>
      </c>
      <c r="E76" s="192">
        <f>D76/E$55</f>
        <v>0</v>
      </c>
      <c r="F76" s="134">
        <v>0</v>
      </c>
      <c r="G76" s="192">
        <f>F76/G$55</f>
        <v>0</v>
      </c>
      <c r="H76" s="134">
        <v>0</v>
      </c>
      <c r="I76" s="192">
        <f>H76/I$55</f>
        <v>0</v>
      </c>
      <c r="J76" s="134">
        <f>0</f>
        <v>0</v>
      </c>
      <c r="K76" s="192">
        <f>J76/K$55</f>
        <v>0</v>
      </c>
      <c r="L76" s="134">
        <v>0</v>
      </c>
      <c r="M76" s="192">
        <f>L76/M$55</f>
        <v>0</v>
      </c>
      <c r="N76" s="134">
        <v>0</v>
      </c>
      <c r="O76" s="192">
        <f>N76/O$55</f>
        <v>0</v>
      </c>
      <c r="P76" s="134">
        <v>0</v>
      </c>
      <c r="Q76" s="192">
        <f>P76/Q$55</f>
        <v>0</v>
      </c>
      <c r="R76" s="134">
        <v>0</v>
      </c>
      <c r="S76" s="192">
        <f>R76/S$55</f>
        <v>0</v>
      </c>
      <c r="T76" s="211"/>
      <c r="U76" s="203" t="e">
        <f>T76/U$55</f>
        <v>#DIV/0!</v>
      </c>
      <c r="V76" s="195"/>
      <c r="W76" s="205">
        <f t="shared" si="19"/>
        <v>0</v>
      </c>
      <c r="X76" s="206" t="e">
        <f t="shared" si="19"/>
        <v>#DIV/0!</v>
      </c>
    </row>
    <row r="77" spans="1:24" s="1" customFormat="1" ht="15" customHeight="1" thickBot="1" x14ac:dyDescent="0.25">
      <c r="A77" s="212" t="s">
        <v>66</v>
      </c>
      <c r="B77" s="163">
        <v>0</v>
      </c>
      <c r="C77" s="214">
        <f>B77/C$55</f>
        <v>0</v>
      </c>
      <c r="D77" s="159">
        <v>0</v>
      </c>
      <c r="E77" s="215">
        <f>D77/E$55</f>
        <v>0</v>
      </c>
      <c r="F77" s="163">
        <v>0</v>
      </c>
      <c r="G77" s="215">
        <f>F77/G$55</f>
        <v>0</v>
      </c>
      <c r="H77" s="163">
        <v>0</v>
      </c>
      <c r="I77" s="215">
        <f>H77/I$55</f>
        <v>0</v>
      </c>
      <c r="J77" s="163">
        <f>0</f>
        <v>0</v>
      </c>
      <c r="K77" s="215">
        <f>J77/K$55</f>
        <v>0</v>
      </c>
      <c r="L77" s="163">
        <v>0</v>
      </c>
      <c r="M77" s="215">
        <f>L77/M$55</f>
        <v>0</v>
      </c>
      <c r="N77" s="163">
        <v>0</v>
      </c>
      <c r="O77" s="215">
        <f>N77/O$55</f>
        <v>0</v>
      </c>
      <c r="P77" s="163">
        <v>0</v>
      </c>
      <c r="Q77" s="215">
        <f>P77/Q$55</f>
        <v>0</v>
      </c>
      <c r="R77" s="163">
        <v>0</v>
      </c>
      <c r="S77" s="215">
        <f>R77/S$55</f>
        <v>0</v>
      </c>
      <c r="T77" s="217"/>
      <c r="U77" s="218" t="e">
        <f>T77/U$55</f>
        <v>#DIV/0!</v>
      </c>
      <c r="V77" s="195"/>
      <c r="W77" s="219">
        <f t="shared" si="19"/>
        <v>0</v>
      </c>
      <c r="X77" s="220" t="e">
        <f t="shared" si="19"/>
        <v>#DIV/0!</v>
      </c>
    </row>
    <row r="78" spans="1:24" ht="15" customHeight="1" thickTop="1" x14ac:dyDescent="0.2">
      <c r="A78" s="743" t="s">
        <v>248</v>
      </c>
    </row>
    <row r="79" spans="1:24" ht="15" customHeight="1" x14ac:dyDescent="0.2">
      <c r="A79" s="1"/>
      <c r="H79" s="65" t="s">
        <v>19</v>
      </c>
      <c r="J79" s="65" t="s">
        <v>19</v>
      </c>
      <c r="L79" s="65" t="s">
        <v>19</v>
      </c>
      <c r="N79" s="65" t="s">
        <v>19</v>
      </c>
      <c r="P79" s="65" t="s">
        <v>19</v>
      </c>
      <c r="R79" s="65" t="s">
        <v>19</v>
      </c>
      <c r="T79" s="65"/>
    </row>
    <row r="80" spans="1:24" ht="15" customHeight="1" x14ac:dyDescent="0.2">
      <c r="A80" s="1"/>
    </row>
    <row r="81" spans="1:1" ht="15" customHeight="1" x14ac:dyDescent="0.2">
      <c r="A81" s="1"/>
    </row>
    <row r="82" spans="1:1" ht="15" customHeight="1" x14ac:dyDescent="0.2">
      <c r="A82" s="1"/>
    </row>
    <row r="83" spans="1:1" ht="15" customHeight="1" x14ac:dyDescent="0.2">
      <c r="A83" s="1"/>
    </row>
    <row r="84" spans="1:1" ht="15" customHeight="1" x14ac:dyDescent="0.2">
      <c r="A84" s="1"/>
    </row>
    <row r="85" spans="1:1" ht="15" customHeight="1" x14ac:dyDescent="0.2">
      <c r="A85" s="1"/>
    </row>
    <row r="86" spans="1:1" ht="15" customHeight="1" x14ac:dyDescent="0.2">
      <c r="A86" s="1"/>
    </row>
    <row r="87" spans="1:1" x14ac:dyDescent="0.2">
      <c r="A87" s="1"/>
    </row>
    <row r="88" spans="1:1" x14ac:dyDescent="0.2">
      <c r="A88" s="1"/>
    </row>
    <row r="89" spans="1:1" x14ac:dyDescent="0.2">
      <c r="A89" s="1"/>
    </row>
    <row r="90" spans="1:1" x14ac:dyDescent="0.2">
      <c r="A90" s="1"/>
    </row>
    <row r="91" spans="1:1" x14ac:dyDescent="0.2">
      <c r="A91" s="1"/>
    </row>
    <row r="92" spans="1:1" x14ac:dyDescent="0.2">
      <c r="A92" s="1"/>
    </row>
    <row r="93" spans="1:1" x14ac:dyDescent="0.2">
      <c r="A93" s="1"/>
    </row>
    <row r="94" spans="1:1" x14ac:dyDescent="0.2">
      <c r="A94" s="1"/>
    </row>
    <row r="95" spans="1:1" x14ac:dyDescent="0.2">
      <c r="A95" s="1"/>
    </row>
    <row r="96" spans="1:1" x14ac:dyDescent="0.2">
      <c r="A96" s="1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x14ac:dyDescent="0.2">
      <c r="A100" s="1"/>
    </row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x14ac:dyDescent="0.2">
      <c r="A107" s="1"/>
    </row>
    <row r="108" spans="1:1" x14ac:dyDescent="0.2">
      <c r="A108" s="1"/>
    </row>
    <row r="109" spans="1:1" x14ac:dyDescent="0.2">
      <c r="A109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x14ac:dyDescent="0.2">
      <c r="A120" s="1"/>
    </row>
    <row r="121" spans="1:1" x14ac:dyDescent="0.2">
      <c r="A121" s="1"/>
    </row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x14ac:dyDescent="0.2">
      <c r="A128" s="1"/>
    </row>
    <row r="129" spans="1:1" x14ac:dyDescent="0.2">
      <c r="A129" s="1"/>
    </row>
    <row r="130" spans="1:1" x14ac:dyDescent="0.2">
      <c r="A130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x14ac:dyDescent="0.2">
      <c r="A152" s="1"/>
    </row>
    <row r="153" spans="1:1" x14ac:dyDescent="0.2">
      <c r="A153" s="1"/>
    </row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  <row r="177" spans="1:1" x14ac:dyDescent="0.2">
      <c r="A177" s="1"/>
    </row>
    <row r="178" spans="1:1" x14ac:dyDescent="0.2">
      <c r="A178" s="1"/>
    </row>
    <row r="179" spans="1:1" x14ac:dyDescent="0.2">
      <c r="A179" s="1"/>
    </row>
    <row r="180" spans="1:1" x14ac:dyDescent="0.2">
      <c r="A180" s="1"/>
    </row>
    <row r="181" spans="1:1" x14ac:dyDescent="0.2">
      <c r="A181" s="1"/>
    </row>
    <row r="182" spans="1:1" x14ac:dyDescent="0.2">
      <c r="A182" s="1"/>
    </row>
    <row r="183" spans="1:1" x14ac:dyDescent="0.2">
      <c r="A183" s="1"/>
    </row>
    <row r="184" spans="1:1" x14ac:dyDescent="0.2">
      <c r="A184" s="1"/>
    </row>
    <row r="185" spans="1:1" x14ac:dyDescent="0.2">
      <c r="A185" s="1"/>
    </row>
    <row r="186" spans="1:1" x14ac:dyDescent="0.2">
      <c r="A186" s="1"/>
    </row>
    <row r="187" spans="1:1" x14ac:dyDescent="0.2">
      <c r="A187" s="1"/>
    </row>
    <row r="188" spans="1:1" x14ac:dyDescent="0.2">
      <c r="A188" s="1"/>
    </row>
    <row r="189" spans="1:1" x14ac:dyDescent="0.2">
      <c r="A189" s="1"/>
    </row>
    <row r="190" spans="1:1" x14ac:dyDescent="0.2">
      <c r="A190" s="1"/>
    </row>
    <row r="191" spans="1:1" x14ac:dyDescent="0.2">
      <c r="A191" s="1"/>
    </row>
    <row r="192" spans="1:1" x14ac:dyDescent="0.2">
      <c r="A192" s="1"/>
    </row>
    <row r="193" spans="1:1" x14ac:dyDescent="0.2">
      <c r="A193" s="1"/>
    </row>
    <row r="194" spans="1:1" x14ac:dyDescent="0.2">
      <c r="A194" s="1"/>
    </row>
    <row r="195" spans="1:1" x14ac:dyDescent="0.2">
      <c r="A195" s="1"/>
    </row>
    <row r="196" spans="1:1" x14ac:dyDescent="0.2">
      <c r="A196" s="1"/>
    </row>
    <row r="197" spans="1:1" x14ac:dyDescent="0.2">
      <c r="A197" s="1"/>
    </row>
    <row r="198" spans="1:1" x14ac:dyDescent="0.2">
      <c r="A198" s="1"/>
    </row>
    <row r="199" spans="1:1" x14ac:dyDescent="0.2">
      <c r="A199" s="1"/>
    </row>
    <row r="200" spans="1:1" x14ac:dyDescent="0.2">
      <c r="A200" s="1"/>
    </row>
    <row r="201" spans="1:1" x14ac:dyDescent="0.2">
      <c r="A201" s="1"/>
    </row>
    <row r="202" spans="1:1" x14ac:dyDescent="0.2">
      <c r="A202" s="1"/>
    </row>
    <row r="203" spans="1:1" x14ac:dyDescent="0.2">
      <c r="A203" s="1"/>
    </row>
    <row r="204" spans="1:1" x14ac:dyDescent="0.2">
      <c r="A204" s="1"/>
    </row>
    <row r="205" spans="1:1" x14ac:dyDescent="0.2">
      <c r="A205" s="1"/>
    </row>
    <row r="206" spans="1:1" x14ac:dyDescent="0.2">
      <c r="A206" s="1"/>
    </row>
    <row r="207" spans="1:1" x14ac:dyDescent="0.2">
      <c r="A207" s="1"/>
    </row>
    <row r="208" spans="1:1" x14ac:dyDescent="0.2">
      <c r="A208" s="1"/>
    </row>
    <row r="209" spans="1:1" x14ac:dyDescent="0.2">
      <c r="A209" s="1"/>
    </row>
    <row r="210" spans="1:1" x14ac:dyDescent="0.2">
      <c r="A210" s="1"/>
    </row>
    <row r="211" spans="1:1" x14ac:dyDescent="0.2">
      <c r="A211" s="1"/>
    </row>
    <row r="212" spans="1:1" x14ac:dyDescent="0.2">
      <c r="A212" s="1"/>
    </row>
    <row r="213" spans="1:1" x14ac:dyDescent="0.2">
      <c r="A213" s="1"/>
    </row>
    <row r="214" spans="1:1" x14ac:dyDescent="0.2">
      <c r="A214" s="1"/>
    </row>
    <row r="215" spans="1:1" x14ac:dyDescent="0.2">
      <c r="A215" s="1"/>
    </row>
    <row r="216" spans="1:1" x14ac:dyDescent="0.2">
      <c r="A216" s="1"/>
    </row>
    <row r="217" spans="1:1" x14ac:dyDescent="0.2">
      <c r="A217" s="1"/>
    </row>
    <row r="218" spans="1:1" x14ac:dyDescent="0.2">
      <c r="A218" s="1"/>
    </row>
    <row r="219" spans="1:1" x14ac:dyDescent="0.2">
      <c r="A219" s="1"/>
    </row>
    <row r="220" spans="1:1" x14ac:dyDescent="0.2">
      <c r="A220" s="1"/>
    </row>
    <row r="221" spans="1:1" x14ac:dyDescent="0.2">
      <c r="A221" s="1"/>
    </row>
    <row r="222" spans="1:1" x14ac:dyDescent="0.2">
      <c r="A222" s="1"/>
    </row>
    <row r="223" spans="1:1" x14ac:dyDescent="0.2">
      <c r="A223" s="1"/>
    </row>
    <row r="224" spans="1:1" x14ac:dyDescent="0.2">
      <c r="A224" s="1"/>
    </row>
    <row r="225" spans="1:1" x14ac:dyDescent="0.2">
      <c r="A225" s="1"/>
    </row>
    <row r="226" spans="1:1" x14ac:dyDescent="0.2">
      <c r="A226" s="1"/>
    </row>
    <row r="227" spans="1:1" x14ac:dyDescent="0.2">
      <c r="A227" s="1"/>
    </row>
    <row r="228" spans="1:1" x14ac:dyDescent="0.2">
      <c r="A228" s="1"/>
    </row>
    <row r="229" spans="1:1" x14ac:dyDescent="0.2">
      <c r="A229" s="1"/>
    </row>
    <row r="230" spans="1:1" x14ac:dyDescent="0.2">
      <c r="A230" s="1"/>
    </row>
    <row r="231" spans="1:1" x14ac:dyDescent="0.2">
      <c r="A231" s="1"/>
    </row>
    <row r="232" spans="1:1" x14ac:dyDescent="0.2">
      <c r="A232" s="1"/>
    </row>
    <row r="233" spans="1:1" x14ac:dyDescent="0.2">
      <c r="A233" s="1"/>
    </row>
    <row r="234" spans="1:1" x14ac:dyDescent="0.2">
      <c r="A234" s="1"/>
    </row>
    <row r="235" spans="1:1" x14ac:dyDescent="0.2">
      <c r="A235" s="1"/>
    </row>
    <row r="236" spans="1:1" x14ac:dyDescent="0.2">
      <c r="A236" s="1"/>
    </row>
    <row r="237" spans="1:1" x14ac:dyDescent="0.2">
      <c r="A237" s="1"/>
    </row>
    <row r="238" spans="1:1" x14ac:dyDescent="0.2">
      <c r="A238" s="1"/>
    </row>
    <row r="239" spans="1:1" x14ac:dyDescent="0.2">
      <c r="A239" s="1"/>
    </row>
    <row r="240" spans="1:1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6" spans="1:1" x14ac:dyDescent="0.2">
      <c r="A296" s="1"/>
    </row>
    <row r="297" spans="1:1" x14ac:dyDescent="0.2">
      <c r="A297" s="1"/>
    </row>
    <row r="298" spans="1:1" x14ac:dyDescent="0.2">
      <c r="A298" s="1"/>
    </row>
    <row r="299" spans="1:1" x14ac:dyDescent="0.2">
      <c r="A299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  <row r="303" spans="1:1" x14ac:dyDescent="0.2">
      <c r="A303" s="1"/>
    </row>
    <row r="304" spans="1:1" x14ac:dyDescent="0.2">
      <c r="A304" s="1"/>
    </row>
    <row r="305" spans="1:1" x14ac:dyDescent="0.2">
      <c r="A305" s="1"/>
    </row>
    <row r="306" spans="1:1" x14ac:dyDescent="0.2">
      <c r="A306" s="1"/>
    </row>
    <row r="307" spans="1:1" x14ac:dyDescent="0.2">
      <c r="A307" s="1"/>
    </row>
    <row r="308" spans="1:1" x14ac:dyDescent="0.2">
      <c r="A308" s="1"/>
    </row>
    <row r="309" spans="1:1" x14ac:dyDescent="0.2">
      <c r="A309" s="1"/>
    </row>
    <row r="310" spans="1:1" x14ac:dyDescent="0.2">
      <c r="A310" s="1"/>
    </row>
    <row r="311" spans="1:1" x14ac:dyDescent="0.2">
      <c r="A311" s="1"/>
    </row>
    <row r="312" spans="1:1" x14ac:dyDescent="0.2">
      <c r="A312" s="1"/>
    </row>
    <row r="313" spans="1:1" x14ac:dyDescent="0.2">
      <c r="A313" s="1"/>
    </row>
    <row r="314" spans="1:1" x14ac:dyDescent="0.2">
      <c r="A314" s="1"/>
    </row>
    <row r="315" spans="1:1" x14ac:dyDescent="0.2">
      <c r="A315" s="1"/>
    </row>
    <row r="316" spans="1:1" x14ac:dyDescent="0.2">
      <c r="A316" s="1"/>
    </row>
    <row r="317" spans="1:1" x14ac:dyDescent="0.2">
      <c r="A317" s="1"/>
    </row>
    <row r="318" spans="1:1" x14ac:dyDescent="0.2">
      <c r="A318" s="1"/>
    </row>
    <row r="319" spans="1:1" x14ac:dyDescent="0.2">
      <c r="A319" s="1"/>
    </row>
    <row r="320" spans="1:1" x14ac:dyDescent="0.2">
      <c r="A320" s="1"/>
    </row>
    <row r="321" spans="1:1" x14ac:dyDescent="0.2">
      <c r="A321" s="1"/>
    </row>
    <row r="322" spans="1:1" x14ac:dyDescent="0.2">
      <c r="A322" s="1"/>
    </row>
    <row r="323" spans="1:1" x14ac:dyDescent="0.2">
      <c r="A323" s="1"/>
    </row>
    <row r="324" spans="1:1" x14ac:dyDescent="0.2">
      <c r="A324" s="1"/>
    </row>
    <row r="325" spans="1:1" x14ac:dyDescent="0.2">
      <c r="A325" s="1"/>
    </row>
    <row r="326" spans="1:1" x14ac:dyDescent="0.2">
      <c r="A326" s="1"/>
    </row>
    <row r="327" spans="1:1" x14ac:dyDescent="0.2">
      <c r="A327" s="1"/>
    </row>
    <row r="328" spans="1:1" x14ac:dyDescent="0.2">
      <c r="A328" s="1"/>
    </row>
    <row r="329" spans="1:1" x14ac:dyDescent="0.2">
      <c r="A329" s="1"/>
    </row>
    <row r="330" spans="1:1" x14ac:dyDescent="0.2">
      <c r="A330" s="1"/>
    </row>
    <row r="331" spans="1:1" x14ac:dyDescent="0.2">
      <c r="A331" s="1"/>
    </row>
    <row r="332" spans="1:1" x14ac:dyDescent="0.2">
      <c r="A332" s="1"/>
    </row>
    <row r="333" spans="1:1" x14ac:dyDescent="0.2">
      <c r="A333" s="1"/>
    </row>
    <row r="334" spans="1:1" x14ac:dyDescent="0.2">
      <c r="A334" s="1"/>
    </row>
    <row r="335" spans="1:1" x14ac:dyDescent="0.2">
      <c r="A335" s="1"/>
    </row>
    <row r="336" spans="1:1" x14ac:dyDescent="0.2">
      <c r="A336" s="1"/>
    </row>
    <row r="337" spans="1:1" x14ac:dyDescent="0.2">
      <c r="A337" s="1"/>
    </row>
    <row r="338" spans="1:1" x14ac:dyDescent="0.2">
      <c r="A338" s="1"/>
    </row>
    <row r="339" spans="1:1" x14ac:dyDescent="0.2">
      <c r="A339" s="1"/>
    </row>
    <row r="340" spans="1:1" x14ac:dyDescent="0.2">
      <c r="A340" s="1"/>
    </row>
    <row r="341" spans="1:1" x14ac:dyDescent="0.2">
      <c r="A341" s="1"/>
    </row>
    <row r="342" spans="1:1" x14ac:dyDescent="0.2">
      <c r="A342" s="1"/>
    </row>
    <row r="343" spans="1:1" x14ac:dyDescent="0.2">
      <c r="A343" s="1"/>
    </row>
    <row r="344" spans="1:1" x14ac:dyDescent="0.2">
      <c r="A344" s="1"/>
    </row>
    <row r="345" spans="1:1" x14ac:dyDescent="0.2">
      <c r="A345" s="1"/>
    </row>
    <row r="346" spans="1:1" x14ac:dyDescent="0.2">
      <c r="A346" s="1"/>
    </row>
    <row r="347" spans="1:1" x14ac:dyDescent="0.2">
      <c r="A347" s="1"/>
    </row>
    <row r="348" spans="1:1" x14ac:dyDescent="0.2">
      <c r="A348" s="1"/>
    </row>
    <row r="349" spans="1:1" x14ac:dyDescent="0.2">
      <c r="A349" s="1"/>
    </row>
    <row r="350" spans="1:1" x14ac:dyDescent="0.2">
      <c r="A350" s="1"/>
    </row>
    <row r="351" spans="1:1" x14ac:dyDescent="0.2">
      <c r="A351" s="1"/>
    </row>
    <row r="352" spans="1:1" x14ac:dyDescent="0.2">
      <c r="A352" s="1"/>
    </row>
    <row r="353" spans="1:1" x14ac:dyDescent="0.2">
      <c r="A353" s="1"/>
    </row>
    <row r="354" spans="1:1" x14ac:dyDescent="0.2">
      <c r="A354" s="1"/>
    </row>
    <row r="355" spans="1:1" x14ac:dyDescent="0.2">
      <c r="A355" s="1"/>
    </row>
    <row r="356" spans="1:1" x14ac:dyDescent="0.2">
      <c r="A356" s="1"/>
    </row>
    <row r="357" spans="1:1" x14ac:dyDescent="0.2">
      <c r="A357" s="1"/>
    </row>
    <row r="358" spans="1:1" x14ac:dyDescent="0.2">
      <c r="A358" s="1"/>
    </row>
    <row r="359" spans="1:1" x14ac:dyDescent="0.2">
      <c r="A359" s="1"/>
    </row>
    <row r="360" spans="1:1" x14ac:dyDescent="0.2">
      <c r="A360" s="1"/>
    </row>
    <row r="361" spans="1:1" x14ac:dyDescent="0.2">
      <c r="A361" s="1"/>
    </row>
    <row r="362" spans="1:1" x14ac:dyDescent="0.2">
      <c r="A362" s="1"/>
    </row>
    <row r="363" spans="1:1" x14ac:dyDescent="0.2">
      <c r="A363" s="1"/>
    </row>
    <row r="364" spans="1:1" x14ac:dyDescent="0.2">
      <c r="A364" s="1"/>
    </row>
    <row r="365" spans="1:1" x14ac:dyDescent="0.2">
      <c r="A365" s="1"/>
    </row>
    <row r="366" spans="1:1" x14ac:dyDescent="0.2">
      <c r="A366" s="1"/>
    </row>
    <row r="367" spans="1:1" x14ac:dyDescent="0.2">
      <c r="A367" s="1"/>
    </row>
    <row r="368" spans="1:1" x14ac:dyDescent="0.2">
      <c r="A368" s="1"/>
    </row>
    <row r="369" spans="1:1" x14ac:dyDescent="0.2">
      <c r="A369" s="1"/>
    </row>
    <row r="370" spans="1:1" x14ac:dyDescent="0.2">
      <c r="A370" s="1"/>
    </row>
    <row r="371" spans="1:1" x14ac:dyDescent="0.2">
      <c r="A371" s="1"/>
    </row>
    <row r="372" spans="1:1" x14ac:dyDescent="0.2">
      <c r="A372" s="1"/>
    </row>
    <row r="373" spans="1:1" x14ac:dyDescent="0.2">
      <c r="A373" s="1"/>
    </row>
    <row r="374" spans="1:1" x14ac:dyDescent="0.2">
      <c r="A374" s="1"/>
    </row>
    <row r="375" spans="1:1" x14ac:dyDescent="0.2">
      <c r="A375" s="1"/>
    </row>
    <row r="376" spans="1:1" x14ac:dyDescent="0.2">
      <c r="A376" s="1"/>
    </row>
    <row r="377" spans="1:1" x14ac:dyDescent="0.2">
      <c r="A377" s="1"/>
    </row>
    <row r="378" spans="1:1" x14ac:dyDescent="0.2">
      <c r="A378" s="1"/>
    </row>
    <row r="379" spans="1:1" x14ac:dyDescent="0.2">
      <c r="A379" s="1"/>
    </row>
    <row r="380" spans="1:1" x14ac:dyDescent="0.2">
      <c r="A380" s="1"/>
    </row>
    <row r="381" spans="1:1" x14ac:dyDescent="0.2">
      <c r="A381" s="1"/>
    </row>
    <row r="382" spans="1:1" x14ac:dyDescent="0.2">
      <c r="A382" s="1"/>
    </row>
    <row r="383" spans="1:1" x14ac:dyDescent="0.2">
      <c r="A383" s="1"/>
    </row>
    <row r="384" spans="1:1" x14ac:dyDescent="0.2">
      <c r="A384" s="1"/>
    </row>
    <row r="385" spans="1:1" x14ac:dyDescent="0.2">
      <c r="A385" s="1"/>
    </row>
    <row r="386" spans="1:1" x14ac:dyDescent="0.2">
      <c r="A386" s="1"/>
    </row>
    <row r="387" spans="1:1" x14ac:dyDescent="0.2">
      <c r="A387" s="1"/>
    </row>
    <row r="388" spans="1:1" x14ac:dyDescent="0.2">
      <c r="A388" s="1"/>
    </row>
    <row r="389" spans="1:1" x14ac:dyDescent="0.2">
      <c r="A389" s="1"/>
    </row>
    <row r="390" spans="1:1" x14ac:dyDescent="0.2">
      <c r="A390" s="1"/>
    </row>
    <row r="391" spans="1:1" x14ac:dyDescent="0.2">
      <c r="A391" s="1"/>
    </row>
    <row r="392" spans="1:1" x14ac:dyDescent="0.2">
      <c r="A392" s="1"/>
    </row>
    <row r="393" spans="1:1" x14ac:dyDescent="0.2">
      <c r="A393" s="1"/>
    </row>
    <row r="394" spans="1:1" x14ac:dyDescent="0.2">
      <c r="A394" s="1"/>
    </row>
    <row r="395" spans="1:1" x14ac:dyDescent="0.2">
      <c r="A395" s="1"/>
    </row>
    <row r="396" spans="1:1" x14ac:dyDescent="0.2">
      <c r="A396" s="1"/>
    </row>
    <row r="397" spans="1:1" x14ac:dyDescent="0.2">
      <c r="A397" s="1"/>
    </row>
    <row r="398" spans="1:1" x14ac:dyDescent="0.2">
      <c r="A398" s="1"/>
    </row>
    <row r="399" spans="1:1" x14ac:dyDescent="0.2">
      <c r="A399" s="1"/>
    </row>
    <row r="400" spans="1:1" x14ac:dyDescent="0.2">
      <c r="A400" s="1"/>
    </row>
    <row r="401" spans="1:1" x14ac:dyDescent="0.2">
      <c r="A401" s="1"/>
    </row>
    <row r="402" spans="1:1" x14ac:dyDescent="0.2">
      <c r="A402" s="1"/>
    </row>
    <row r="403" spans="1:1" x14ac:dyDescent="0.2">
      <c r="A403" s="1"/>
    </row>
    <row r="404" spans="1:1" x14ac:dyDescent="0.2">
      <c r="A404" s="1"/>
    </row>
    <row r="405" spans="1:1" x14ac:dyDescent="0.2">
      <c r="A405" s="1"/>
    </row>
    <row r="406" spans="1:1" x14ac:dyDescent="0.2">
      <c r="A406" s="1"/>
    </row>
    <row r="407" spans="1:1" x14ac:dyDescent="0.2">
      <c r="A407" s="1"/>
    </row>
    <row r="408" spans="1:1" x14ac:dyDescent="0.2">
      <c r="A408" s="1"/>
    </row>
    <row r="409" spans="1:1" x14ac:dyDescent="0.2">
      <c r="A409" s="1"/>
    </row>
    <row r="410" spans="1:1" x14ac:dyDescent="0.2">
      <c r="A410" s="1"/>
    </row>
    <row r="411" spans="1:1" x14ac:dyDescent="0.2">
      <c r="A411" s="1"/>
    </row>
    <row r="412" spans="1:1" x14ac:dyDescent="0.2">
      <c r="A412" s="1"/>
    </row>
    <row r="413" spans="1:1" x14ac:dyDescent="0.2">
      <c r="A413" s="1"/>
    </row>
    <row r="414" spans="1:1" x14ac:dyDescent="0.2">
      <c r="A414" s="1"/>
    </row>
    <row r="415" spans="1:1" x14ac:dyDescent="0.2">
      <c r="A415" s="1"/>
    </row>
    <row r="416" spans="1:1" x14ac:dyDescent="0.2">
      <c r="A416" s="1"/>
    </row>
    <row r="417" spans="1:1" x14ac:dyDescent="0.2">
      <c r="A417" s="1"/>
    </row>
    <row r="418" spans="1:1" x14ac:dyDescent="0.2">
      <c r="A418" s="1"/>
    </row>
    <row r="419" spans="1:1" x14ac:dyDescent="0.2">
      <c r="A419" s="1"/>
    </row>
    <row r="420" spans="1:1" x14ac:dyDescent="0.2">
      <c r="A420" s="1"/>
    </row>
    <row r="421" spans="1:1" x14ac:dyDescent="0.2">
      <c r="A421" s="1"/>
    </row>
    <row r="422" spans="1:1" x14ac:dyDescent="0.2">
      <c r="A422" s="1"/>
    </row>
    <row r="423" spans="1:1" x14ac:dyDescent="0.2">
      <c r="A423" s="1"/>
    </row>
    <row r="424" spans="1:1" x14ac:dyDescent="0.2">
      <c r="A424" s="1"/>
    </row>
  </sheetData>
  <mergeCells count="77">
    <mergeCell ref="W9:X9"/>
    <mergeCell ref="P9:Q9"/>
    <mergeCell ref="B9:C9"/>
    <mergeCell ref="D9:E9"/>
    <mergeCell ref="F9:G9"/>
    <mergeCell ref="H9:I9"/>
    <mergeCell ref="J9:K9"/>
    <mergeCell ref="T9:U9"/>
    <mergeCell ref="L20:M20"/>
    <mergeCell ref="N20:O20"/>
    <mergeCell ref="L9:M9"/>
    <mergeCell ref="N9:O9"/>
    <mergeCell ref="R9:S9"/>
    <mergeCell ref="B20:C20"/>
    <mergeCell ref="D20:E20"/>
    <mergeCell ref="F20:G20"/>
    <mergeCell ref="H20:I20"/>
    <mergeCell ref="J20:K20"/>
    <mergeCell ref="P25:Q25"/>
    <mergeCell ref="R25:S25"/>
    <mergeCell ref="W25:X25"/>
    <mergeCell ref="R20:S20"/>
    <mergeCell ref="W20:X20"/>
    <mergeCell ref="P20:Q20"/>
    <mergeCell ref="T20:U20"/>
    <mergeCell ref="T25:U25"/>
    <mergeCell ref="J25:K25"/>
    <mergeCell ref="L25:M25"/>
    <mergeCell ref="N25:O25"/>
    <mergeCell ref="B25:C25"/>
    <mergeCell ref="D25:E25"/>
    <mergeCell ref="F25:G25"/>
    <mergeCell ref="H25:I25"/>
    <mergeCell ref="B34:C34"/>
    <mergeCell ref="D34:E34"/>
    <mergeCell ref="F34:G34"/>
    <mergeCell ref="H34:I34"/>
    <mergeCell ref="P34:Q34"/>
    <mergeCell ref="J34:K34"/>
    <mergeCell ref="L34:M34"/>
    <mergeCell ref="N34:O34"/>
    <mergeCell ref="R27:S27"/>
    <mergeCell ref="W27:X27"/>
    <mergeCell ref="P27:Q27"/>
    <mergeCell ref="B27:C27"/>
    <mergeCell ref="D27:E27"/>
    <mergeCell ref="F27:G27"/>
    <mergeCell ref="H27:I27"/>
    <mergeCell ref="J27:K27"/>
    <mergeCell ref="L27:M27"/>
    <mergeCell ref="N27:O27"/>
    <mergeCell ref="T27:U27"/>
    <mergeCell ref="R34:S34"/>
    <mergeCell ref="W37:X37"/>
    <mergeCell ref="P37:Q37"/>
    <mergeCell ref="R37:S37"/>
    <mergeCell ref="J37:K37"/>
    <mergeCell ref="L37:M37"/>
    <mergeCell ref="N37:O37"/>
    <mergeCell ref="W34:X34"/>
    <mergeCell ref="T34:U34"/>
    <mergeCell ref="T37:U37"/>
    <mergeCell ref="P43:Q43"/>
    <mergeCell ref="R43:S43"/>
    <mergeCell ref="W43:X43"/>
    <mergeCell ref="B43:C43"/>
    <mergeCell ref="D43:E43"/>
    <mergeCell ref="F43:G43"/>
    <mergeCell ref="H43:I43"/>
    <mergeCell ref="J43:K43"/>
    <mergeCell ref="T43:U43"/>
    <mergeCell ref="B37:C37"/>
    <mergeCell ref="D37:E37"/>
    <mergeCell ref="F37:G37"/>
    <mergeCell ref="L43:M43"/>
    <mergeCell ref="N43:O43"/>
    <mergeCell ref="H37:I37"/>
  </mergeCells>
  <printOptions horizontalCentered="1"/>
  <pageMargins left="0.75" right="0.75" top="0.5" bottom="0.5" header="0.25" footer="0.25"/>
  <pageSetup scale="70" orientation="landscape" r:id="rId1"/>
  <headerFooter alignWithMargins="0">
    <oddFooter>&amp;LPrepared by Planning and Analysis&amp;C&amp;P of &amp;N&amp;RUpdated &amp;D</oddFooter>
  </headerFooter>
  <rowBreaks count="1" manualBreakCount="1">
    <brk id="41" max="21" man="1"/>
  </rowBreaks>
  <colBreaks count="1" manualBreakCount="1">
    <brk id="21" min="8" max="77" man="1"/>
  </colBreaks>
  <ignoredErrors>
    <ignoredError sqref="D58:J77 N58:O74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A422"/>
  <sheetViews>
    <sheetView view="pageBreakPreview" zoomScaleNormal="85" zoomScaleSheetLayoutView="100" workbookViewId="0">
      <pane xSplit="1" ySplit="1" topLeftCell="R2" activePane="bottomRight" state="frozen"/>
      <selection activeCell="T36" sqref="T36:U36"/>
      <selection pane="topRight" activeCell="T36" sqref="T36:U36"/>
      <selection pane="bottomLeft" activeCell="T36" sqref="T36:U36"/>
      <selection pane="bottomRight" activeCell="T36" sqref="T36:U36"/>
    </sheetView>
  </sheetViews>
  <sheetFormatPr defaultColWidth="10.28515625" defaultRowHeight="12.75" x14ac:dyDescent="0.2"/>
  <cols>
    <col min="1" max="1" width="33.5703125" customWidth="1"/>
    <col min="2" max="2" width="6.7109375" hidden="1" customWidth="1"/>
    <col min="3" max="3" width="10.7109375" hidden="1" customWidth="1"/>
    <col min="4" max="4" width="6.7109375" hidden="1" customWidth="1"/>
    <col min="5" max="5" width="10.7109375" hidden="1" customWidth="1"/>
    <col min="6" max="6" width="6.7109375" customWidth="1"/>
    <col min="7" max="7" width="10.7109375" customWidth="1"/>
    <col min="8" max="8" width="6.7109375" customWidth="1"/>
    <col min="9" max="9" width="10.7109375" customWidth="1"/>
    <col min="10" max="10" width="6.7109375" customWidth="1"/>
    <col min="11" max="11" width="10.7109375" customWidth="1"/>
    <col min="12" max="12" width="6.7109375" customWidth="1"/>
    <col min="13" max="13" width="10.7109375" customWidth="1"/>
    <col min="14" max="14" width="6.7109375" customWidth="1"/>
    <col min="15" max="15" width="10.7109375" customWidth="1"/>
    <col min="16" max="16" width="6.7109375" customWidth="1"/>
    <col min="17" max="17" width="10.7109375" customWidth="1"/>
    <col min="18" max="18" width="6.7109375" customWidth="1"/>
    <col min="19" max="19" width="10.7109375" customWidth="1"/>
    <col min="20" max="20" width="6.7109375" customWidth="1"/>
    <col min="21" max="21" width="10.7109375" customWidth="1"/>
    <col min="22" max="22" width="3.28515625" customWidth="1"/>
    <col min="23" max="23" width="6.7109375" customWidth="1"/>
    <col min="24" max="24" width="10.7109375" customWidth="1"/>
    <col min="25" max="25" width="1.5703125" customWidth="1"/>
  </cols>
  <sheetData>
    <row r="1" spans="1:26" ht="15.75" x14ac:dyDescent="0.25">
      <c r="A1" s="667" t="s">
        <v>240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</row>
    <row r="2" spans="1:26" ht="15.75" x14ac:dyDescent="0.25">
      <c r="A2" s="667" t="s">
        <v>241</v>
      </c>
    </row>
    <row r="3" spans="1:26" ht="15.75" x14ac:dyDescent="0.25">
      <c r="A3" s="667"/>
    </row>
    <row r="4" spans="1:26" ht="15.75" x14ac:dyDescent="0.25">
      <c r="A4" s="668" t="s">
        <v>261</v>
      </c>
    </row>
    <row r="5" spans="1:26" ht="15.75" x14ac:dyDescent="0.25">
      <c r="A5" s="668"/>
    </row>
    <row r="6" spans="1:26" x14ac:dyDescent="0.2">
      <c r="A6" s="3" t="s">
        <v>278</v>
      </c>
      <c r="S6" s="65" t="s">
        <v>19</v>
      </c>
    </row>
    <row r="7" spans="1:26" x14ac:dyDescent="0.2">
      <c r="A7" s="720">
        <v>3670020100</v>
      </c>
    </row>
    <row r="8" spans="1:26" ht="13.5" thickBot="1" x14ac:dyDescent="0.25">
      <c r="A8" s="1"/>
    </row>
    <row r="9" spans="1:26" ht="15" customHeight="1" thickTop="1" thickBot="1" x14ac:dyDescent="0.25">
      <c r="A9" s="341"/>
      <c r="B9" s="1412" t="s">
        <v>0</v>
      </c>
      <c r="C9" s="1413"/>
      <c r="D9" s="1412" t="s">
        <v>1</v>
      </c>
      <c r="E9" s="1413"/>
      <c r="F9" s="1412" t="s">
        <v>2</v>
      </c>
      <c r="G9" s="1413"/>
      <c r="H9" s="1412" t="s">
        <v>3</v>
      </c>
      <c r="I9" s="1413"/>
      <c r="J9" s="1412" t="s">
        <v>4</v>
      </c>
      <c r="K9" s="1413"/>
      <c r="L9" s="1412" t="s">
        <v>5</v>
      </c>
      <c r="M9" s="1413"/>
      <c r="N9" s="1412" t="s">
        <v>6</v>
      </c>
      <c r="O9" s="1413"/>
      <c r="P9" s="1412" t="s">
        <v>7</v>
      </c>
      <c r="Q9" s="1413"/>
      <c r="R9" s="1412" t="s">
        <v>8</v>
      </c>
      <c r="S9" s="1413"/>
      <c r="T9" s="1401" t="s">
        <v>301</v>
      </c>
      <c r="U9" s="1402"/>
      <c r="V9" s="226"/>
      <c r="W9" s="1382" t="s">
        <v>9</v>
      </c>
      <c r="X9" s="1383"/>
    </row>
    <row r="10" spans="1:26" ht="15" customHeight="1" x14ac:dyDescent="0.2">
      <c r="A10" s="342"/>
      <c r="B10" s="68" t="s">
        <v>287</v>
      </c>
      <c r="C10" s="8" t="s">
        <v>10</v>
      </c>
      <c r="D10" s="68" t="s">
        <v>287</v>
      </c>
      <c r="E10" s="8" t="s">
        <v>10</v>
      </c>
      <c r="F10" s="68" t="s">
        <v>287</v>
      </c>
      <c r="G10" s="8" t="s">
        <v>10</v>
      </c>
      <c r="H10" s="68" t="s">
        <v>287</v>
      </c>
      <c r="I10" s="8" t="s">
        <v>10</v>
      </c>
      <c r="J10" s="68" t="s">
        <v>287</v>
      </c>
      <c r="K10" s="8" t="s">
        <v>10</v>
      </c>
      <c r="L10" s="68" t="s">
        <v>287</v>
      </c>
      <c r="M10" s="8" t="s">
        <v>10</v>
      </c>
      <c r="N10" s="68" t="s">
        <v>287</v>
      </c>
      <c r="O10" s="8" t="s">
        <v>10</v>
      </c>
      <c r="P10" s="68" t="s">
        <v>287</v>
      </c>
      <c r="Q10" s="8" t="s">
        <v>10</v>
      </c>
      <c r="R10" s="68" t="s">
        <v>287</v>
      </c>
      <c r="S10" s="8" t="s">
        <v>10</v>
      </c>
      <c r="T10" s="68" t="s">
        <v>287</v>
      </c>
      <c r="U10" s="97" t="s">
        <v>10</v>
      </c>
      <c r="V10" s="226"/>
      <c r="W10" s="6" t="s">
        <v>287</v>
      </c>
      <c r="X10" s="7" t="s">
        <v>11</v>
      </c>
    </row>
    <row r="11" spans="1:26" ht="15" customHeight="1" thickBot="1" x14ac:dyDescent="0.25">
      <c r="A11" s="343" t="s">
        <v>77</v>
      </c>
      <c r="B11" s="69" t="s">
        <v>12</v>
      </c>
      <c r="C11" s="922" t="s">
        <v>13</v>
      </c>
      <c r="D11" s="69" t="s">
        <v>12</v>
      </c>
      <c r="E11" s="922" t="s">
        <v>13</v>
      </c>
      <c r="F11" s="69" t="s">
        <v>12</v>
      </c>
      <c r="G11" s="922" t="s">
        <v>13</v>
      </c>
      <c r="H11" s="69" t="s">
        <v>12</v>
      </c>
      <c r="I11" s="922" t="s">
        <v>13</v>
      </c>
      <c r="J11" s="69" t="s">
        <v>12</v>
      </c>
      <c r="K11" s="922" t="s">
        <v>13</v>
      </c>
      <c r="L11" s="69" t="s">
        <v>12</v>
      </c>
      <c r="M11" s="922" t="s">
        <v>13</v>
      </c>
      <c r="N11" s="69" t="s">
        <v>12</v>
      </c>
      <c r="O11" s="922" t="s">
        <v>13</v>
      </c>
      <c r="P11" s="69" t="s">
        <v>12</v>
      </c>
      <c r="Q11" s="922" t="s">
        <v>13</v>
      </c>
      <c r="R11" s="69" t="s">
        <v>12</v>
      </c>
      <c r="S11" s="922" t="s">
        <v>13</v>
      </c>
      <c r="T11" s="69" t="s">
        <v>12</v>
      </c>
      <c r="U11" s="10" t="s">
        <v>13</v>
      </c>
      <c r="V11" s="226"/>
      <c r="W11" s="9" t="s">
        <v>12</v>
      </c>
      <c r="X11" s="10" t="s">
        <v>13</v>
      </c>
    </row>
    <row r="12" spans="1:26" ht="15" customHeight="1" x14ac:dyDescent="0.2">
      <c r="A12" s="397" t="s">
        <v>14</v>
      </c>
      <c r="B12" s="258"/>
      <c r="C12" s="259"/>
      <c r="D12" s="11"/>
      <c r="E12" s="12"/>
      <c r="F12" s="13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5"/>
      <c r="V12" s="226"/>
      <c r="W12" s="347"/>
      <c r="X12" s="348"/>
    </row>
    <row r="13" spans="1:26" s="23" customFormat="1" ht="15" customHeight="1" x14ac:dyDescent="0.2">
      <c r="A13" s="349" t="s">
        <v>15</v>
      </c>
      <c r="B13" s="153">
        <v>54</v>
      </c>
      <c r="C13" s="262"/>
      <c r="D13" s="350">
        <v>60</v>
      </c>
      <c r="E13" s="264"/>
      <c r="F13" s="153">
        <v>66</v>
      </c>
      <c r="G13" s="264"/>
      <c r="H13" s="153">
        <v>75</v>
      </c>
      <c r="I13" s="264"/>
      <c r="J13" s="153">
        <v>74</v>
      </c>
      <c r="K13" s="264"/>
      <c r="L13" s="153">
        <v>66</v>
      </c>
      <c r="M13" s="264"/>
      <c r="N13" s="153">
        <v>60</v>
      </c>
      <c r="O13" s="264"/>
      <c r="P13" s="153">
        <v>41</v>
      </c>
      <c r="Q13" s="264"/>
      <c r="R13" s="153">
        <f>29+31+3</f>
        <v>63</v>
      </c>
      <c r="S13" s="264"/>
      <c r="T13" s="153">
        <v>46</v>
      </c>
      <c r="U13" s="266"/>
      <c r="V13" s="352"/>
      <c r="W13" s="347">
        <f t="shared" ref="W13:W18" si="0">AVERAGE(N13,L13,R13,T13,P13)</f>
        <v>55.2</v>
      </c>
      <c r="X13" s="348"/>
    </row>
    <row r="14" spans="1:26" s="23" customFormat="1" ht="15" customHeight="1" thickBot="1" x14ac:dyDescent="0.25">
      <c r="A14" s="353" t="s">
        <v>16</v>
      </c>
      <c r="B14" s="354">
        <v>138</v>
      </c>
      <c r="C14" s="263"/>
      <c r="D14" s="355">
        <v>117</v>
      </c>
      <c r="E14" s="265"/>
      <c r="F14" s="354">
        <v>99</v>
      </c>
      <c r="G14" s="265"/>
      <c r="H14" s="354">
        <v>115</v>
      </c>
      <c r="I14" s="265"/>
      <c r="J14" s="354">
        <v>103</v>
      </c>
      <c r="K14" s="265"/>
      <c r="L14" s="354">
        <v>83</v>
      </c>
      <c r="M14" s="265"/>
      <c r="N14" s="354">
        <v>99</v>
      </c>
      <c r="O14" s="265"/>
      <c r="P14" s="354">
        <v>99</v>
      </c>
      <c r="Q14" s="265"/>
      <c r="R14" s="354">
        <f>24+61</f>
        <v>85</v>
      </c>
      <c r="S14" s="265"/>
      <c r="T14" s="354">
        <v>79</v>
      </c>
      <c r="U14" s="267"/>
      <c r="V14" s="352"/>
      <c r="W14" s="347">
        <f t="shared" si="0"/>
        <v>89</v>
      </c>
      <c r="X14" s="394"/>
    </row>
    <row r="15" spans="1:26" s="73" customFormat="1" ht="15" customHeight="1" thickBot="1" x14ac:dyDescent="0.25">
      <c r="A15" s="357" t="s">
        <v>17</v>
      </c>
      <c r="B15" s="358">
        <f t="shared" ref="B15:R15" si="1">SUM(B13:B14)</f>
        <v>192</v>
      </c>
      <c r="C15" s="359">
        <v>42</v>
      </c>
      <c r="D15" s="358">
        <f t="shared" si="1"/>
        <v>177</v>
      </c>
      <c r="E15" s="359">
        <v>57</v>
      </c>
      <c r="F15" s="358">
        <f t="shared" si="1"/>
        <v>165</v>
      </c>
      <c r="G15" s="359">
        <v>42</v>
      </c>
      <c r="H15" s="358">
        <f t="shared" si="1"/>
        <v>190</v>
      </c>
      <c r="I15" s="359">
        <v>38</v>
      </c>
      <c r="J15" s="358">
        <f t="shared" si="1"/>
        <v>177</v>
      </c>
      <c r="K15" s="359">
        <v>49</v>
      </c>
      <c r="L15" s="358">
        <f t="shared" si="1"/>
        <v>149</v>
      </c>
      <c r="M15" s="359">
        <v>36</v>
      </c>
      <c r="N15" s="358">
        <f t="shared" si="1"/>
        <v>159</v>
      </c>
      <c r="O15" s="359">
        <v>31</v>
      </c>
      <c r="P15" s="358">
        <f t="shared" si="1"/>
        <v>140</v>
      </c>
      <c r="Q15" s="359">
        <v>44</v>
      </c>
      <c r="R15" s="358">
        <f t="shared" si="1"/>
        <v>148</v>
      </c>
      <c r="S15" s="1233">
        <v>29</v>
      </c>
      <c r="T15" s="1234">
        <v>125</v>
      </c>
      <c r="U15" s="1281"/>
      <c r="V15" s="360"/>
      <c r="W15" s="493">
        <f t="shared" si="0"/>
        <v>144.19999999999999</v>
      </c>
      <c r="X15" s="494">
        <f>AVERAGE(O15,M15,K15,S15,Q15)</f>
        <v>37.799999999999997</v>
      </c>
    </row>
    <row r="16" spans="1:26" s="23" customFormat="1" ht="15" customHeight="1" x14ac:dyDescent="0.2">
      <c r="A16" s="353" t="s">
        <v>18</v>
      </c>
      <c r="B16" s="20">
        <v>55</v>
      </c>
      <c r="C16" s="26">
        <v>11</v>
      </c>
      <c r="D16" s="22">
        <v>43</v>
      </c>
      <c r="E16" s="25">
        <v>15</v>
      </c>
      <c r="F16" s="20">
        <v>39</v>
      </c>
      <c r="G16" s="25">
        <v>7</v>
      </c>
      <c r="H16" s="20">
        <v>27</v>
      </c>
      <c r="I16" s="25">
        <v>10</v>
      </c>
      <c r="J16" s="20">
        <v>46</v>
      </c>
      <c r="K16" s="25">
        <v>9</v>
      </c>
      <c r="L16" s="20">
        <f>55+2</f>
        <v>57</v>
      </c>
      <c r="M16" s="25">
        <v>14</v>
      </c>
      <c r="N16" s="20">
        <v>56</v>
      </c>
      <c r="O16" s="25">
        <v>16</v>
      </c>
      <c r="P16" s="20">
        <v>52</v>
      </c>
      <c r="Q16" s="25">
        <v>7</v>
      </c>
      <c r="R16" s="20">
        <v>54</v>
      </c>
      <c r="S16" s="25">
        <v>15</v>
      </c>
      <c r="T16" s="153">
        <v>58</v>
      </c>
      <c r="U16" s="152"/>
      <c r="V16" s="352"/>
      <c r="W16" s="347">
        <f t="shared" si="0"/>
        <v>55.4</v>
      </c>
      <c r="X16" s="491">
        <f t="shared" ref="X16:X18" si="2">AVERAGE(O16,M16,K16,S16,Q16)</f>
        <v>12.2</v>
      </c>
      <c r="Z16" s="23" t="s">
        <v>19</v>
      </c>
    </row>
    <row r="17" spans="1:24" s="23" customFormat="1" ht="15" customHeight="1" x14ac:dyDescent="0.2">
      <c r="A17" s="353" t="s">
        <v>20</v>
      </c>
      <c r="B17" s="20">
        <v>73</v>
      </c>
      <c r="C17" s="26">
        <v>27</v>
      </c>
      <c r="D17" s="22">
        <v>74</v>
      </c>
      <c r="E17" s="25">
        <v>33</v>
      </c>
      <c r="F17" s="20">
        <v>67</v>
      </c>
      <c r="G17" s="25">
        <v>30</v>
      </c>
      <c r="H17" s="20">
        <v>71</v>
      </c>
      <c r="I17" s="25">
        <v>30</v>
      </c>
      <c r="J17" s="20">
        <v>70</v>
      </c>
      <c r="K17" s="25">
        <v>24</v>
      </c>
      <c r="L17" s="20">
        <f>64+1</f>
        <v>65</v>
      </c>
      <c r="M17" s="25">
        <v>28</v>
      </c>
      <c r="N17" s="20">
        <v>55</v>
      </c>
      <c r="O17" s="25">
        <v>29</v>
      </c>
      <c r="P17" s="20">
        <v>55</v>
      </c>
      <c r="Q17" s="25">
        <v>20</v>
      </c>
      <c r="R17" s="20">
        <v>47</v>
      </c>
      <c r="S17" s="25">
        <v>24</v>
      </c>
      <c r="T17" s="153">
        <v>48</v>
      </c>
      <c r="U17" s="152"/>
      <c r="V17" s="352"/>
      <c r="W17" s="347">
        <f t="shared" si="0"/>
        <v>54</v>
      </c>
      <c r="X17" s="491">
        <f t="shared" si="2"/>
        <v>25</v>
      </c>
    </row>
    <row r="18" spans="1:24" s="23" customFormat="1" ht="15" customHeight="1" thickBot="1" x14ac:dyDescent="0.25">
      <c r="A18" s="362" t="s">
        <v>21</v>
      </c>
      <c r="B18" s="33">
        <v>0</v>
      </c>
      <c r="C18" s="34">
        <v>3</v>
      </c>
      <c r="D18" s="31">
        <v>0</v>
      </c>
      <c r="E18" s="32">
        <v>2</v>
      </c>
      <c r="F18" s="33">
        <v>0</v>
      </c>
      <c r="G18" s="32">
        <v>3</v>
      </c>
      <c r="H18" s="33">
        <v>1</v>
      </c>
      <c r="I18" s="32">
        <v>0</v>
      </c>
      <c r="J18" s="33">
        <v>2</v>
      </c>
      <c r="K18" s="32">
        <v>0</v>
      </c>
      <c r="L18" s="33">
        <v>1</v>
      </c>
      <c r="M18" s="32">
        <v>4</v>
      </c>
      <c r="N18" s="33">
        <v>1</v>
      </c>
      <c r="O18" s="32">
        <v>2</v>
      </c>
      <c r="P18" s="33">
        <v>4</v>
      </c>
      <c r="Q18" s="32">
        <v>3</v>
      </c>
      <c r="R18" s="33">
        <v>3</v>
      </c>
      <c r="S18" s="32">
        <v>0</v>
      </c>
      <c r="T18" s="365">
        <v>6</v>
      </c>
      <c r="U18" s="1282"/>
      <c r="V18" s="352"/>
      <c r="W18" s="347">
        <f t="shared" si="0"/>
        <v>3</v>
      </c>
      <c r="X18" s="491">
        <f t="shared" si="2"/>
        <v>1.8</v>
      </c>
    </row>
    <row r="19" spans="1:24" ht="18" customHeight="1" thickTop="1" thickBot="1" x14ac:dyDescent="0.25">
      <c r="A19" s="298" t="s">
        <v>71</v>
      </c>
      <c r="B19" s="1380"/>
      <c r="C19" s="1381"/>
      <c r="D19" s="1380"/>
      <c r="E19" s="1381"/>
      <c r="F19" s="1380"/>
      <c r="G19" s="1381"/>
      <c r="H19" s="1380"/>
      <c r="I19" s="1381"/>
      <c r="J19" s="1380"/>
      <c r="K19" s="1381"/>
      <c r="L19" s="1380"/>
      <c r="M19" s="1381"/>
      <c r="N19" s="1380"/>
      <c r="O19" s="1381"/>
      <c r="P19" s="1380"/>
      <c r="Q19" s="1381"/>
      <c r="R19" s="1380"/>
      <c r="S19" s="1381"/>
      <c r="T19" s="1380"/>
      <c r="U19" s="1383"/>
      <c r="V19" s="226"/>
      <c r="W19" s="1382"/>
      <c r="X19" s="1383"/>
    </row>
    <row r="20" spans="1:24" ht="15" customHeight="1" x14ac:dyDescent="0.2">
      <c r="A20" s="1226" t="s">
        <v>79</v>
      </c>
      <c r="B20" s="300"/>
      <c r="C20" s="301"/>
      <c r="D20" s="300"/>
      <c r="E20" s="301"/>
      <c r="F20" s="300"/>
      <c r="G20" s="301"/>
      <c r="H20" s="300"/>
      <c r="I20" s="301"/>
      <c r="J20" s="300"/>
      <c r="K20" s="301"/>
      <c r="L20" s="300"/>
      <c r="M20" s="301"/>
      <c r="N20" s="300"/>
      <c r="O20" s="301"/>
      <c r="P20" s="300"/>
      <c r="Q20" s="301"/>
      <c r="R20" s="300"/>
      <c r="S20" s="301"/>
      <c r="T20" s="300"/>
      <c r="U20" s="302"/>
      <c r="V20" s="226"/>
      <c r="W20" s="237"/>
      <c r="X20" s="852" t="e">
        <f>AVERAGE(O20,M20,I20,K20,Q20)</f>
        <v>#DIV/0!</v>
      </c>
    </row>
    <row r="21" spans="1:24" ht="15" customHeight="1" x14ac:dyDescent="0.2">
      <c r="A21" s="303" t="s">
        <v>72</v>
      </c>
      <c r="B21" s="304"/>
      <c r="C21" s="388">
        <v>0.61</v>
      </c>
      <c r="D21" s="387"/>
      <c r="E21" s="388">
        <v>0.34</v>
      </c>
      <c r="F21" s="387"/>
      <c r="G21" s="388">
        <v>0.42</v>
      </c>
      <c r="H21" s="387"/>
      <c r="I21" s="388">
        <v>0.75</v>
      </c>
      <c r="J21" s="387"/>
      <c r="K21" s="388">
        <v>0.54</v>
      </c>
      <c r="L21" s="387"/>
      <c r="M21" s="388">
        <v>0.63</v>
      </c>
      <c r="N21" s="387"/>
      <c r="O21" s="388">
        <v>0.56000000000000005</v>
      </c>
      <c r="P21" s="387"/>
      <c r="Q21" s="388">
        <v>0.68</v>
      </c>
      <c r="R21" s="387"/>
      <c r="S21" s="388"/>
      <c r="T21" s="387"/>
      <c r="U21" s="1271"/>
      <c r="V21" s="226"/>
      <c r="W21" s="237"/>
      <c r="X21" s="1255">
        <f>AVERAGE(O21,M21,K21,S21,Q21)</f>
        <v>0.60250000000000004</v>
      </c>
    </row>
    <row r="22" spans="1:24" ht="15" customHeight="1" thickBot="1" x14ac:dyDescent="0.25">
      <c r="A22" s="539" t="s">
        <v>73</v>
      </c>
      <c r="B22" s="546"/>
      <c r="C22" s="541">
        <v>0.25</v>
      </c>
      <c r="D22" s="540"/>
      <c r="E22" s="541">
        <v>0.49</v>
      </c>
      <c r="F22" s="540"/>
      <c r="G22" s="541">
        <v>0.45</v>
      </c>
      <c r="H22" s="540"/>
      <c r="I22" s="541">
        <v>0.16</v>
      </c>
      <c r="J22" s="540"/>
      <c r="K22" s="541">
        <v>0.41</v>
      </c>
      <c r="L22" s="540"/>
      <c r="M22" s="541">
        <v>0.31</v>
      </c>
      <c r="N22" s="540"/>
      <c r="O22" s="541">
        <v>0.31</v>
      </c>
      <c r="P22" s="540"/>
      <c r="Q22" s="541">
        <v>0.22</v>
      </c>
      <c r="R22" s="540"/>
      <c r="S22" s="541"/>
      <c r="T22" s="540"/>
      <c r="U22" s="1272"/>
      <c r="V22" s="226"/>
      <c r="W22" s="242"/>
      <c r="X22" s="1255">
        <f>AVERAGE(O22,M22,K22,S22,Q22)</f>
        <v>0.3125</v>
      </c>
    </row>
    <row r="23" spans="1:24" ht="18" customHeight="1" thickTop="1" thickBot="1" x14ac:dyDescent="0.25">
      <c r="A23" s="221" t="s">
        <v>78</v>
      </c>
      <c r="B23" s="1380"/>
      <c r="C23" s="1381"/>
      <c r="D23" s="1380"/>
      <c r="E23" s="1381"/>
      <c r="F23" s="1380"/>
      <c r="G23" s="1381"/>
      <c r="H23" s="1380"/>
      <c r="I23" s="1381"/>
      <c r="J23" s="1380"/>
      <c r="K23" s="1381"/>
      <c r="L23" s="1380"/>
      <c r="M23" s="1381"/>
      <c r="N23" s="1380"/>
      <c r="O23" s="1381"/>
      <c r="P23" s="1380"/>
      <c r="Q23" s="1381"/>
      <c r="R23" s="1380"/>
      <c r="S23" s="1381"/>
      <c r="T23" s="1380"/>
      <c r="U23" s="1383"/>
      <c r="V23" s="226"/>
      <c r="W23" s="1382"/>
      <c r="X23" s="1383"/>
    </row>
    <row r="24" spans="1:24" ht="15" customHeight="1" thickBot="1" x14ac:dyDescent="0.25">
      <c r="A24" s="222" t="s">
        <v>70</v>
      </c>
      <c r="B24" s="223"/>
      <c r="C24" s="224">
        <v>26.7</v>
      </c>
      <c r="D24" s="223"/>
      <c r="E24" s="224">
        <v>26.6</v>
      </c>
      <c r="F24" s="223"/>
      <c r="G24" s="224">
        <v>26.2</v>
      </c>
      <c r="H24" s="223"/>
      <c r="I24" s="224">
        <v>26.9</v>
      </c>
      <c r="J24" s="223"/>
      <c r="K24" s="224">
        <v>26.4</v>
      </c>
      <c r="L24" s="223"/>
      <c r="M24" s="224">
        <v>26.6</v>
      </c>
      <c r="N24" s="223"/>
      <c r="O24" s="224">
        <v>26.2</v>
      </c>
      <c r="P24" s="223"/>
      <c r="Q24" s="224">
        <v>26.2</v>
      </c>
      <c r="R24" s="223"/>
      <c r="S24" s="224">
        <v>26.2</v>
      </c>
      <c r="T24" s="223"/>
      <c r="U24" s="225"/>
      <c r="V24" s="226"/>
      <c r="W24" s="247"/>
      <c r="X24" s="248">
        <f>AVERAGE(O24,M24,U24,S24,Q24)</f>
        <v>26.3</v>
      </c>
    </row>
    <row r="25" spans="1:24" ht="18" customHeight="1" thickTop="1" thickBot="1" x14ac:dyDescent="0.25">
      <c r="A25" s="314" t="s">
        <v>22</v>
      </c>
      <c r="B25" s="1380"/>
      <c r="C25" s="1381"/>
      <c r="D25" s="1380"/>
      <c r="E25" s="1381"/>
      <c r="F25" s="1380"/>
      <c r="G25" s="1381"/>
      <c r="H25" s="1380"/>
      <c r="I25" s="1381"/>
      <c r="J25" s="1380"/>
      <c r="K25" s="1381"/>
      <c r="L25" s="1380"/>
      <c r="M25" s="1381"/>
      <c r="N25" s="1380"/>
      <c r="O25" s="1381"/>
      <c r="P25" s="1380"/>
      <c r="Q25" s="1381"/>
      <c r="R25" s="1380"/>
      <c r="S25" s="1381"/>
      <c r="T25" s="1380"/>
      <c r="U25" s="1383"/>
      <c r="V25" s="226"/>
      <c r="W25" s="1382"/>
      <c r="X25" s="1383"/>
    </row>
    <row r="26" spans="1:24" ht="15" customHeight="1" x14ac:dyDescent="0.2">
      <c r="A26" s="305" t="s">
        <v>23</v>
      </c>
      <c r="B26" s="315"/>
      <c r="C26" s="315"/>
      <c r="D26" s="316"/>
      <c r="E26" s="317"/>
      <c r="F26" s="315"/>
      <c r="G26" s="317"/>
      <c r="H26" s="315"/>
      <c r="I26" s="317"/>
      <c r="J26" s="315"/>
      <c r="K26" s="317"/>
      <c r="L26" s="315"/>
      <c r="M26" s="317"/>
      <c r="N26" s="315"/>
      <c r="O26" s="317"/>
      <c r="P26" s="315"/>
      <c r="Q26" s="317"/>
      <c r="R26" s="315"/>
      <c r="S26" s="317"/>
      <c r="T26" s="315"/>
      <c r="U26" s="318"/>
      <c r="V26" s="226"/>
      <c r="W26" s="319"/>
      <c r="X26" s="320"/>
    </row>
    <row r="27" spans="1:24" ht="15" customHeight="1" x14ac:dyDescent="0.2">
      <c r="A27" s="305" t="s">
        <v>24</v>
      </c>
      <c r="B27" s="315"/>
      <c r="C27" s="48">
        <v>13750</v>
      </c>
      <c r="D27" s="45"/>
      <c r="E27" s="47">
        <v>14729</v>
      </c>
      <c r="F27" s="46"/>
      <c r="G27" s="47">
        <v>14853</v>
      </c>
      <c r="H27" s="46"/>
      <c r="I27" s="47">
        <v>18716</v>
      </c>
      <c r="J27" s="46"/>
      <c r="K27" s="47">
        <v>15959</v>
      </c>
      <c r="L27" s="46"/>
      <c r="M27" s="47">
        <v>16913</v>
      </c>
      <c r="N27" s="46"/>
      <c r="O27" s="47">
        <v>17350</v>
      </c>
      <c r="P27" s="46"/>
      <c r="Q27" s="47">
        <v>16424</v>
      </c>
      <c r="R27" s="46"/>
      <c r="S27" s="47">
        <v>15387</v>
      </c>
      <c r="T27" s="315"/>
      <c r="U27" s="1273"/>
      <c r="V27" s="226"/>
      <c r="W27" s="50"/>
      <c r="X27" s="51">
        <f>AVERAGE(O27,M27,S27,K27,Q27)</f>
        <v>16406.599999999999</v>
      </c>
    </row>
    <row r="28" spans="1:24" ht="15" customHeight="1" x14ac:dyDescent="0.2">
      <c r="A28" s="305" t="s">
        <v>25</v>
      </c>
      <c r="B28" s="315"/>
      <c r="C28" s="48">
        <v>10474</v>
      </c>
      <c r="D28" s="45"/>
      <c r="E28" s="47">
        <v>9165</v>
      </c>
      <c r="F28" s="46"/>
      <c r="G28" s="47">
        <v>8451</v>
      </c>
      <c r="H28" s="46"/>
      <c r="I28" s="47">
        <v>9013</v>
      </c>
      <c r="J28" s="46"/>
      <c r="K28" s="47">
        <v>8150</v>
      </c>
      <c r="L28" s="46"/>
      <c r="M28" s="47">
        <v>8240</v>
      </c>
      <c r="N28" s="46"/>
      <c r="O28" s="47">
        <v>8518</v>
      </c>
      <c r="P28" s="46"/>
      <c r="Q28" s="47">
        <v>8716</v>
      </c>
      <c r="R28" s="46"/>
      <c r="S28" s="47">
        <v>9114</v>
      </c>
      <c r="T28" s="315"/>
      <c r="U28" s="1273"/>
      <c r="V28" s="226"/>
      <c r="W28" s="52"/>
      <c r="X28" s="51">
        <f t="shared" ref="X28:X31" si="3">AVERAGE(O28,M28,S28,K28,Q28)</f>
        <v>8547.6</v>
      </c>
    </row>
    <row r="29" spans="1:24" ht="15" customHeight="1" x14ac:dyDescent="0.2">
      <c r="A29" s="305" t="s">
        <v>26</v>
      </c>
      <c r="B29" s="315"/>
      <c r="C29" s="48">
        <v>917</v>
      </c>
      <c r="D29" s="45"/>
      <c r="E29" s="47">
        <v>950</v>
      </c>
      <c r="F29" s="46"/>
      <c r="G29" s="47">
        <v>835</v>
      </c>
      <c r="H29" s="46"/>
      <c r="I29" s="47">
        <v>969</v>
      </c>
      <c r="J29" s="46"/>
      <c r="K29" s="47">
        <v>905</v>
      </c>
      <c r="L29" s="46"/>
      <c r="M29" s="47">
        <v>948</v>
      </c>
      <c r="N29" s="46"/>
      <c r="O29" s="47">
        <v>951</v>
      </c>
      <c r="P29" s="46"/>
      <c r="Q29" s="47">
        <v>809</v>
      </c>
      <c r="R29" s="46"/>
      <c r="S29" s="47">
        <v>779</v>
      </c>
      <c r="T29" s="315"/>
      <c r="U29" s="1273"/>
      <c r="V29" s="226"/>
      <c r="W29" s="52"/>
      <c r="X29" s="51">
        <f t="shared" si="3"/>
        <v>878.4</v>
      </c>
    </row>
    <row r="30" spans="1:24" ht="15" customHeight="1" thickBot="1" x14ac:dyDescent="0.25">
      <c r="A30" s="305" t="s">
        <v>27</v>
      </c>
      <c r="B30" s="83"/>
      <c r="C30" s="54"/>
      <c r="D30" s="45"/>
      <c r="E30" s="53"/>
      <c r="F30" s="46"/>
      <c r="G30" s="53"/>
      <c r="H30" s="46"/>
      <c r="I30" s="53"/>
      <c r="J30" s="46"/>
      <c r="K30" s="53"/>
      <c r="L30" s="46"/>
      <c r="M30" s="53"/>
      <c r="N30" s="46"/>
      <c r="O30" s="53"/>
      <c r="P30" s="46"/>
      <c r="Q30" s="53"/>
      <c r="R30" s="46"/>
      <c r="S30" s="53"/>
      <c r="T30" s="83"/>
      <c r="U30" s="1274"/>
      <c r="V30" s="226"/>
      <c r="W30" s="63"/>
      <c r="X30" s="484"/>
    </row>
    <row r="31" spans="1:24" ht="15" customHeight="1" thickBot="1" x14ac:dyDescent="0.25">
      <c r="A31" s="327" t="s">
        <v>28</v>
      </c>
      <c r="B31" s="328"/>
      <c r="C31" s="329">
        <f>SUM(C27:C30)</f>
        <v>25141</v>
      </c>
      <c r="D31" s="330"/>
      <c r="E31" s="331">
        <f>SUM(E27:E30)</f>
        <v>24844</v>
      </c>
      <c r="F31" s="328"/>
      <c r="G31" s="331">
        <f>SUM(G27:G30)</f>
        <v>24139</v>
      </c>
      <c r="H31" s="328"/>
      <c r="I31" s="331">
        <f>SUM(I27:I30)</f>
        <v>28698</v>
      </c>
      <c r="J31" s="328"/>
      <c r="K31" s="331">
        <f>SUM(K27:K30)</f>
        <v>25014</v>
      </c>
      <c r="L31" s="328"/>
      <c r="M31" s="331">
        <f>SUM(M27:M30)</f>
        <v>26101</v>
      </c>
      <c r="N31" s="328"/>
      <c r="O31" s="331">
        <f>SUM(O27:O30)</f>
        <v>26819</v>
      </c>
      <c r="P31" s="328"/>
      <c r="Q31" s="331">
        <f>SUM(Q27:Q30)</f>
        <v>25949</v>
      </c>
      <c r="R31" s="328"/>
      <c r="S31" s="331">
        <f>SUM(S27:S30)</f>
        <v>25280</v>
      </c>
      <c r="T31" s="328"/>
      <c r="U31" s="1277">
        <f>SUM(U27:U30)</f>
        <v>0</v>
      </c>
      <c r="V31" s="226"/>
      <c r="W31" s="485"/>
      <c r="X31" s="486">
        <f t="shared" si="3"/>
        <v>25832.6</v>
      </c>
    </row>
    <row r="32" spans="1:24" ht="15" customHeight="1" thickTop="1" thickBot="1" x14ac:dyDescent="0.25">
      <c r="A32" s="280"/>
      <c r="B32" s="332"/>
      <c r="C32" s="333"/>
      <c r="D32" s="332"/>
      <c r="E32" s="333"/>
      <c r="F32" s="332"/>
      <c r="G32" s="333"/>
      <c r="H32" s="332"/>
      <c r="I32" s="333"/>
      <c r="J32" s="332"/>
      <c r="K32" s="333"/>
      <c r="L32" s="332"/>
      <c r="M32" s="333"/>
      <c r="N32" s="332"/>
      <c r="O32" s="333"/>
      <c r="P32" s="332"/>
      <c r="Q32" s="333"/>
      <c r="R32" s="332"/>
      <c r="S32" s="333"/>
      <c r="T32" s="332"/>
      <c r="U32" s="333"/>
      <c r="V32" s="334"/>
      <c r="W32" s="335"/>
      <c r="X32" s="333"/>
    </row>
    <row r="33" spans="1:27" ht="18" customHeight="1" thickTop="1" thickBot="1" x14ac:dyDescent="0.25">
      <c r="A33" s="175" t="s">
        <v>29</v>
      </c>
      <c r="B33" s="1385" t="s">
        <v>30</v>
      </c>
      <c r="C33" s="1395"/>
      <c r="D33" s="1385" t="s">
        <v>31</v>
      </c>
      <c r="E33" s="1396"/>
      <c r="F33" s="1385" t="s">
        <v>32</v>
      </c>
      <c r="G33" s="1396"/>
      <c r="H33" s="1385" t="s">
        <v>33</v>
      </c>
      <c r="I33" s="1396"/>
      <c r="J33" s="1385" t="s">
        <v>34</v>
      </c>
      <c r="K33" s="1396"/>
      <c r="L33" s="1385" t="s">
        <v>35</v>
      </c>
      <c r="M33" s="1396"/>
      <c r="N33" s="1385" t="s">
        <v>36</v>
      </c>
      <c r="O33" s="1396"/>
      <c r="P33" s="1385" t="s">
        <v>37</v>
      </c>
      <c r="Q33" s="1396"/>
      <c r="R33" s="1385" t="s">
        <v>38</v>
      </c>
      <c r="S33" s="1396"/>
      <c r="T33" s="1385" t="s">
        <v>302</v>
      </c>
      <c r="U33" s="1386"/>
      <c r="V33" s="176"/>
      <c r="W33" s="1382" t="s">
        <v>9</v>
      </c>
      <c r="X33" s="1383"/>
      <c r="Y33" s="56"/>
      <c r="Z33" s="56"/>
      <c r="AA33" s="57"/>
    </row>
    <row r="34" spans="1:27" ht="15" customHeight="1" x14ac:dyDescent="0.2">
      <c r="A34" s="1068" t="s">
        <v>244</v>
      </c>
      <c r="B34" s="177"/>
      <c r="C34" s="154">
        <v>7.8E-2</v>
      </c>
      <c r="D34" s="281"/>
      <c r="E34" s="129">
        <v>7.0000000000000007E-2</v>
      </c>
      <c r="F34" s="282"/>
      <c r="G34" s="129">
        <v>6.8000000000000005E-2</v>
      </c>
      <c r="H34" s="128"/>
      <c r="I34" s="129">
        <v>7.1999999999999995E-2</v>
      </c>
      <c r="J34" s="128"/>
      <c r="K34" s="129">
        <v>7.6999999999999999E-2</v>
      </c>
      <c r="L34" s="128"/>
      <c r="M34" s="129">
        <v>5.5E-2</v>
      </c>
      <c r="N34" s="128"/>
      <c r="O34" s="129">
        <v>6.3E-2</v>
      </c>
      <c r="P34" s="128"/>
      <c r="Q34" s="129">
        <v>5.7000000000000002E-2</v>
      </c>
      <c r="R34" s="128"/>
      <c r="S34" s="129">
        <v>5.8000000000000003E-2</v>
      </c>
      <c r="T34" s="181"/>
      <c r="U34" s="182">
        <v>5.6000000000000001E-2</v>
      </c>
      <c r="V34" s="183"/>
      <c r="W34" s="469"/>
      <c r="X34" s="594">
        <f>AVERAGE(Q34,O34,M34,U34,S34)</f>
        <v>5.7799999999999997E-2</v>
      </c>
      <c r="Y34" s="56"/>
      <c r="Z34" s="56"/>
      <c r="AA34" s="57"/>
    </row>
    <row r="35" spans="1:27" ht="15" customHeight="1" x14ac:dyDescent="0.2">
      <c r="A35" s="1069" t="s">
        <v>245</v>
      </c>
      <c r="B35" s="184"/>
      <c r="C35" s="155">
        <v>4.2999999999999997E-2</v>
      </c>
      <c r="D35" s="283"/>
      <c r="E35" s="131">
        <v>4.2999999999999997E-2</v>
      </c>
      <c r="F35" s="284"/>
      <c r="G35" s="131">
        <v>4.1000000000000002E-2</v>
      </c>
      <c r="H35" s="130"/>
      <c r="I35" s="131">
        <v>4.4999999999999998E-2</v>
      </c>
      <c r="J35" s="130"/>
      <c r="K35" s="131">
        <v>4.1000000000000002E-2</v>
      </c>
      <c r="L35" s="130"/>
      <c r="M35" s="131">
        <v>3.5999999999999997E-2</v>
      </c>
      <c r="N35" s="130"/>
      <c r="O35" s="131">
        <v>3.1E-2</v>
      </c>
      <c r="P35" s="130"/>
      <c r="Q35" s="131">
        <v>3.2000000000000001E-2</v>
      </c>
      <c r="R35" s="130"/>
      <c r="S35" s="131">
        <v>2.9000000000000001E-2</v>
      </c>
      <c r="T35" s="186"/>
      <c r="U35" s="187">
        <v>2.8000000000000001E-2</v>
      </c>
      <c r="V35" s="183"/>
      <c r="W35" s="469"/>
      <c r="X35" s="594">
        <f>AVERAGE(Q35,O35,M35,U35,S35)</f>
        <v>3.1199999999999999E-2</v>
      </c>
      <c r="Y35" s="56"/>
      <c r="Z35" s="56"/>
      <c r="AA35" s="57"/>
    </row>
    <row r="36" spans="1:27" ht="15" customHeight="1" thickBot="1" x14ac:dyDescent="0.25">
      <c r="A36" s="189" t="s">
        <v>243</v>
      </c>
      <c r="B36" s="1403">
        <f>1-C34-C35</f>
        <v>0.879</v>
      </c>
      <c r="C36" s="1404"/>
      <c r="D36" s="1403">
        <f>1-E34-E35</f>
        <v>0.8869999999999999</v>
      </c>
      <c r="E36" s="1404"/>
      <c r="F36" s="1403">
        <f>1-G34-G35</f>
        <v>0.8909999999999999</v>
      </c>
      <c r="G36" s="1404"/>
      <c r="H36" s="1403">
        <f>1-I34-I35</f>
        <v>0.88300000000000001</v>
      </c>
      <c r="I36" s="1404"/>
      <c r="J36" s="1403">
        <f>1-K34-K35</f>
        <v>0.88200000000000001</v>
      </c>
      <c r="K36" s="1404"/>
      <c r="L36" s="1403">
        <f>1-M34-M35</f>
        <v>0.90899999999999992</v>
      </c>
      <c r="M36" s="1404"/>
      <c r="N36" s="1403">
        <f>1-O34-O35</f>
        <v>0.90600000000000003</v>
      </c>
      <c r="O36" s="1404"/>
      <c r="P36" s="1403">
        <f>1-Q34-Q35</f>
        <v>0.91099999999999992</v>
      </c>
      <c r="Q36" s="1404"/>
      <c r="R36" s="1403">
        <f>1-S34-S35</f>
        <v>0.91299999999999992</v>
      </c>
      <c r="S36" s="1404"/>
      <c r="T36" s="1403">
        <f>1-U34-U35</f>
        <v>0.91599999999999993</v>
      </c>
      <c r="U36" s="1406"/>
      <c r="V36" s="183"/>
      <c r="W36" s="1390">
        <f>1-X34-X35</f>
        <v>0.91100000000000003</v>
      </c>
      <c r="X36" s="1391"/>
      <c r="Y36" s="58"/>
      <c r="Z36" s="56"/>
      <c r="AA36" s="57"/>
    </row>
    <row r="37" spans="1:27" s="3" customFormat="1" ht="18" customHeight="1" thickTop="1" thickBot="1" x14ac:dyDescent="0.25">
      <c r="A37" s="194" t="s">
        <v>67</v>
      </c>
      <c r="B37" s="227" t="s">
        <v>39</v>
      </c>
      <c r="C37" s="228" t="s">
        <v>74</v>
      </c>
      <c r="D37" s="227" t="s">
        <v>39</v>
      </c>
      <c r="E37" s="228" t="s">
        <v>74</v>
      </c>
      <c r="F37" s="227" t="s">
        <v>39</v>
      </c>
      <c r="G37" s="228" t="s">
        <v>74</v>
      </c>
      <c r="H37" s="227" t="s">
        <v>39</v>
      </c>
      <c r="I37" s="228" t="s">
        <v>74</v>
      </c>
      <c r="J37" s="227" t="s">
        <v>39</v>
      </c>
      <c r="K37" s="228" t="s">
        <v>74</v>
      </c>
      <c r="L37" s="227" t="s">
        <v>39</v>
      </c>
      <c r="M37" s="228" t="s">
        <v>74</v>
      </c>
      <c r="N37" s="227" t="s">
        <v>39</v>
      </c>
      <c r="O37" s="228" t="s">
        <v>74</v>
      </c>
      <c r="P37" s="227" t="s">
        <v>39</v>
      </c>
      <c r="Q37" s="228" t="s">
        <v>74</v>
      </c>
      <c r="R37" s="227" t="s">
        <v>39</v>
      </c>
      <c r="S37" s="228" t="s">
        <v>74</v>
      </c>
      <c r="T37" s="227" t="s">
        <v>39</v>
      </c>
      <c r="U37" s="229" t="s">
        <v>74</v>
      </c>
      <c r="V37" s="230"/>
      <c r="W37" s="1071" t="s">
        <v>39</v>
      </c>
      <c r="X37" s="229" t="s">
        <v>74</v>
      </c>
    </row>
    <row r="38" spans="1:27" ht="18" customHeight="1" thickBot="1" x14ac:dyDescent="0.25">
      <c r="A38" s="535" t="s">
        <v>68</v>
      </c>
      <c r="B38" s="536"/>
      <c r="C38" s="537">
        <f>B38/B17</f>
        <v>0</v>
      </c>
      <c r="D38" s="536"/>
      <c r="E38" s="537">
        <f>D38/D17</f>
        <v>0</v>
      </c>
      <c r="F38" s="536"/>
      <c r="G38" s="537">
        <f>F38/F17</f>
        <v>0</v>
      </c>
      <c r="H38" s="536">
        <v>44</v>
      </c>
      <c r="I38" s="537">
        <f>H38/H17</f>
        <v>0.61971830985915488</v>
      </c>
      <c r="J38" s="536">
        <v>49</v>
      </c>
      <c r="K38" s="537">
        <f>J38/J17</f>
        <v>0.7</v>
      </c>
      <c r="L38" s="536">
        <v>44</v>
      </c>
      <c r="M38" s="537">
        <f>L38/L17</f>
        <v>0.67692307692307696</v>
      </c>
      <c r="N38" s="536">
        <v>39</v>
      </c>
      <c r="O38" s="537">
        <f>N38/N17</f>
        <v>0.70909090909090911</v>
      </c>
      <c r="P38" s="536">
        <v>44</v>
      </c>
      <c r="Q38" s="537">
        <f>P38/P17</f>
        <v>0.8</v>
      </c>
      <c r="R38" s="536">
        <v>42</v>
      </c>
      <c r="S38" s="537">
        <f>R38/R17</f>
        <v>0.8936170212765957</v>
      </c>
      <c r="T38" s="536"/>
      <c r="U38" s="538">
        <f>T38/T17</f>
        <v>0</v>
      </c>
      <c r="V38" s="226"/>
      <c r="W38" s="242">
        <f>AVERAGE(N38,L38,R38,T38,P38)</f>
        <v>42.25</v>
      </c>
      <c r="X38" s="241">
        <f>W38/W17</f>
        <v>0.78240740740740744</v>
      </c>
    </row>
    <row r="39" spans="1:27" s="85" customFormat="1" ht="15" customHeight="1" thickTop="1" x14ac:dyDescent="0.2">
      <c r="A39" s="37" t="s">
        <v>288</v>
      </c>
      <c r="B39" s="650"/>
      <c r="C39" s="650"/>
      <c r="D39" s="650"/>
      <c r="E39" s="650"/>
      <c r="F39" s="650"/>
      <c r="G39" s="650"/>
      <c r="H39" s="650"/>
      <c r="I39" s="650"/>
      <c r="J39" s="650"/>
      <c r="K39" s="650"/>
      <c r="L39" s="650"/>
      <c r="M39" s="650"/>
      <c r="N39" s="650"/>
      <c r="O39" s="650"/>
      <c r="P39" s="650"/>
      <c r="Q39" s="650"/>
      <c r="R39" s="650"/>
      <c r="S39" s="650"/>
      <c r="T39" s="650"/>
      <c r="U39" s="650"/>
      <c r="V39" s="651"/>
      <c r="W39" s="650"/>
      <c r="X39" s="650"/>
      <c r="Y39" s="56"/>
      <c r="Z39" s="56"/>
      <c r="AA39" s="57"/>
    </row>
    <row r="40" spans="1:27" s="85" customFormat="1" ht="15" customHeight="1" thickBot="1" x14ac:dyDescent="0.25">
      <c r="A40" s="37"/>
      <c r="B40" s="650"/>
      <c r="C40" s="650"/>
      <c r="D40" s="650"/>
      <c r="E40" s="650"/>
      <c r="F40" s="650"/>
      <c r="G40" s="650"/>
      <c r="H40" s="650"/>
      <c r="I40" s="650"/>
      <c r="J40" s="650"/>
      <c r="K40" s="650"/>
      <c r="L40" s="650"/>
      <c r="M40" s="650"/>
      <c r="N40" s="650"/>
      <c r="O40" s="650"/>
      <c r="P40" s="650"/>
      <c r="Q40" s="650"/>
      <c r="R40" s="650"/>
      <c r="S40" s="650"/>
      <c r="T40" s="650"/>
      <c r="U40" s="650"/>
      <c r="V40" s="651"/>
      <c r="W40" s="650"/>
      <c r="X40" s="650"/>
      <c r="Y40" s="56"/>
      <c r="Z40" s="56"/>
      <c r="AA40" s="57"/>
    </row>
    <row r="41" spans="1:27" s="1" customFormat="1" ht="18.75" customHeight="1" thickTop="1" thickBot="1" x14ac:dyDescent="0.25">
      <c r="A41" s="175" t="s">
        <v>247</v>
      </c>
      <c r="B41" s="1385" t="s">
        <v>30</v>
      </c>
      <c r="C41" s="1395"/>
      <c r="D41" s="1385" t="s">
        <v>31</v>
      </c>
      <c r="E41" s="1396"/>
      <c r="F41" s="1385" t="s">
        <v>32</v>
      </c>
      <c r="G41" s="1396"/>
      <c r="H41" s="1385" t="s">
        <v>33</v>
      </c>
      <c r="I41" s="1396"/>
      <c r="J41" s="1385" t="s">
        <v>34</v>
      </c>
      <c r="K41" s="1396"/>
      <c r="L41" s="1385" t="s">
        <v>35</v>
      </c>
      <c r="M41" s="1396"/>
      <c r="N41" s="1385" t="s">
        <v>36</v>
      </c>
      <c r="O41" s="1396"/>
      <c r="P41" s="1385" t="s">
        <v>37</v>
      </c>
      <c r="Q41" s="1396"/>
      <c r="R41" s="1385" t="s">
        <v>38</v>
      </c>
      <c r="S41" s="1396"/>
      <c r="T41" s="1385" t="s">
        <v>302</v>
      </c>
      <c r="U41" s="1386"/>
      <c r="V41" s="195"/>
      <c r="W41" s="1382" t="s">
        <v>9</v>
      </c>
      <c r="X41" s="1383"/>
    </row>
    <row r="42" spans="1:27" s="1" customFormat="1" ht="24" x14ac:dyDescent="0.2">
      <c r="A42" s="715" t="s">
        <v>289</v>
      </c>
      <c r="B42" s="711"/>
      <c r="C42" s="529"/>
      <c r="D42" s="711"/>
      <c r="E42" s="712"/>
      <c r="F42" s="711"/>
      <c r="G42" s="712"/>
      <c r="H42" s="711"/>
      <c r="I42" s="712"/>
      <c r="J42" s="711"/>
      <c r="K42" s="712"/>
      <c r="L42" s="711"/>
      <c r="M42" s="712"/>
      <c r="N42" s="711"/>
      <c r="O42" s="712"/>
      <c r="P42" s="711"/>
      <c r="Q42" s="712"/>
      <c r="R42" s="711"/>
      <c r="S42" s="712"/>
      <c r="T42" s="713"/>
      <c r="U42" s="714"/>
      <c r="V42" s="195"/>
      <c r="W42" s="272"/>
      <c r="X42" s="271"/>
    </row>
    <row r="43" spans="1:27" s="1" customFormat="1" ht="24" x14ac:dyDescent="0.2">
      <c r="A43" s="721" t="s">
        <v>237</v>
      </c>
      <c r="B43" s="186"/>
      <c r="C43" s="653">
        <v>28</v>
      </c>
      <c r="D43" s="186"/>
      <c r="E43" s="653">
        <v>28</v>
      </c>
      <c r="F43" s="186"/>
      <c r="G43" s="653">
        <v>27</v>
      </c>
      <c r="H43" s="186"/>
      <c r="I43" s="653">
        <v>27</v>
      </c>
      <c r="J43" s="186"/>
      <c r="K43" s="653">
        <v>26</v>
      </c>
      <c r="L43" s="186"/>
      <c r="M43" s="653">
        <v>26</v>
      </c>
      <c r="N43" s="186"/>
      <c r="O43" s="653">
        <v>27</v>
      </c>
      <c r="P43" s="186"/>
      <c r="Q43" s="653">
        <v>30</v>
      </c>
      <c r="R43" s="186"/>
      <c r="S43" s="653">
        <v>32</v>
      </c>
      <c r="T43" s="654"/>
      <c r="U43" s="340"/>
      <c r="V43" s="195"/>
      <c r="W43" s="347"/>
      <c r="X43" s="340">
        <f>AVERAGE(O43,M43,S43,U43,Q43)</f>
        <v>28.75</v>
      </c>
    </row>
    <row r="44" spans="1:27" s="1" customFormat="1" ht="24" x14ac:dyDescent="0.2">
      <c r="A44" s="721" t="s">
        <v>239</v>
      </c>
      <c r="B44" s="654"/>
      <c r="C44" s="716">
        <v>26</v>
      </c>
      <c r="D44" s="654"/>
      <c r="E44" s="716">
        <v>28</v>
      </c>
      <c r="F44" s="654"/>
      <c r="G44" s="716">
        <v>27</v>
      </c>
      <c r="H44" s="654"/>
      <c r="I44" s="716">
        <v>27</v>
      </c>
      <c r="J44" s="654"/>
      <c r="K44" s="716">
        <v>26</v>
      </c>
      <c r="L44" s="654"/>
      <c r="M44" s="716">
        <v>26</v>
      </c>
      <c r="N44" s="654"/>
      <c r="O44" s="716">
        <v>27</v>
      </c>
      <c r="P44" s="654"/>
      <c r="Q44" s="716">
        <v>30</v>
      </c>
      <c r="R44" s="654"/>
      <c r="S44" s="716">
        <v>32</v>
      </c>
      <c r="T44" s="654"/>
      <c r="U44" s="340"/>
      <c r="V44" s="195"/>
      <c r="W44" s="1252"/>
      <c r="X44" s="394">
        <f t="shared" ref="X44:X45" si="4">AVERAGE(O44,M44,S44,U44,Q44)</f>
        <v>28.75</v>
      </c>
    </row>
    <row r="45" spans="1:27" s="1" customFormat="1" ht="15" customHeight="1" thickBot="1" x14ac:dyDescent="0.25">
      <c r="A45" s="942" t="s">
        <v>238</v>
      </c>
      <c r="B45" s="943"/>
      <c r="C45" s="944">
        <v>27.9</v>
      </c>
      <c r="D45" s="943"/>
      <c r="E45" s="944">
        <v>27.9</v>
      </c>
      <c r="F45" s="943"/>
      <c r="G45" s="944">
        <v>27</v>
      </c>
      <c r="H45" s="943"/>
      <c r="I45" s="944">
        <v>27</v>
      </c>
      <c r="J45" s="943"/>
      <c r="K45" s="944">
        <v>26</v>
      </c>
      <c r="L45" s="943"/>
      <c r="M45" s="944">
        <v>26</v>
      </c>
      <c r="N45" s="943"/>
      <c r="O45" s="944">
        <v>27</v>
      </c>
      <c r="P45" s="943"/>
      <c r="Q45" s="944">
        <v>30</v>
      </c>
      <c r="R45" s="943"/>
      <c r="S45" s="944">
        <v>32</v>
      </c>
      <c r="T45" s="956"/>
      <c r="U45" s="957"/>
      <c r="V45" s="195"/>
      <c r="W45" s="950"/>
      <c r="X45" s="1253">
        <f t="shared" si="4"/>
        <v>28.75</v>
      </c>
    </row>
    <row r="46" spans="1:27" s="1" customFormat="1" ht="18" customHeight="1" thickBot="1" x14ac:dyDescent="0.25">
      <c r="A46" s="872" t="s">
        <v>264</v>
      </c>
      <c r="B46" s="799" t="s">
        <v>40</v>
      </c>
      <c r="C46" s="798" t="s">
        <v>41</v>
      </c>
      <c r="D46" s="799" t="s">
        <v>40</v>
      </c>
      <c r="E46" s="798" t="s">
        <v>41</v>
      </c>
      <c r="F46" s="799" t="s">
        <v>40</v>
      </c>
      <c r="G46" s="798" t="s">
        <v>41</v>
      </c>
      <c r="H46" s="799" t="s">
        <v>40</v>
      </c>
      <c r="I46" s="798" t="s">
        <v>41</v>
      </c>
      <c r="J46" s="799" t="s">
        <v>40</v>
      </c>
      <c r="K46" s="798" t="s">
        <v>41</v>
      </c>
      <c r="L46" s="799" t="s">
        <v>40</v>
      </c>
      <c r="M46" s="798" t="s">
        <v>41</v>
      </c>
      <c r="N46" s="799" t="s">
        <v>40</v>
      </c>
      <c r="O46" s="798" t="s">
        <v>41</v>
      </c>
      <c r="P46" s="799" t="s">
        <v>40</v>
      </c>
      <c r="Q46" s="798" t="s">
        <v>41</v>
      </c>
      <c r="R46" s="799" t="s">
        <v>40</v>
      </c>
      <c r="S46" s="798" t="s">
        <v>41</v>
      </c>
      <c r="T46" s="799" t="s">
        <v>40</v>
      </c>
      <c r="U46" s="804" t="s">
        <v>41</v>
      </c>
      <c r="V46" s="955"/>
      <c r="W46" s="1254" t="s">
        <v>40</v>
      </c>
      <c r="X46" s="804" t="s">
        <v>41</v>
      </c>
    </row>
    <row r="47" spans="1:27" s="1" customFormat="1" ht="15" customHeight="1" x14ac:dyDescent="0.2">
      <c r="A47" s="680" t="s">
        <v>42</v>
      </c>
      <c r="B47" s="808"/>
      <c r="C47" s="805"/>
      <c r="D47" s="806"/>
      <c r="E47" s="807"/>
      <c r="F47" s="808"/>
      <c r="G47" s="807"/>
      <c r="H47" s="808"/>
      <c r="I47" s="807"/>
      <c r="J47" s="808"/>
      <c r="K47" s="807"/>
      <c r="L47" s="808"/>
      <c r="M47" s="807"/>
      <c r="N47" s="808"/>
      <c r="O47" s="807"/>
      <c r="P47" s="808"/>
      <c r="Q47" s="807"/>
      <c r="R47" s="808"/>
      <c r="S47" s="807"/>
      <c r="T47" s="808"/>
      <c r="U47" s="1013"/>
      <c r="V47" s="195"/>
      <c r="W47" s="1029"/>
      <c r="X47" s="1030"/>
    </row>
    <row r="48" spans="1:27" s="1" customFormat="1" ht="15" customHeight="1" x14ac:dyDescent="0.2">
      <c r="A48" s="678" t="s">
        <v>43</v>
      </c>
      <c r="B48" s="258"/>
      <c r="C48" s="1053">
        <f>15+27</f>
        <v>42</v>
      </c>
      <c r="D48" s="260"/>
      <c r="E48" s="1044">
        <v>44</v>
      </c>
      <c r="F48" s="258"/>
      <c r="G48" s="1044">
        <v>43</v>
      </c>
      <c r="H48" s="258"/>
      <c r="I48" s="1044">
        <v>46</v>
      </c>
      <c r="J48" s="1036">
        <v>45</v>
      </c>
      <c r="K48" s="1044">
        <v>45</v>
      </c>
      <c r="L48" s="1036">
        <v>46</v>
      </c>
      <c r="M48" s="1044">
        <v>46</v>
      </c>
      <c r="N48" s="1036">
        <v>50</v>
      </c>
      <c r="O48" s="1044">
        <v>50</v>
      </c>
      <c r="P48" s="1036">
        <v>55</v>
      </c>
      <c r="Q48" s="1044">
        <v>55</v>
      </c>
      <c r="R48" s="1036">
        <v>61</v>
      </c>
      <c r="S48" s="1044">
        <v>61</v>
      </c>
      <c r="T48" s="813"/>
      <c r="U48" s="932"/>
      <c r="V48" s="195"/>
      <c r="W48" s="936">
        <f>AVERAGE(T48,L48,N48,P48,R48)</f>
        <v>53</v>
      </c>
      <c r="X48" s="1031">
        <f t="shared" ref="X48:X53" si="5">AVERAGE(O48,M48,S48,U48,Q48)</f>
        <v>53</v>
      </c>
    </row>
    <row r="49" spans="1:24" s="1" customFormat="1" ht="15" customHeight="1" x14ac:dyDescent="0.2">
      <c r="A49" s="678" t="s">
        <v>44</v>
      </c>
      <c r="B49" s="258"/>
      <c r="C49" s="1053">
        <v>14</v>
      </c>
      <c r="D49" s="260"/>
      <c r="E49" s="1044">
        <v>11</v>
      </c>
      <c r="F49" s="258"/>
      <c r="G49" s="1044">
        <v>8</v>
      </c>
      <c r="H49" s="258"/>
      <c r="I49" s="1044">
        <v>7</v>
      </c>
      <c r="J49" s="13">
        <v>4.45</v>
      </c>
      <c r="K49" s="1044">
        <v>7</v>
      </c>
      <c r="L49" s="13">
        <v>6.25</v>
      </c>
      <c r="M49" s="1044">
        <v>10</v>
      </c>
      <c r="N49" s="13">
        <v>6.55</v>
      </c>
      <c r="O49" s="1044">
        <v>10</v>
      </c>
      <c r="P49" s="13">
        <v>4.4000000000000004</v>
      </c>
      <c r="Q49" s="1044">
        <v>8</v>
      </c>
      <c r="R49" s="13">
        <v>2.4</v>
      </c>
      <c r="S49" s="1044">
        <v>4</v>
      </c>
      <c r="T49" s="345"/>
      <c r="U49" s="932"/>
      <c r="V49" s="195"/>
      <c r="W49" s="936">
        <f t="shared" ref="W49:W53" si="6">AVERAGE(T49,L49,N49,P49,R49)</f>
        <v>4.9000000000000004</v>
      </c>
      <c r="X49" s="1031">
        <f t="shared" si="5"/>
        <v>8</v>
      </c>
    </row>
    <row r="50" spans="1:24" s="1" customFormat="1" ht="15" customHeight="1" x14ac:dyDescent="0.2">
      <c r="A50" s="676" t="s">
        <v>45</v>
      </c>
      <c r="B50" s="345"/>
      <c r="C50" s="1054"/>
      <c r="D50" s="11"/>
      <c r="E50" s="1045"/>
      <c r="F50" s="13"/>
      <c r="G50" s="1045"/>
      <c r="H50" s="13"/>
      <c r="I50" s="1045"/>
      <c r="J50" s="13"/>
      <c r="K50" s="1045"/>
      <c r="L50" s="13"/>
      <c r="M50" s="1045"/>
      <c r="N50" s="13"/>
      <c r="O50" s="1045"/>
      <c r="P50" s="13"/>
      <c r="Q50" s="1045"/>
      <c r="R50" s="13"/>
      <c r="S50" s="1045"/>
      <c r="T50" s="345"/>
      <c r="U50" s="933"/>
      <c r="V50" s="195"/>
      <c r="W50" s="936"/>
      <c r="X50" s="1031"/>
    </row>
    <row r="51" spans="1:24" s="1" customFormat="1" ht="15" customHeight="1" x14ac:dyDescent="0.2">
      <c r="A51" s="678" t="s">
        <v>43</v>
      </c>
      <c r="B51" s="258"/>
      <c r="C51" s="1054">
        <v>0</v>
      </c>
      <c r="D51" s="260"/>
      <c r="E51" s="1045">
        <v>0</v>
      </c>
      <c r="F51" s="258"/>
      <c r="G51" s="1045">
        <v>0</v>
      </c>
      <c r="H51" s="258"/>
      <c r="I51" s="1045">
        <v>0</v>
      </c>
      <c r="J51" s="1036">
        <v>0</v>
      </c>
      <c r="K51" s="1045">
        <v>0</v>
      </c>
      <c r="L51" s="1036">
        <v>0</v>
      </c>
      <c r="M51" s="1045">
        <v>0</v>
      </c>
      <c r="N51" s="1036">
        <v>0</v>
      </c>
      <c r="O51" s="1045">
        <v>0</v>
      </c>
      <c r="P51" s="1036">
        <v>0</v>
      </c>
      <c r="Q51" s="1045">
        <v>0</v>
      </c>
      <c r="R51" s="1036">
        <v>0</v>
      </c>
      <c r="S51" s="1045">
        <v>0</v>
      </c>
      <c r="T51" s="1036"/>
      <c r="U51" s="933"/>
      <c r="V51" s="195"/>
      <c r="W51" s="936">
        <f t="shared" si="6"/>
        <v>0</v>
      </c>
      <c r="X51" s="1031">
        <f t="shared" si="5"/>
        <v>0</v>
      </c>
    </row>
    <row r="52" spans="1:24" s="1" customFormat="1" ht="15" customHeight="1" thickBot="1" x14ac:dyDescent="0.25">
      <c r="A52" s="939" t="s">
        <v>44</v>
      </c>
      <c r="B52" s="1017"/>
      <c r="C52" s="1060">
        <v>0</v>
      </c>
      <c r="D52" s="1050"/>
      <c r="E52" s="1056">
        <v>0</v>
      </c>
      <c r="F52" s="1017"/>
      <c r="G52" s="1056">
        <v>0</v>
      </c>
      <c r="H52" s="1017"/>
      <c r="I52" s="1056">
        <v>0</v>
      </c>
      <c r="J52" s="1039">
        <v>0</v>
      </c>
      <c r="K52" s="1056">
        <v>0</v>
      </c>
      <c r="L52" s="1039">
        <v>0</v>
      </c>
      <c r="M52" s="1056">
        <v>0</v>
      </c>
      <c r="N52" s="1039">
        <v>0</v>
      </c>
      <c r="O52" s="1056">
        <v>0</v>
      </c>
      <c r="P52" s="1039">
        <v>0</v>
      </c>
      <c r="Q52" s="1056">
        <v>0</v>
      </c>
      <c r="R52" s="1039">
        <v>0</v>
      </c>
      <c r="S52" s="1056">
        <v>0</v>
      </c>
      <c r="T52" s="1039"/>
      <c r="U52" s="934"/>
      <c r="V52" s="195"/>
      <c r="W52" s="1020">
        <f t="shared" si="6"/>
        <v>0</v>
      </c>
      <c r="X52" s="1032">
        <f t="shared" si="5"/>
        <v>0</v>
      </c>
    </row>
    <row r="53" spans="1:24" s="1" customFormat="1" ht="15" customHeight="1" thickBot="1" x14ac:dyDescent="0.25">
      <c r="A53" s="796" t="s">
        <v>28</v>
      </c>
      <c r="B53" s="1021"/>
      <c r="C53" s="824">
        <f>SUM(C48:C52)</f>
        <v>56</v>
      </c>
      <c r="D53" s="1022"/>
      <c r="E53" s="826">
        <f>SUM(E48:E52)</f>
        <v>55</v>
      </c>
      <c r="F53" s="1021"/>
      <c r="G53" s="826">
        <f>SUM(G48:G52)</f>
        <v>51</v>
      </c>
      <c r="H53" s="1021"/>
      <c r="I53" s="826">
        <f t="shared" ref="I53:S53" si="7">SUM(I48:I52)</f>
        <v>53</v>
      </c>
      <c r="J53" s="906">
        <f t="shared" si="7"/>
        <v>49.45</v>
      </c>
      <c r="K53" s="826">
        <f t="shared" si="7"/>
        <v>52</v>
      </c>
      <c r="L53" s="906">
        <f t="shared" si="7"/>
        <v>52.25</v>
      </c>
      <c r="M53" s="826">
        <f t="shared" si="7"/>
        <v>56</v>
      </c>
      <c r="N53" s="906">
        <f t="shared" si="7"/>
        <v>56.55</v>
      </c>
      <c r="O53" s="826">
        <f t="shared" si="7"/>
        <v>60</v>
      </c>
      <c r="P53" s="906">
        <f t="shared" si="7"/>
        <v>59.4</v>
      </c>
      <c r="Q53" s="826">
        <f t="shared" si="7"/>
        <v>63</v>
      </c>
      <c r="R53" s="906">
        <f t="shared" si="7"/>
        <v>63.4</v>
      </c>
      <c r="S53" s="826">
        <f t="shared" si="7"/>
        <v>65</v>
      </c>
      <c r="T53" s="906">
        <f t="shared" ref="T53:U53" si="8">SUM(T48:T52)</f>
        <v>0</v>
      </c>
      <c r="U53" s="1023">
        <f t="shared" si="8"/>
        <v>0</v>
      </c>
      <c r="V53" s="195"/>
      <c r="W53" s="1028">
        <f t="shared" si="6"/>
        <v>46.32</v>
      </c>
      <c r="X53" s="1033">
        <f t="shared" si="5"/>
        <v>48.8</v>
      </c>
    </row>
    <row r="54" spans="1:24" s="1" customFormat="1" ht="18" customHeight="1" thickBot="1" x14ac:dyDescent="0.25">
      <c r="A54" s="795" t="s">
        <v>253</v>
      </c>
      <c r="B54" s="801" t="s">
        <v>39</v>
      </c>
      <c r="C54" s="954" t="s">
        <v>46</v>
      </c>
      <c r="D54" s="801" t="s">
        <v>39</v>
      </c>
      <c r="E54" s="798" t="s">
        <v>46</v>
      </c>
      <c r="F54" s="799" t="s">
        <v>39</v>
      </c>
      <c r="G54" s="798" t="s">
        <v>46</v>
      </c>
      <c r="H54" s="799" t="s">
        <v>39</v>
      </c>
      <c r="I54" s="798" t="s">
        <v>46</v>
      </c>
      <c r="J54" s="799" t="s">
        <v>39</v>
      </c>
      <c r="K54" s="798" t="s">
        <v>46</v>
      </c>
      <c r="L54" s="799" t="s">
        <v>39</v>
      </c>
      <c r="M54" s="798" t="s">
        <v>46</v>
      </c>
      <c r="N54" s="799" t="s">
        <v>39</v>
      </c>
      <c r="O54" s="798" t="s">
        <v>46</v>
      </c>
      <c r="P54" s="799" t="s">
        <v>39</v>
      </c>
      <c r="Q54" s="798" t="s">
        <v>46</v>
      </c>
      <c r="R54" s="799" t="s">
        <v>39</v>
      </c>
      <c r="S54" s="798" t="s">
        <v>46</v>
      </c>
      <c r="T54" s="799" t="s">
        <v>39</v>
      </c>
      <c r="U54" s="804" t="s">
        <v>46</v>
      </c>
      <c r="V54" s="195"/>
      <c r="W54" s="832" t="s">
        <v>39</v>
      </c>
      <c r="X54" s="804" t="s">
        <v>46</v>
      </c>
    </row>
    <row r="55" spans="1:24" s="1" customFormat="1" ht="18" customHeight="1" x14ac:dyDescent="0.2">
      <c r="A55" s="680" t="s">
        <v>265</v>
      </c>
      <c r="B55" s="937"/>
      <c r="C55" s="196"/>
      <c r="D55" s="938"/>
      <c r="E55" s="197"/>
      <c r="F55" s="937"/>
      <c r="G55" s="197"/>
      <c r="H55" s="937"/>
      <c r="I55" s="197"/>
      <c r="J55" s="937"/>
      <c r="K55" s="197"/>
      <c r="L55" s="937"/>
      <c r="M55" s="197"/>
      <c r="N55" s="937"/>
      <c r="O55" s="197"/>
      <c r="P55" s="937"/>
      <c r="Q55" s="197"/>
      <c r="R55" s="937"/>
      <c r="S55" s="197"/>
      <c r="T55" s="937"/>
      <c r="U55" s="199"/>
      <c r="V55" s="195"/>
      <c r="W55" s="1026"/>
      <c r="X55" s="199"/>
    </row>
    <row r="56" spans="1:24" s="1" customFormat="1" ht="15" customHeight="1" x14ac:dyDescent="0.2">
      <c r="A56" s="706" t="s">
        <v>47</v>
      </c>
      <c r="B56" s="160">
        <f>39+13</f>
        <v>52</v>
      </c>
      <c r="C56" s="191">
        <f t="shared" ref="C56:C63" si="9">B56/C$53</f>
        <v>0.9285714285714286</v>
      </c>
      <c r="D56" s="156">
        <f>11+42</f>
        <v>53</v>
      </c>
      <c r="E56" s="192">
        <f t="shared" ref="E56:E63" si="10">D56/E$53</f>
        <v>0.96363636363636362</v>
      </c>
      <c r="F56" s="160">
        <v>46</v>
      </c>
      <c r="G56" s="192">
        <f t="shared" ref="G56:G63" si="11">F56/G$53</f>
        <v>0.90196078431372551</v>
      </c>
      <c r="H56" s="160">
        <v>49</v>
      </c>
      <c r="I56" s="192">
        <f t="shared" ref="I56:I63" si="12">H56/I$53</f>
        <v>0.92452830188679247</v>
      </c>
      <c r="J56" s="160">
        <f>40+7</f>
        <v>47</v>
      </c>
      <c r="K56" s="192">
        <f t="shared" ref="K56:K63" si="13">J56/K$53</f>
        <v>0.90384615384615385</v>
      </c>
      <c r="L56" s="160">
        <v>51</v>
      </c>
      <c r="M56" s="192">
        <f t="shared" ref="M56:M61" si="14">L56/M$53</f>
        <v>0.9107142857142857</v>
      </c>
      <c r="N56" s="160">
        <f>10+43</f>
        <v>53</v>
      </c>
      <c r="O56" s="192">
        <f t="shared" ref="O56:Q61" si="15">N56/O$53</f>
        <v>0.8833333333333333</v>
      </c>
      <c r="P56" s="160">
        <v>55</v>
      </c>
      <c r="Q56" s="192">
        <f t="shared" si="15"/>
        <v>0.87301587301587302</v>
      </c>
      <c r="R56" s="160">
        <v>54</v>
      </c>
      <c r="S56" s="192">
        <f t="shared" ref="S56:S61" si="16">R56/S$53</f>
        <v>0.83076923076923082</v>
      </c>
      <c r="T56" s="202"/>
      <c r="U56" s="203" t="e">
        <f t="shared" ref="U56:U61" si="17">T56/U$53</f>
        <v>#DIV/0!</v>
      </c>
      <c r="V56" s="204"/>
      <c r="W56" s="205">
        <f>AVERAGE(N56,L56,R56,T56,P56)</f>
        <v>53.25</v>
      </c>
      <c r="X56" s="206" t="e">
        <f>AVERAGE(O56,M56,S56,U56,Q56)</f>
        <v>#DIV/0!</v>
      </c>
    </row>
    <row r="57" spans="1:24" s="1" customFormat="1" ht="15" customHeight="1" x14ac:dyDescent="0.2">
      <c r="A57" s="207" t="s">
        <v>48</v>
      </c>
      <c r="B57" s="160">
        <v>1</v>
      </c>
      <c r="C57" s="191">
        <f t="shared" si="9"/>
        <v>1.7857142857142856E-2</v>
      </c>
      <c r="D57" s="156">
        <v>1</v>
      </c>
      <c r="E57" s="192">
        <f t="shared" si="10"/>
        <v>1.8181818181818181E-2</v>
      </c>
      <c r="F57" s="160">
        <v>1</v>
      </c>
      <c r="G57" s="192">
        <f t="shared" si="11"/>
        <v>1.9607843137254902E-2</v>
      </c>
      <c r="H57" s="160">
        <v>1</v>
      </c>
      <c r="I57" s="192">
        <f t="shared" si="12"/>
        <v>1.8867924528301886E-2</v>
      </c>
      <c r="J57" s="160">
        <f>0+1</f>
        <v>1</v>
      </c>
      <c r="K57" s="192">
        <f t="shared" si="13"/>
        <v>1.9230769230769232E-2</v>
      </c>
      <c r="L57" s="160">
        <v>0</v>
      </c>
      <c r="M57" s="192">
        <f t="shared" si="14"/>
        <v>0</v>
      </c>
      <c r="N57" s="160">
        <v>0</v>
      </c>
      <c r="O57" s="192">
        <f t="shared" si="15"/>
        <v>0</v>
      </c>
      <c r="P57" s="160">
        <v>1</v>
      </c>
      <c r="Q57" s="192">
        <f t="shared" si="15"/>
        <v>1.5873015873015872E-2</v>
      </c>
      <c r="R57" s="160">
        <v>1</v>
      </c>
      <c r="S57" s="192">
        <f t="shared" si="16"/>
        <v>1.5384615384615385E-2</v>
      </c>
      <c r="T57" s="202"/>
      <c r="U57" s="203" t="e">
        <f t="shared" si="17"/>
        <v>#DIV/0!</v>
      </c>
      <c r="V57" s="204"/>
      <c r="W57" s="205">
        <f t="shared" ref="W57:X75" si="18">AVERAGE(N57,L57,R57,T57,P57)</f>
        <v>0.5</v>
      </c>
      <c r="X57" s="206" t="e">
        <f t="shared" si="18"/>
        <v>#DIV/0!</v>
      </c>
    </row>
    <row r="58" spans="1:24" s="1" customFormat="1" ht="15" customHeight="1" x14ac:dyDescent="0.2">
      <c r="A58" s="207" t="s">
        <v>49</v>
      </c>
      <c r="B58" s="160">
        <v>0</v>
      </c>
      <c r="C58" s="191">
        <f t="shared" si="9"/>
        <v>0</v>
      </c>
      <c r="D58" s="156">
        <v>0</v>
      </c>
      <c r="E58" s="192">
        <f t="shared" si="10"/>
        <v>0</v>
      </c>
      <c r="F58" s="160">
        <v>1</v>
      </c>
      <c r="G58" s="192">
        <f t="shared" si="11"/>
        <v>1.9607843137254902E-2</v>
      </c>
      <c r="H58" s="160">
        <v>0</v>
      </c>
      <c r="I58" s="192">
        <f t="shared" si="12"/>
        <v>0</v>
      </c>
      <c r="J58" s="160">
        <f>0+1</f>
        <v>1</v>
      </c>
      <c r="K58" s="192">
        <f t="shared" si="13"/>
        <v>1.9230769230769232E-2</v>
      </c>
      <c r="L58" s="160">
        <v>2</v>
      </c>
      <c r="M58" s="192">
        <f t="shared" si="14"/>
        <v>3.5714285714285712E-2</v>
      </c>
      <c r="N58" s="160">
        <v>1</v>
      </c>
      <c r="O58" s="192">
        <f t="shared" si="15"/>
        <v>1.6666666666666666E-2</v>
      </c>
      <c r="P58" s="160">
        <v>1</v>
      </c>
      <c r="Q58" s="192">
        <f t="shared" si="15"/>
        <v>1.5873015873015872E-2</v>
      </c>
      <c r="R58" s="160">
        <v>3</v>
      </c>
      <c r="S58" s="192">
        <f t="shared" si="16"/>
        <v>4.6153846153846156E-2</v>
      </c>
      <c r="T58" s="202"/>
      <c r="U58" s="203" t="e">
        <f t="shared" si="17"/>
        <v>#DIV/0!</v>
      </c>
      <c r="V58" s="204"/>
      <c r="W58" s="205">
        <f t="shared" si="18"/>
        <v>1.75</v>
      </c>
      <c r="X58" s="206" t="e">
        <f t="shared" si="18"/>
        <v>#DIV/0!</v>
      </c>
    </row>
    <row r="59" spans="1:24" s="1" customFormat="1" ht="15" customHeight="1" x14ac:dyDescent="0.2">
      <c r="A59" s="207" t="s">
        <v>50</v>
      </c>
      <c r="B59" s="160">
        <v>0</v>
      </c>
      <c r="C59" s="191">
        <f t="shared" si="9"/>
        <v>0</v>
      </c>
      <c r="D59" s="156">
        <v>0</v>
      </c>
      <c r="E59" s="192">
        <f t="shared" si="10"/>
        <v>0</v>
      </c>
      <c r="F59" s="160">
        <v>0</v>
      </c>
      <c r="G59" s="192">
        <f t="shared" si="11"/>
        <v>0</v>
      </c>
      <c r="H59" s="160">
        <v>0</v>
      </c>
      <c r="I59" s="192">
        <f t="shared" si="12"/>
        <v>0</v>
      </c>
      <c r="J59" s="160">
        <v>0</v>
      </c>
      <c r="K59" s="192">
        <f t="shared" si="13"/>
        <v>0</v>
      </c>
      <c r="L59" s="160">
        <v>0</v>
      </c>
      <c r="M59" s="192">
        <f t="shared" si="14"/>
        <v>0</v>
      </c>
      <c r="N59" s="160">
        <v>0</v>
      </c>
      <c r="O59" s="192">
        <f t="shared" si="15"/>
        <v>0</v>
      </c>
      <c r="P59" s="160">
        <v>0</v>
      </c>
      <c r="Q59" s="192">
        <f t="shared" si="15"/>
        <v>0</v>
      </c>
      <c r="R59" s="160">
        <v>0</v>
      </c>
      <c r="S59" s="192">
        <f t="shared" si="16"/>
        <v>0</v>
      </c>
      <c r="T59" s="202"/>
      <c r="U59" s="203" t="e">
        <f t="shared" si="17"/>
        <v>#DIV/0!</v>
      </c>
      <c r="V59" s="204"/>
      <c r="W59" s="205">
        <f t="shared" si="18"/>
        <v>0</v>
      </c>
      <c r="X59" s="206" t="e">
        <f t="shared" si="18"/>
        <v>#DIV/0!</v>
      </c>
    </row>
    <row r="60" spans="1:24" s="1" customFormat="1" ht="15" customHeight="1" x14ac:dyDescent="0.2">
      <c r="A60" s="207" t="s">
        <v>51</v>
      </c>
      <c r="B60" s="160">
        <v>0</v>
      </c>
      <c r="C60" s="191">
        <f t="shared" si="9"/>
        <v>0</v>
      </c>
      <c r="D60" s="156">
        <v>0</v>
      </c>
      <c r="E60" s="192">
        <f t="shared" si="10"/>
        <v>0</v>
      </c>
      <c r="F60" s="160">
        <v>0</v>
      </c>
      <c r="G60" s="192">
        <f t="shared" si="11"/>
        <v>0</v>
      </c>
      <c r="H60" s="160">
        <v>1</v>
      </c>
      <c r="I60" s="192">
        <f t="shared" si="12"/>
        <v>1.8867924528301886E-2</v>
      </c>
      <c r="J60" s="160">
        <f>0+1</f>
        <v>1</v>
      </c>
      <c r="K60" s="192">
        <f t="shared" si="13"/>
        <v>1.9230769230769232E-2</v>
      </c>
      <c r="L60" s="160">
        <v>1</v>
      </c>
      <c r="M60" s="192">
        <f t="shared" si="14"/>
        <v>1.7857142857142856E-2</v>
      </c>
      <c r="N60" s="160">
        <v>1</v>
      </c>
      <c r="O60" s="192">
        <f t="shared" si="15"/>
        <v>1.6666666666666666E-2</v>
      </c>
      <c r="P60" s="160">
        <v>1</v>
      </c>
      <c r="Q60" s="192">
        <f t="shared" si="15"/>
        <v>1.5873015873015872E-2</v>
      </c>
      <c r="R60" s="160">
        <v>2</v>
      </c>
      <c r="S60" s="192">
        <f t="shared" si="16"/>
        <v>3.0769230769230771E-2</v>
      </c>
      <c r="T60" s="202"/>
      <c r="U60" s="203" t="e">
        <f t="shared" si="17"/>
        <v>#DIV/0!</v>
      </c>
      <c r="V60" s="204"/>
      <c r="W60" s="205">
        <f t="shared" si="18"/>
        <v>1.25</v>
      </c>
      <c r="X60" s="206" t="e">
        <f t="shared" si="18"/>
        <v>#DIV/0!</v>
      </c>
    </row>
    <row r="61" spans="1:24" s="1" customFormat="1" ht="15" customHeight="1" x14ac:dyDescent="0.2">
      <c r="A61" s="207" t="s">
        <v>52</v>
      </c>
      <c r="B61" s="160">
        <v>3</v>
      </c>
      <c r="C61" s="191">
        <f t="shared" si="9"/>
        <v>5.3571428571428568E-2</v>
      </c>
      <c r="D61" s="156">
        <v>1</v>
      </c>
      <c r="E61" s="192">
        <f t="shared" si="10"/>
        <v>1.8181818181818181E-2</v>
      </c>
      <c r="F61" s="160">
        <v>1</v>
      </c>
      <c r="G61" s="192">
        <f t="shared" si="11"/>
        <v>1.9607843137254902E-2</v>
      </c>
      <c r="H61" s="160">
        <v>0</v>
      </c>
      <c r="I61" s="192">
        <f t="shared" si="12"/>
        <v>0</v>
      </c>
      <c r="J61" s="160">
        <f>0</f>
        <v>0</v>
      </c>
      <c r="K61" s="192">
        <f t="shared" si="13"/>
        <v>0</v>
      </c>
      <c r="L61" s="160">
        <v>0</v>
      </c>
      <c r="M61" s="192">
        <f t="shared" si="14"/>
        <v>0</v>
      </c>
      <c r="N61" s="160">
        <v>2</v>
      </c>
      <c r="O61" s="192">
        <f t="shared" si="15"/>
        <v>3.3333333333333333E-2</v>
      </c>
      <c r="P61" s="160">
        <v>2</v>
      </c>
      <c r="Q61" s="192">
        <f t="shared" si="15"/>
        <v>3.1746031746031744E-2</v>
      </c>
      <c r="R61" s="160">
        <v>2</v>
      </c>
      <c r="S61" s="192">
        <f t="shared" si="16"/>
        <v>3.0769230769230771E-2</v>
      </c>
      <c r="T61" s="202"/>
      <c r="U61" s="203" t="e">
        <f t="shared" si="17"/>
        <v>#DIV/0!</v>
      </c>
      <c r="V61" s="204"/>
      <c r="W61" s="205">
        <f t="shared" si="18"/>
        <v>1.5</v>
      </c>
      <c r="X61" s="206" t="e">
        <f t="shared" si="18"/>
        <v>#DIV/0!</v>
      </c>
    </row>
    <row r="62" spans="1:24" s="1" customFormat="1" ht="15" customHeight="1" x14ac:dyDescent="0.2">
      <c r="A62" s="207" t="s">
        <v>53</v>
      </c>
      <c r="B62" s="167"/>
      <c r="C62" s="165">
        <f t="shared" si="9"/>
        <v>0</v>
      </c>
      <c r="D62" s="164"/>
      <c r="E62" s="166"/>
      <c r="F62" s="167"/>
      <c r="G62" s="166"/>
      <c r="H62" s="160">
        <v>1</v>
      </c>
      <c r="I62" s="192">
        <f t="shared" si="12"/>
        <v>1.8867924528301886E-2</v>
      </c>
      <c r="J62" s="160">
        <f>0+1</f>
        <v>1</v>
      </c>
      <c r="K62" s="192">
        <f t="shared" si="13"/>
        <v>1.9230769230769232E-2</v>
      </c>
      <c r="L62" s="160">
        <v>1</v>
      </c>
      <c r="M62" s="192">
        <f>L62/M$53</f>
        <v>1.7857142857142856E-2</v>
      </c>
      <c r="N62" s="160">
        <v>1</v>
      </c>
      <c r="O62" s="192">
        <f>N62/O$53</f>
        <v>1.6666666666666666E-2</v>
      </c>
      <c r="P62" s="160">
        <v>1</v>
      </c>
      <c r="Q62" s="192">
        <f>P62/Q$53</f>
        <v>1.5873015873015872E-2</v>
      </c>
      <c r="R62" s="160">
        <v>2</v>
      </c>
      <c r="S62" s="192">
        <f>R62/S$53</f>
        <v>3.0769230769230771E-2</v>
      </c>
      <c r="T62" s="202"/>
      <c r="U62" s="203" t="e">
        <f>T62/U$53</f>
        <v>#DIV/0!</v>
      </c>
      <c r="V62" s="204"/>
      <c r="W62" s="205">
        <f t="shared" si="18"/>
        <v>1.25</v>
      </c>
      <c r="X62" s="206" t="e">
        <f t="shared" si="18"/>
        <v>#DIV/0!</v>
      </c>
    </row>
    <row r="63" spans="1:24" s="1" customFormat="1" ht="15" customHeight="1" thickBot="1" x14ac:dyDescent="0.25">
      <c r="A63" s="696" t="s">
        <v>54</v>
      </c>
      <c r="B63" s="162">
        <v>0</v>
      </c>
      <c r="C63" s="724">
        <f t="shared" si="9"/>
        <v>0</v>
      </c>
      <c r="D63" s="158">
        <v>0</v>
      </c>
      <c r="E63" s="725">
        <f t="shared" si="10"/>
        <v>0</v>
      </c>
      <c r="F63" s="162">
        <v>2</v>
      </c>
      <c r="G63" s="725">
        <f t="shared" si="11"/>
        <v>3.9215686274509803E-2</v>
      </c>
      <c r="H63" s="162">
        <v>1</v>
      </c>
      <c r="I63" s="725">
        <f t="shared" si="12"/>
        <v>1.8867924528301886E-2</v>
      </c>
      <c r="J63" s="162">
        <f>0+1</f>
        <v>1</v>
      </c>
      <c r="K63" s="725">
        <f t="shared" si="13"/>
        <v>1.9230769230769232E-2</v>
      </c>
      <c r="L63" s="162">
        <v>1</v>
      </c>
      <c r="M63" s="725">
        <f>L63/M$53</f>
        <v>1.7857142857142856E-2</v>
      </c>
      <c r="N63" s="162">
        <v>2</v>
      </c>
      <c r="O63" s="725">
        <f>N63/O$53</f>
        <v>3.3333333333333333E-2</v>
      </c>
      <c r="P63" s="162">
        <v>2</v>
      </c>
      <c r="Q63" s="725">
        <f>P63/Q$53</f>
        <v>3.1746031746031744E-2</v>
      </c>
      <c r="R63" s="162">
        <v>1</v>
      </c>
      <c r="S63" s="725">
        <f>R63/S$53</f>
        <v>1.5384615384615385E-2</v>
      </c>
      <c r="T63" s="193"/>
      <c r="U63" s="726" t="e">
        <f>T63/U$53</f>
        <v>#DIV/0!</v>
      </c>
      <c r="V63" s="204"/>
      <c r="W63" s="727">
        <f t="shared" si="18"/>
        <v>1.5</v>
      </c>
      <c r="X63" s="728" t="e">
        <f t="shared" si="18"/>
        <v>#DIV/0!</v>
      </c>
    </row>
    <row r="64" spans="1:24" s="1" customFormat="1" ht="18" customHeight="1" x14ac:dyDescent="0.2">
      <c r="A64" s="680" t="s">
        <v>55</v>
      </c>
      <c r="B64" s="914"/>
      <c r="C64" s="732"/>
      <c r="D64" s="912"/>
      <c r="E64" s="733"/>
      <c r="F64" s="914"/>
      <c r="G64" s="733"/>
      <c r="H64" s="914"/>
      <c r="I64" s="733"/>
      <c r="J64" s="914"/>
      <c r="K64" s="733"/>
      <c r="L64" s="914"/>
      <c r="M64" s="733"/>
      <c r="N64" s="914"/>
      <c r="O64" s="733"/>
      <c r="P64" s="914"/>
      <c r="Q64" s="733"/>
      <c r="R64" s="914"/>
      <c r="S64" s="733"/>
      <c r="T64" s="734"/>
      <c r="U64" s="735"/>
      <c r="V64" s="204"/>
      <c r="W64" s="736"/>
      <c r="X64" s="737"/>
    </row>
    <row r="65" spans="1:24" s="1" customFormat="1" ht="15" customHeight="1" x14ac:dyDescent="0.2">
      <c r="A65" s="200" t="s">
        <v>56</v>
      </c>
      <c r="B65" s="48">
        <v>17</v>
      </c>
      <c r="C65" s="191">
        <f>B65/C$53</f>
        <v>0.30357142857142855</v>
      </c>
      <c r="D65" s="132">
        <f>3+14</f>
        <v>17</v>
      </c>
      <c r="E65" s="192">
        <f>D65/E$53</f>
        <v>0.30909090909090908</v>
      </c>
      <c r="F65" s="48">
        <v>15</v>
      </c>
      <c r="G65" s="192">
        <f>F65/G$53</f>
        <v>0.29411764705882354</v>
      </c>
      <c r="H65" s="48">
        <v>17</v>
      </c>
      <c r="I65" s="192">
        <f>H65/I$53</f>
        <v>0.32075471698113206</v>
      </c>
      <c r="J65" s="48">
        <f>2+16</f>
        <v>18</v>
      </c>
      <c r="K65" s="192">
        <f>J65/K$53</f>
        <v>0.34615384615384615</v>
      </c>
      <c r="L65" s="48">
        <v>21</v>
      </c>
      <c r="M65" s="192">
        <f>L65/M$53</f>
        <v>0.375</v>
      </c>
      <c r="N65" s="48">
        <f>3+18</f>
        <v>21</v>
      </c>
      <c r="O65" s="192">
        <f>N65/O$53</f>
        <v>0.35</v>
      </c>
      <c r="P65" s="48">
        <v>23</v>
      </c>
      <c r="Q65" s="192">
        <f>P65/Q$53</f>
        <v>0.36507936507936506</v>
      </c>
      <c r="R65" s="48">
        <v>22</v>
      </c>
      <c r="S65" s="192">
        <f>R65/S$53</f>
        <v>0.33846153846153848</v>
      </c>
      <c r="T65" s="209"/>
      <c r="U65" s="203" t="e">
        <f>T65/U$53</f>
        <v>#DIV/0!</v>
      </c>
      <c r="V65" s="204"/>
      <c r="W65" s="205">
        <f t="shared" si="18"/>
        <v>21.75</v>
      </c>
      <c r="X65" s="206" t="e">
        <f t="shared" si="18"/>
        <v>#DIV/0!</v>
      </c>
    </row>
    <row r="66" spans="1:24" s="1" customFormat="1" ht="15" customHeight="1" thickBot="1" x14ac:dyDescent="0.25">
      <c r="A66" s="696" t="s">
        <v>57</v>
      </c>
      <c r="B66" s="911">
        <v>39</v>
      </c>
      <c r="C66" s="724">
        <f>B66/C$53</f>
        <v>0.6964285714285714</v>
      </c>
      <c r="D66" s="910">
        <f>8+30</f>
        <v>38</v>
      </c>
      <c r="E66" s="725">
        <f>D66/E$53</f>
        <v>0.69090909090909092</v>
      </c>
      <c r="F66" s="911">
        <v>36</v>
      </c>
      <c r="G66" s="725">
        <f>F66/G$53</f>
        <v>0.70588235294117652</v>
      </c>
      <c r="H66" s="911">
        <v>36</v>
      </c>
      <c r="I66" s="725">
        <f>H66/I$53</f>
        <v>0.67924528301886788</v>
      </c>
      <c r="J66" s="911">
        <f>5+29</f>
        <v>34</v>
      </c>
      <c r="K66" s="725">
        <f>J66/K$53</f>
        <v>0.65384615384615385</v>
      </c>
      <c r="L66" s="911">
        <v>35</v>
      </c>
      <c r="M66" s="725">
        <f>L66/M$53</f>
        <v>0.625</v>
      </c>
      <c r="N66" s="911">
        <f>7+32</f>
        <v>39</v>
      </c>
      <c r="O66" s="725">
        <f>N66/O$53</f>
        <v>0.65</v>
      </c>
      <c r="P66" s="911">
        <v>40</v>
      </c>
      <c r="Q66" s="725">
        <f>P66/Q$53</f>
        <v>0.63492063492063489</v>
      </c>
      <c r="R66" s="911">
        <v>43</v>
      </c>
      <c r="S66" s="725">
        <f>R66/S$53</f>
        <v>0.66153846153846152</v>
      </c>
      <c r="T66" s="730"/>
      <c r="U66" s="726" t="e">
        <f>T66/U$53</f>
        <v>#DIV/0!</v>
      </c>
      <c r="V66" s="204"/>
      <c r="W66" s="727">
        <f t="shared" si="18"/>
        <v>39.25</v>
      </c>
      <c r="X66" s="728" t="e">
        <f t="shared" si="18"/>
        <v>#DIV/0!</v>
      </c>
    </row>
    <row r="67" spans="1:24" s="1" customFormat="1" ht="18" customHeight="1" x14ac:dyDescent="0.2">
      <c r="A67" s="680" t="s">
        <v>58</v>
      </c>
      <c r="B67" s="918"/>
      <c r="C67" s="739"/>
      <c r="D67" s="917"/>
      <c r="E67" s="740"/>
      <c r="F67" s="918"/>
      <c r="G67" s="740"/>
      <c r="H67" s="918"/>
      <c r="I67" s="740"/>
      <c r="J67" s="918"/>
      <c r="K67" s="740"/>
      <c r="L67" s="918"/>
      <c r="M67" s="740"/>
      <c r="N67" s="918"/>
      <c r="O67" s="740"/>
      <c r="P67" s="918"/>
      <c r="Q67" s="740"/>
      <c r="R67" s="918"/>
      <c r="S67" s="740"/>
      <c r="T67" s="741"/>
      <c r="U67" s="742"/>
      <c r="V67" s="204"/>
      <c r="W67" s="736"/>
      <c r="X67" s="737"/>
    </row>
    <row r="68" spans="1:24" s="1" customFormat="1" ht="15" customHeight="1" x14ac:dyDescent="0.2">
      <c r="A68" s="200" t="s">
        <v>59</v>
      </c>
      <c r="B68" s="134">
        <v>21</v>
      </c>
      <c r="C68" s="191">
        <f>B68/C$53</f>
        <v>0.375</v>
      </c>
      <c r="D68" s="133">
        <f>2+19</f>
        <v>21</v>
      </c>
      <c r="E68" s="192">
        <f>D68/E$53</f>
        <v>0.38181818181818183</v>
      </c>
      <c r="F68" s="134">
        <v>21</v>
      </c>
      <c r="G68" s="192">
        <f>F68/G$53</f>
        <v>0.41176470588235292</v>
      </c>
      <c r="H68" s="134">
        <v>20</v>
      </c>
      <c r="I68" s="192">
        <f>H68/I$53</f>
        <v>0.37735849056603776</v>
      </c>
      <c r="J68" s="134">
        <f>3+17</f>
        <v>20</v>
      </c>
      <c r="K68" s="192">
        <f>J68/K$53</f>
        <v>0.38461538461538464</v>
      </c>
      <c r="L68" s="134">
        <v>22</v>
      </c>
      <c r="M68" s="192">
        <f>L68/M$53</f>
        <v>0.39285714285714285</v>
      </c>
      <c r="N68" s="134">
        <f>3+19</f>
        <v>22</v>
      </c>
      <c r="O68" s="192">
        <f>N68/O$53</f>
        <v>0.36666666666666664</v>
      </c>
      <c r="P68" s="134">
        <v>26</v>
      </c>
      <c r="Q68" s="192">
        <f>P68/Q$53</f>
        <v>0.41269841269841268</v>
      </c>
      <c r="R68" s="134">
        <v>26</v>
      </c>
      <c r="S68" s="192">
        <f t="shared" ref="S68:S75" si="19">R68/S$53</f>
        <v>0.4</v>
      </c>
      <c r="T68" s="211"/>
      <c r="U68" s="203" t="e">
        <f t="shared" ref="U68:U70" si="20">T68/U$53</f>
        <v>#DIV/0!</v>
      </c>
      <c r="V68" s="204"/>
      <c r="W68" s="205">
        <f t="shared" si="18"/>
        <v>24</v>
      </c>
      <c r="X68" s="206" t="e">
        <f t="shared" si="18"/>
        <v>#DIV/0!</v>
      </c>
    </row>
    <row r="69" spans="1:24" s="1" customFormat="1" ht="15" customHeight="1" x14ac:dyDescent="0.2">
      <c r="A69" s="200" t="s">
        <v>60</v>
      </c>
      <c r="B69" s="134">
        <v>8</v>
      </c>
      <c r="C69" s="191">
        <f>B69/C$53</f>
        <v>0.14285714285714285</v>
      </c>
      <c r="D69" s="133">
        <v>9</v>
      </c>
      <c r="E69" s="192">
        <f>D69/E$53</f>
        <v>0.16363636363636364</v>
      </c>
      <c r="F69" s="134">
        <v>7</v>
      </c>
      <c r="G69" s="192">
        <f>F69/G$53</f>
        <v>0.13725490196078433</v>
      </c>
      <c r="H69" s="134">
        <v>8</v>
      </c>
      <c r="I69" s="192">
        <f>H69/I$53</f>
        <v>0.15094339622641509</v>
      </c>
      <c r="J69" s="134">
        <f>0+9</f>
        <v>9</v>
      </c>
      <c r="K69" s="192">
        <f>J69/K$53</f>
        <v>0.17307692307692307</v>
      </c>
      <c r="L69" s="134">
        <v>8</v>
      </c>
      <c r="M69" s="192">
        <f>L69/M$53</f>
        <v>0.14285714285714285</v>
      </c>
      <c r="N69" s="134">
        <v>8</v>
      </c>
      <c r="O69" s="192">
        <f>N69/O$53</f>
        <v>0.13333333333333333</v>
      </c>
      <c r="P69" s="134">
        <v>7</v>
      </c>
      <c r="Q69" s="192">
        <f>P69/Q$53</f>
        <v>0.1111111111111111</v>
      </c>
      <c r="R69" s="134">
        <v>8</v>
      </c>
      <c r="S69" s="192">
        <f t="shared" si="19"/>
        <v>0.12307692307692308</v>
      </c>
      <c r="T69" s="211"/>
      <c r="U69" s="203" t="e">
        <f t="shared" si="20"/>
        <v>#DIV/0!</v>
      </c>
      <c r="V69" s="204"/>
      <c r="W69" s="205">
        <f t="shared" si="18"/>
        <v>7.75</v>
      </c>
      <c r="X69" s="206" t="e">
        <f t="shared" si="18"/>
        <v>#DIV/0!</v>
      </c>
    </row>
    <row r="70" spans="1:24" s="1" customFormat="1" ht="15" customHeight="1" thickBot="1" x14ac:dyDescent="0.25">
      <c r="A70" s="696" t="s">
        <v>61</v>
      </c>
      <c r="B70" s="911">
        <v>27</v>
      </c>
      <c r="C70" s="724">
        <f>B70/C$53</f>
        <v>0.48214285714285715</v>
      </c>
      <c r="D70" s="910">
        <f>9+16</f>
        <v>25</v>
      </c>
      <c r="E70" s="725">
        <f>D70/E$53</f>
        <v>0.45454545454545453</v>
      </c>
      <c r="F70" s="911">
        <v>23</v>
      </c>
      <c r="G70" s="725">
        <f>F70/G$53</f>
        <v>0.45098039215686275</v>
      </c>
      <c r="H70" s="911">
        <v>25</v>
      </c>
      <c r="I70" s="725">
        <f>H70/I$53</f>
        <v>0.47169811320754718</v>
      </c>
      <c r="J70" s="911">
        <f>19+4</f>
        <v>23</v>
      </c>
      <c r="K70" s="725">
        <f>J70/K$53</f>
        <v>0.44230769230769229</v>
      </c>
      <c r="L70" s="911">
        <v>26</v>
      </c>
      <c r="M70" s="725">
        <f>L70/M$53</f>
        <v>0.4642857142857143</v>
      </c>
      <c r="N70" s="911">
        <f>7+23</f>
        <v>30</v>
      </c>
      <c r="O70" s="725">
        <f>N70/O$53</f>
        <v>0.5</v>
      </c>
      <c r="P70" s="911">
        <v>30</v>
      </c>
      <c r="Q70" s="725">
        <f>P70/Q$53</f>
        <v>0.47619047619047616</v>
      </c>
      <c r="R70" s="911">
        <v>31</v>
      </c>
      <c r="S70" s="725">
        <f t="shared" si="19"/>
        <v>0.47692307692307695</v>
      </c>
      <c r="T70" s="730"/>
      <c r="U70" s="726" t="e">
        <f t="shared" si="20"/>
        <v>#DIV/0!</v>
      </c>
      <c r="V70" s="204"/>
      <c r="W70" s="727">
        <f t="shared" si="18"/>
        <v>29.25</v>
      </c>
      <c r="X70" s="728" t="e">
        <f t="shared" si="18"/>
        <v>#DIV/0!</v>
      </c>
    </row>
    <row r="71" spans="1:24" s="1" customFormat="1" ht="18" customHeight="1" x14ac:dyDescent="0.2">
      <c r="A71" s="680" t="s">
        <v>62</v>
      </c>
      <c r="B71" s="918"/>
      <c r="C71" s="739"/>
      <c r="D71" s="917"/>
      <c r="E71" s="740"/>
      <c r="F71" s="918"/>
      <c r="G71" s="740"/>
      <c r="H71" s="918"/>
      <c r="I71" s="740"/>
      <c r="J71" s="918"/>
      <c r="K71" s="740"/>
      <c r="L71" s="918"/>
      <c r="M71" s="740"/>
      <c r="N71" s="918"/>
      <c r="O71" s="740"/>
      <c r="P71" s="918"/>
      <c r="Q71" s="740"/>
      <c r="R71" s="918"/>
      <c r="S71" s="740"/>
      <c r="T71" s="741"/>
      <c r="U71" s="742"/>
      <c r="V71" s="204"/>
      <c r="W71" s="736"/>
      <c r="X71" s="737"/>
    </row>
    <row r="72" spans="1:24" s="1" customFormat="1" ht="15" customHeight="1" x14ac:dyDescent="0.2">
      <c r="A72" s="200" t="s">
        <v>63</v>
      </c>
      <c r="B72" s="134">
        <v>28</v>
      </c>
      <c r="C72" s="191">
        <f>B72/C$53</f>
        <v>0.5</v>
      </c>
      <c r="D72" s="133">
        <f>2+30</f>
        <v>32</v>
      </c>
      <c r="E72" s="192">
        <f>D72/E$53</f>
        <v>0.58181818181818179</v>
      </c>
      <c r="F72" s="134">
        <v>29</v>
      </c>
      <c r="G72" s="192">
        <f>F72/G$53</f>
        <v>0.56862745098039214</v>
      </c>
      <c r="H72" s="134">
        <v>30</v>
      </c>
      <c r="I72" s="192">
        <f>H72/I$53</f>
        <v>0.56603773584905659</v>
      </c>
      <c r="J72" s="134">
        <f>3+28</f>
        <v>31</v>
      </c>
      <c r="K72" s="192">
        <f>J72/K$53</f>
        <v>0.59615384615384615</v>
      </c>
      <c r="L72" s="134">
        <v>31</v>
      </c>
      <c r="M72" s="192">
        <f>L72/M$53</f>
        <v>0.5535714285714286</v>
      </c>
      <c r="N72" s="134">
        <f>3+29</f>
        <v>32</v>
      </c>
      <c r="O72" s="192">
        <f>N72/O$53</f>
        <v>0.53333333333333333</v>
      </c>
      <c r="P72" s="134">
        <v>34</v>
      </c>
      <c r="Q72" s="192">
        <f>P72/Q$53</f>
        <v>0.53968253968253965</v>
      </c>
      <c r="R72" s="134">
        <v>36</v>
      </c>
      <c r="S72" s="192">
        <f t="shared" si="19"/>
        <v>0.55384615384615388</v>
      </c>
      <c r="T72" s="211"/>
      <c r="U72" s="203" t="e">
        <f t="shared" ref="U72:U75" si="21">T72/U$53</f>
        <v>#DIV/0!</v>
      </c>
      <c r="V72" s="204"/>
      <c r="W72" s="205">
        <f t="shared" si="18"/>
        <v>33.25</v>
      </c>
      <c r="X72" s="206" t="e">
        <f t="shared" si="18"/>
        <v>#DIV/0!</v>
      </c>
    </row>
    <row r="73" spans="1:24" s="1" customFormat="1" ht="15" customHeight="1" x14ac:dyDescent="0.2">
      <c r="A73" s="200" t="s">
        <v>64</v>
      </c>
      <c r="B73" s="134">
        <v>26</v>
      </c>
      <c r="C73" s="191">
        <f>B73/C$53</f>
        <v>0.4642857142857143</v>
      </c>
      <c r="D73" s="133">
        <f>8+14</f>
        <v>22</v>
      </c>
      <c r="E73" s="192">
        <f>D73/E$53</f>
        <v>0.4</v>
      </c>
      <c r="F73" s="134">
        <v>22</v>
      </c>
      <c r="G73" s="192">
        <f>F73/G$53</f>
        <v>0.43137254901960786</v>
      </c>
      <c r="H73" s="134">
        <v>22</v>
      </c>
      <c r="I73" s="192">
        <f>H73/I$53</f>
        <v>0.41509433962264153</v>
      </c>
      <c r="J73" s="134">
        <f>4+17</f>
        <v>21</v>
      </c>
      <c r="K73" s="192">
        <f>J73/K$53</f>
        <v>0.40384615384615385</v>
      </c>
      <c r="L73" s="134">
        <v>25</v>
      </c>
      <c r="M73" s="192">
        <f>L73/M$53</f>
        <v>0.44642857142857145</v>
      </c>
      <c r="N73" s="134">
        <f>7+21</f>
        <v>28</v>
      </c>
      <c r="O73" s="192">
        <f>N73/O$53</f>
        <v>0.46666666666666667</v>
      </c>
      <c r="P73" s="134">
        <v>29</v>
      </c>
      <c r="Q73" s="192">
        <f>P73/Q$53</f>
        <v>0.46031746031746029</v>
      </c>
      <c r="R73" s="134">
        <v>29</v>
      </c>
      <c r="S73" s="192">
        <f t="shared" si="19"/>
        <v>0.44615384615384618</v>
      </c>
      <c r="T73" s="211"/>
      <c r="U73" s="203" t="e">
        <f t="shared" si="21"/>
        <v>#DIV/0!</v>
      </c>
      <c r="V73" s="204"/>
      <c r="W73" s="205">
        <f t="shared" si="18"/>
        <v>27.75</v>
      </c>
      <c r="X73" s="206" t="e">
        <f t="shared" si="18"/>
        <v>#DIV/0!</v>
      </c>
    </row>
    <row r="74" spans="1:24" s="1" customFormat="1" ht="15" customHeight="1" x14ac:dyDescent="0.2">
      <c r="A74" s="200" t="s">
        <v>65</v>
      </c>
      <c r="B74" s="134">
        <v>2</v>
      </c>
      <c r="C74" s="191">
        <f>B74/C$53</f>
        <v>3.5714285714285712E-2</v>
      </c>
      <c r="D74" s="133">
        <f>1</f>
        <v>1</v>
      </c>
      <c r="E74" s="192">
        <f>D74/E$53</f>
        <v>1.8181818181818181E-2</v>
      </c>
      <c r="F74" s="134">
        <v>0</v>
      </c>
      <c r="G74" s="192">
        <f>F74/G$53</f>
        <v>0</v>
      </c>
      <c r="H74" s="134">
        <v>1</v>
      </c>
      <c r="I74" s="192">
        <f>H74/I$53</f>
        <v>1.8867924528301886E-2</v>
      </c>
      <c r="J74" s="134">
        <f>0</f>
        <v>0</v>
      </c>
      <c r="K74" s="192">
        <f>J74/K$53</f>
        <v>0</v>
      </c>
      <c r="L74" s="134">
        <v>0</v>
      </c>
      <c r="M74" s="192">
        <f>L74/M$53</f>
        <v>0</v>
      </c>
      <c r="N74" s="134">
        <v>0</v>
      </c>
      <c r="O74" s="192">
        <f>N74/O$53</f>
        <v>0</v>
      </c>
      <c r="P74" s="134">
        <v>0</v>
      </c>
      <c r="Q74" s="192">
        <f>P74/Q$53</f>
        <v>0</v>
      </c>
      <c r="R74" s="134">
        <v>0</v>
      </c>
      <c r="S74" s="192">
        <f t="shared" si="19"/>
        <v>0</v>
      </c>
      <c r="T74" s="211"/>
      <c r="U74" s="203" t="e">
        <f t="shared" si="21"/>
        <v>#DIV/0!</v>
      </c>
      <c r="V74" s="195"/>
      <c r="W74" s="205">
        <f t="shared" si="18"/>
        <v>0</v>
      </c>
      <c r="X74" s="206" t="e">
        <f t="shared" si="18"/>
        <v>#DIV/0!</v>
      </c>
    </row>
    <row r="75" spans="1:24" s="1" customFormat="1" ht="15" customHeight="1" thickBot="1" x14ac:dyDescent="0.25">
      <c r="A75" s="212" t="s">
        <v>66</v>
      </c>
      <c r="B75" s="163">
        <v>0</v>
      </c>
      <c r="C75" s="214">
        <f>B75/C$53</f>
        <v>0</v>
      </c>
      <c r="D75" s="159">
        <v>0</v>
      </c>
      <c r="E75" s="215">
        <f>D75/E$53</f>
        <v>0</v>
      </c>
      <c r="F75" s="163">
        <v>0</v>
      </c>
      <c r="G75" s="215">
        <f>F75/G$53</f>
        <v>0</v>
      </c>
      <c r="H75" s="163">
        <v>0</v>
      </c>
      <c r="I75" s="215">
        <f>H75/I$53</f>
        <v>0</v>
      </c>
      <c r="J75" s="163">
        <f>0</f>
        <v>0</v>
      </c>
      <c r="K75" s="215">
        <f>J75/K$53</f>
        <v>0</v>
      </c>
      <c r="L75" s="163">
        <v>0</v>
      </c>
      <c r="M75" s="215">
        <f>L75/M$53</f>
        <v>0</v>
      </c>
      <c r="N75" s="163">
        <v>0</v>
      </c>
      <c r="O75" s="215">
        <f>N75/O$53</f>
        <v>0</v>
      </c>
      <c r="P75" s="163">
        <v>0</v>
      </c>
      <c r="Q75" s="215">
        <f>P75/Q$53</f>
        <v>0</v>
      </c>
      <c r="R75" s="163">
        <v>0</v>
      </c>
      <c r="S75" s="215">
        <f t="shared" si="19"/>
        <v>0</v>
      </c>
      <c r="T75" s="217"/>
      <c r="U75" s="218" t="e">
        <f t="shared" si="21"/>
        <v>#DIV/0!</v>
      </c>
      <c r="V75" s="195"/>
      <c r="W75" s="219">
        <f t="shared" si="18"/>
        <v>0</v>
      </c>
      <c r="X75" s="220" t="e">
        <f t="shared" si="18"/>
        <v>#DIV/0!</v>
      </c>
    </row>
    <row r="76" spans="1:24" ht="15" customHeight="1" thickTop="1" x14ac:dyDescent="0.2">
      <c r="A76" s="743" t="s">
        <v>248</v>
      </c>
    </row>
    <row r="77" spans="1:24" ht="15" customHeight="1" x14ac:dyDescent="0.2">
      <c r="A77" s="1"/>
      <c r="H77" s="65" t="s">
        <v>19</v>
      </c>
      <c r="J77" s="65" t="s">
        <v>19</v>
      </c>
      <c r="L77" s="65" t="s">
        <v>19</v>
      </c>
      <c r="N77" s="65" t="s">
        <v>19</v>
      </c>
      <c r="P77" s="65" t="s">
        <v>19</v>
      </c>
      <c r="R77" s="65" t="s">
        <v>19</v>
      </c>
      <c r="T77" s="65" t="s">
        <v>19</v>
      </c>
    </row>
    <row r="78" spans="1:24" x14ac:dyDescent="0.2">
      <c r="A78" s="1"/>
    </row>
    <row r="79" spans="1:24" x14ac:dyDescent="0.2">
      <c r="A79" s="1"/>
    </row>
    <row r="80" spans="1:24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x14ac:dyDescent="0.2">
      <c r="A84" s="1"/>
    </row>
    <row r="85" spans="1:1" x14ac:dyDescent="0.2">
      <c r="A85" s="1"/>
    </row>
    <row r="86" spans="1:1" x14ac:dyDescent="0.2">
      <c r="A86" s="1"/>
    </row>
    <row r="87" spans="1:1" x14ac:dyDescent="0.2">
      <c r="A87" s="1"/>
    </row>
    <row r="88" spans="1:1" x14ac:dyDescent="0.2">
      <c r="A88" s="1"/>
    </row>
    <row r="89" spans="1:1" x14ac:dyDescent="0.2">
      <c r="A89" s="1"/>
    </row>
    <row r="90" spans="1:1" x14ac:dyDescent="0.2">
      <c r="A90" s="1"/>
    </row>
    <row r="91" spans="1:1" x14ac:dyDescent="0.2">
      <c r="A91" s="1"/>
    </row>
    <row r="92" spans="1:1" x14ac:dyDescent="0.2">
      <c r="A92" s="1"/>
    </row>
    <row r="93" spans="1:1" x14ac:dyDescent="0.2">
      <c r="A93" s="1"/>
    </row>
    <row r="94" spans="1:1" x14ac:dyDescent="0.2">
      <c r="A94" s="1"/>
    </row>
    <row r="95" spans="1:1" x14ac:dyDescent="0.2">
      <c r="A95" s="1"/>
    </row>
    <row r="96" spans="1:1" x14ac:dyDescent="0.2">
      <c r="A96" s="1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x14ac:dyDescent="0.2">
      <c r="A100" s="1"/>
    </row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x14ac:dyDescent="0.2">
      <c r="A107" s="1"/>
    </row>
    <row r="108" spans="1:1" x14ac:dyDescent="0.2">
      <c r="A108" s="1"/>
    </row>
    <row r="109" spans="1:1" x14ac:dyDescent="0.2">
      <c r="A109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x14ac:dyDescent="0.2">
      <c r="A120" s="1"/>
    </row>
    <row r="121" spans="1:1" x14ac:dyDescent="0.2">
      <c r="A121" s="1"/>
    </row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x14ac:dyDescent="0.2">
      <c r="A128" s="1"/>
    </row>
    <row r="129" spans="1:1" x14ac:dyDescent="0.2">
      <c r="A129" s="1"/>
    </row>
    <row r="130" spans="1:1" x14ac:dyDescent="0.2">
      <c r="A130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x14ac:dyDescent="0.2">
      <c r="A152" s="1"/>
    </row>
    <row r="153" spans="1:1" x14ac:dyDescent="0.2">
      <c r="A153" s="1"/>
    </row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  <row r="177" spans="1:1" x14ac:dyDescent="0.2">
      <c r="A177" s="1"/>
    </row>
    <row r="178" spans="1:1" x14ac:dyDescent="0.2">
      <c r="A178" s="1"/>
    </row>
    <row r="179" spans="1:1" x14ac:dyDescent="0.2">
      <c r="A179" s="1"/>
    </row>
    <row r="180" spans="1:1" x14ac:dyDescent="0.2">
      <c r="A180" s="1"/>
    </row>
    <row r="181" spans="1:1" x14ac:dyDescent="0.2">
      <c r="A181" s="1"/>
    </row>
    <row r="182" spans="1:1" x14ac:dyDescent="0.2">
      <c r="A182" s="1"/>
    </row>
    <row r="183" spans="1:1" x14ac:dyDescent="0.2">
      <c r="A183" s="1"/>
    </row>
    <row r="184" spans="1:1" x14ac:dyDescent="0.2">
      <c r="A184" s="1"/>
    </row>
    <row r="185" spans="1:1" x14ac:dyDescent="0.2">
      <c r="A185" s="1"/>
    </row>
    <row r="186" spans="1:1" x14ac:dyDescent="0.2">
      <c r="A186" s="1"/>
    </row>
    <row r="187" spans="1:1" x14ac:dyDescent="0.2">
      <c r="A187" s="1"/>
    </row>
    <row r="188" spans="1:1" x14ac:dyDescent="0.2">
      <c r="A188" s="1"/>
    </row>
    <row r="189" spans="1:1" x14ac:dyDescent="0.2">
      <c r="A189" s="1"/>
    </row>
    <row r="190" spans="1:1" x14ac:dyDescent="0.2">
      <c r="A190" s="1"/>
    </row>
    <row r="191" spans="1:1" x14ac:dyDescent="0.2">
      <c r="A191" s="1"/>
    </row>
    <row r="192" spans="1:1" x14ac:dyDescent="0.2">
      <c r="A192" s="1"/>
    </row>
    <row r="193" spans="1:1" x14ac:dyDescent="0.2">
      <c r="A193" s="1"/>
    </row>
    <row r="194" spans="1:1" x14ac:dyDescent="0.2">
      <c r="A194" s="1"/>
    </row>
    <row r="195" spans="1:1" x14ac:dyDescent="0.2">
      <c r="A195" s="1"/>
    </row>
    <row r="196" spans="1:1" x14ac:dyDescent="0.2">
      <c r="A196" s="1"/>
    </row>
    <row r="197" spans="1:1" x14ac:dyDescent="0.2">
      <c r="A197" s="1"/>
    </row>
    <row r="198" spans="1:1" x14ac:dyDescent="0.2">
      <c r="A198" s="1"/>
    </row>
    <row r="199" spans="1:1" x14ac:dyDescent="0.2">
      <c r="A199" s="1"/>
    </row>
    <row r="200" spans="1:1" x14ac:dyDescent="0.2">
      <c r="A200" s="1"/>
    </row>
    <row r="201" spans="1:1" x14ac:dyDescent="0.2">
      <c r="A201" s="1"/>
    </row>
    <row r="202" spans="1:1" x14ac:dyDescent="0.2">
      <c r="A202" s="1"/>
    </row>
    <row r="203" spans="1:1" x14ac:dyDescent="0.2">
      <c r="A203" s="1"/>
    </row>
    <row r="204" spans="1:1" x14ac:dyDescent="0.2">
      <c r="A204" s="1"/>
    </row>
    <row r="205" spans="1:1" x14ac:dyDescent="0.2">
      <c r="A205" s="1"/>
    </row>
    <row r="206" spans="1:1" x14ac:dyDescent="0.2">
      <c r="A206" s="1"/>
    </row>
    <row r="207" spans="1:1" x14ac:dyDescent="0.2">
      <c r="A207" s="1"/>
    </row>
    <row r="208" spans="1:1" x14ac:dyDescent="0.2">
      <c r="A208" s="1"/>
    </row>
    <row r="209" spans="1:1" x14ac:dyDescent="0.2">
      <c r="A209" s="1"/>
    </row>
    <row r="210" spans="1:1" x14ac:dyDescent="0.2">
      <c r="A210" s="1"/>
    </row>
    <row r="211" spans="1:1" x14ac:dyDescent="0.2">
      <c r="A211" s="1"/>
    </row>
    <row r="212" spans="1:1" x14ac:dyDescent="0.2">
      <c r="A212" s="1"/>
    </row>
    <row r="213" spans="1:1" x14ac:dyDescent="0.2">
      <c r="A213" s="1"/>
    </row>
    <row r="214" spans="1:1" x14ac:dyDescent="0.2">
      <c r="A214" s="1"/>
    </row>
    <row r="215" spans="1:1" x14ac:dyDescent="0.2">
      <c r="A215" s="1"/>
    </row>
    <row r="216" spans="1:1" x14ac:dyDescent="0.2">
      <c r="A216" s="1"/>
    </row>
    <row r="217" spans="1:1" x14ac:dyDescent="0.2">
      <c r="A217" s="1"/>
    </row>
    <row r="218" spans="1:1" x14ac:dyDescent="0.2">
      <c r="A218" s="1"/>
    </row>
    <row r="219" spans="1:1" x14ac:dyDescent="0.2">
      <c r="A219" s="1"/>
    </row>
    <row r="220" spans="1:1" x14ac:dyDescent="0.2">
      <c r="A220" s="1"/>
    </row>
    <row r="221" spans="1:1" x14ac:dyDescent="0.2">
      <c r="A221" s="1"/>
    </row>
    <row r="222" spans="1:1" x14ac:dyDescent="0.2">
      <c r="A222" s="1"/>
    </row>
    <row r="223" spans="1:1" x14ac:dyDescent="0.2">
      <c r="A223" s="1"/>
    </row>
    <row r="224" spans="1:1" x14ac:dyDescent="0.2">
      <c r="A224" s="1"/>
    </row>
    <row r="225" spans="1:1" x14ac:dyDescent="0.2">
      <c r="A225" s="1"/>
    </row>
    <row r="226" spans="1:1" x14ac:dyDescent="0.2">
      <c r="A226" s="1"/>
    </row>
    <row r="227" spans="1:1" x14ac:dyDescent="0.2">
      <c r="A227" s="1"/>
    </row>
    <row r="228" spans="1:1" x14ac:dyDescent="0.2">
      <c r="A228" s="1"/>
    </row>
    <row r="229" spans="1:1" x14ac:dyDescent="0.2">
      <c r="A229" s="1"/>
    </row>
    <row r="230" spans="1:1" x14ac:dyDescent="0.2">
      <c r="A230" s="1"/>
    </row>
    <row r="231" spans="1:1" x14ac:dyDescent="0.2">
      <c r="A231" s="1"/>
    </row>
    <row r="232" spans="1:1" x14ac:dyDescent="0.2">
      <c r="A232" s="1"/>
    </row>
    <row r="233" spans="1:1" x14ac:dyDescent="0.2">
      <c r="A233" s="1"/>
    </row>
    <row r="234" spans="1:1" x14ac:dyDescent="0.2">
      <c r="A234" s="1"/>
    </row>
    <row r="235" spans="1:1" x14ac:dyDescent="0.2">
      <c r="A235" s="1"/>
    </row>
    <row r="236" spans="1:1" x14ac:dyDescent="0.2">
      <c r="A236" s="1"/>
    </row>
    <row r="237" spans="1:1" x14ac:dyDescent="0.2">
      <c r="A237" s="1"/>
    </row>
    <row r="238" spans="1:1" x14ac:dyDescent="0.2">
      <c r="A238" s="1"/>
    </row>
    <row r="239" spans="1:1" x14ac:dyDescent="0.2">
      <c r="A239" s="1"/>
    </row>
    <row r="240" spans="1:1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6" spans="1:1" x14ac:dyDescent="0.2">
      <c r="A296" s="1"/>
    </row>
    <row r="297" spans="1:1" x14ac:dyDescent="0.2">
      <c r="A297" s="1"/>
    </row>
    <row r="298" spans="1:1" x14ac:dyDescent="0.2">
      <c r="A298" s="1"/>
    </row>
    <row r="299" spans="1:1" x14ac:dyDescent="0.2">
      <c r="A299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  <row r="303" spans="1:1" x14ac:dyDescent="0.2">
      <c r="A303" s="1"/>
    </row>
    <row r="304" spans="1:1" x14ac:dyDescent="0.2">
      <c r="A304" s="1"/>
    </row>
    <row r="305" spans="1:1" x14ac:dyDescent="0.2">
      <c r="A305" s="1"/>
    </row>
    <row r="306" spans="1:1" x14ac:dyDescent="0.2">
      <c r="A306" s="1"/>
    </row>
    <row r="307" spans="1:1" x14ac:dyDescent="0.2">
      <c r="A307" s="1"/>
    </row>
    <row r="308" spans="1:1" x14ac:dyDescent="0.2">
      <c r="A308" s="1"/>
    </row>
    <row r="309" spans="1:1" x14ac:dyDescent="0.2">
      <c r="A309" s="1"/>
    </row>
    <row r="310" spans="1:1" x14ac:dyDescent="0.2">
      <c r="A310" s="1"/>
    </row>
    <row r="311" spans="1:1" x14ac:dyDescent="0.2">
      <c r="A311" s="1"/>
    </row>
    <row r="312" spans="1:1" x14ac:dyDescent="0.2">
      <c r="A312" s="1"/>
    </row>
    <row r="313" spans="1:1" x14ac:dyDescent="0.2">
      <c r="A313" s="1"/>
    </row>
    <row r="314" spans="1:1" x14ac:dyDescent="0.2">
      <c r="A314" s="1"/>
    </row>
    <row r="315" spans="1:1" x14ac:dyDescent="0.2">
      <c r="A315" s="1"/>
    </row>
    <row r="316" spans="1:1" x14ac:dyDescent="0.2">
      <c r="A316" s="1"/>
    </row>
    <row r="317" spans="1:1" x14ac:dyDescent="0.2">
      <c r="A317" s="1"/>
    </row>
    <row r="318" spans="1:1" x14ac:dyDescent="0.2">
      <c r="A318" s="1"/>
    </row>
    <row r="319" spans="1:1" x14ac:dyDescent="0.2">
      <c r="A319" s="1"/>
    </row>
    <row r="320" spans="1:1" x14ac:dyDescent="0.2">
      <c r="A320" s="1"/>
    </row>
    <row r="321" spans="1:1" x14ac:dyDescent="0.2">
      <c r="A321" s="1"/>
    </row>
    <row r="322" spans="1:1" x14ac:dyDescent="0.2">
      <c r="A322" s="1"/>
    </row>
    <row r="323" spans="1:1" x14ac:dyDescent="0.2">
      <c r="A323" s="1"/>
    </row>
    <row r="324" spans="1:1" x14ac:dyDescent="0.2">
      <c r="A324" s="1"/>
    </row>
    <row r="325" spans="1:1" x14ac:dyDescent="0.2">
      <c r="A325" s="1"/>
    </row>
    <row r="326" spans="1:1" x14ac:dyDescent="0.2">
      <c r="A326" s="1"/>
    </row>
    <row r="327" spans="1:1" x14ac:dyDescent="0.2">
      <c r="A327" s="1"/>
    </row>
    <row r="328" spans="1:1" x14ac:dyDescent="0.2">
      <c r="A328" s="1"/>
    </row>
    <row r="329" spans="1:1" x14ac:dyDescent="0.2">
      <c r="A329" s="1"/>
    </row>
    <row r="330" spans="1:1" x14ac:dyDescent="0.2">
      <c r="A330" s="1"/>
    </row>
    <row r="331" spans="1:1" x14ac:dyDescent="0.2">
      <c r="A331" s="1"/>
    </row>
    <row r="332" spans="1:1" x14ac:dyDescent="0.2">
      <c r="A332" s="1"/>
    </row>
    <row r="333" spans="1:1" x14ac:dyDescent="0.2">
      <c r="A333" s="1"/>
    </row>
    <row r="334" spans="1:1" x14ac:dyDescent="0.2">
      <c r="A334" s="1"/>
    </row>
    <row r="335" spans="1:1" x14ac:dyDescent="0.2">
      <c r="A335" s="1"/>
    </row>
    <row r="336" spans="1:1" x14ac:dyDescent="0.2">
      <c r="A336" s="1"/>
    </row>
    <row r="337" spans="1:1" x14ac:dyDescent="0.2">
      <c r="A337" s="1"/>
    </row>
    <row r="338" spans="1:1" x14ac:dyDescent="0.2">
      <c r="A338" s="1"/>
    </row>
    <row r="339" spans="1:1" x14ac:dyDescent="0.2">
      <c r="A339" s="1"/>
    </row>
    <row r="340" spans="1:1" x14ac:dyDescent="0.2">
      <c r="A340" s="1"/>
    </row>
    <row r="341" spans="1:1" x14ac:dyDescent="0.2">
      <c r="A341" s="1"/>
    </row>
    <row r="342" spans="1:1" x14ac:dyDescent="0.2">
      <c r="A342" s="1"/>
    </row>
    <row r="343" spans="1:1" x14ac:dyDescent="0.2">
      <c r="A343" s="1"/>
    </row>
    <row r="344" spans="1:1" x14ac:dyDescent="0.2">
      <c r="A344" s="1"/>
    </row>
    <row r="345" spans="1:1" x14ac:dyDescent="0.2">
      <c r="A345" s="1"/>
    </row>
    <row r="346" spans="1:1" x14ac:dyDescent="0.2">
      <c r="A346" s="1"/>
    </row>
    <row r="347" spans="1:1" x14ac:dyDescent="0.2">
      <c r="A347" s="1"/>
    </row>
    <row r="348" spans="1:1" x14ac:dyDescent="0.2">
      <c r="A348" s="1"/>
    </row>
    <row r="349" spans="1:1" x14ac:dyDescent="0.2">
      <c r="A349" s="1"/>
    </row>
    <row r="350" spans="1:1" x14ac:dyDescent="0.2">
      <c r="A350" s="1"/>
    </row>
    <row r="351" spans="1:1" x14ac:dyDescent="0.2">
      <c r="A351" s="1"/>
    </row>
    <row r="352" spans="1:1" x14ac:dyDescent="0.2">
      <c r="A352" s="1"/>
    </row>
    <row r="353" spans="1:1" x14ac:dyDescent="0.2">
      <c r="A353" s="1"/>
    </row>
    <row r="354" spans="1:1" x14ac:dyDescent="0.2">
      <c r="A354" s="1"/>
    </row>
    <row r="355" spans="1:1" x14ac:dyDescent="0.2">
      <c r="A355" s="1"/>
    </row>
    <row r="356" spans="1:1" x14ac:dyDescent="0.2">
      <c r="A356" s="1"/>
    </row>
    <row r="357" spans="1:1" x14ac:dyDescent="0.2">
      <c r="A357" s="1"/>
    </row>
    <row r="358" spans="1:1" x14ac:dyDescent="0.2">
      <c r="A358" s="1"/>
    </row>
    <row r="359" spans="1:1" x14ac:dyDescent="0.2">
      <c r="A359" s="1"/>
    </row>
    <row r="360" spans="1:1" x14ac:dyDescent="0.2">
      <c r="A360" s="1"/>
    </row>
    <row r="361" spans="1:1" x14ac:dyDescent="0.2">
      <c r="A361" s="1"/>
    </row>
    <row r="362" spans="1:1" x14ac:dyDescent="0.2">
      <c r="A362" s="1"/>
    </row>
    <row r="363" spans="1:1" x14ac:dyDescent="0.2">
      <c r="A363" s="1"/>
    </row>
    <row r="364" spans="1:1" x14ac:dyDescent="0.2">
      <c r="A364" s="1"/>
    </row>
    <row r="365" spans="1:1" x14ac:dyDescent="0.2">
      <c r="A365" s="1"/>
    </row>
    <row r="366" spans="1:1" x14ac:dyDescent="0.2">
      <c r="A366" s="1"/>
    </row>
    <row r="367" spans="1:1" x14ac:dyDescent="0.2">
      <c r="A367" s="1"/>
    </row>
    <row r="368" spans="1:1" x14ac:dyDescent="0.2">
      <c r="A368" s="1"/>
    </row>
    <row r="369" spans="1:1" x14ac:dyDescent="0.2">
      <c r="A369" s="1"/>
    </row>
    <row r="370" spans="1:1" x14ac:dyDescent="0.2">
      <c r="A370" s="1"/>
    </row>
    <row r="371" spans="1:1" x14ac:dyDescent="0.2">
      <c r="A371" s="1"/>
    </row>
    <row r="372" spans="1:1" x14ac:dyDescent="0.2">
      <c r="A372" s="1"/>
    </row>
    <row r="373" spans="1:1" x14ac:dyDescent="0.2">
      <c r="A373" s="1"/>
    </row>
    <row r="374" spans="1:1" x14ac:dyDescent="0.2">
      <c r="A374" s="1"/>
    </row>
    <row r="375" spans="1:1" x14ac:dyDescent="0.2">
      <c r="A375" s="1"/>
    </row>
    <row r="376" spans="1:1" x14ac:dyDescent="0.2">
      <c r="A376" s="1"/>
    </row>
    <row r="377" spans="1:1" x14ac:dyDescent="0.2">
      <c r="A377" s="1"/>
    </row>
    <row r="378" spans="1:1" x14ac:dyDescent="0.2">
      <c r="A378" s="1"/>
    </row>
    <row r="379" spans="1:1" x14ac:dyDescent="0.2">
      <c r="A379" s="1"/>
    </row>
    <row r="380" spans="1:1" x14ac:dyDescent="0.2">
      <c r="A380" s="1"/>
    </row>
    <row r="381" spans="1:1" x14ac:dyDescent="0.2">
      <c r="A381" s="1"/>
    </row>
    <row r="382" spans="1:1" x14ac:dyDescent="0.2">
      <c r="A382" s="1"/>
    </row>
    <row r="383" spans="1:1" x14ac:dyDescent="0.2">
      <c r="A383" s="1"/>
    </row>
    <row r="384" spans="1:1" x14ac:dyDescent="0.2">
      <c r="A384" s="1"/>
    </row>
    <row r="385" spans="1:1" x14ac:dyDescent="0.2">
      <c r="A385" s="1"/>
    </row>
    <row r="386" spans="1:1" x14ac:dyDescent="0.2">
      <c r="A386" s="1"/>
    </row>
    <row r="387" spans="1:1" x14ac:dyDescent="0.2">
      <c r="A387" s="1"/>
    </row>
    <row r="388" spans="1:1" x14ac:dyDescent="0.2">
      <c r="A388" s="1"/>
    </row>
    <row r="389" spans="1:1" x14ac:dyDescent="0.2">
      <c r="A389" s="1"/>
    </row>
    <row r="390" spans="1:1" x14ac:dyDescent="0.2">
      <c r="A390" s="1"/>
    </row>
    <row r="391" spans="1:1" x14ac:dyDescent="0.2">
      <c r="A391" s="1"/>
    </row>
    <row r="392" spans="1:1" x14ac:dyDescent="0.2">
      <c r="A392" s="1"/>
    </row>
    <row r="393" spans="1:1" x14ac:dyDescent="0.2">
      <c r="A393" s="1"/>
    </row>
    <row r="394" spans="1:1" x14ac:dyDescent="0.2">
      <c r="A394" s="1"/>
    </row>
    <row r="395" spans="1:1" x14ac:dyDescent="0.2">
      <c r="A395" s="1"/>
    </row>
    <row r="396" spans="1:1" x14ac:dyDescent="0.2">
      <c r="A396" s="1"/>
    </row>
    <row r="397" spans="1:1" x14ac:dyDescent="0.2">
      <c r="A397" s="1"/>
    </row>
    <row r="398" spans="1:1" x14ac:dyDescent="0.2">
      <c r="A398" s="1"/>
    </row>
    <row r="399" spans="1:1" x14ac:dyDescent="0.2">
      <c r="A399" s="1"/>
    </row>
    <row r="400" spans="1:1" x14ac:dyDescent="0.2">
      <c r="A400" s="1"/>
    </row>
    <row r="401" spans="1:1" x14ac:dyDescent="0.2">
      <c r="A401" s="1"/>
    </row>
    <row r="402" spans="1:1" x14ac:dyDescent="0.2">
      <c r="A402" s="1"/>
    </row>
    <row r="403" spans="1:1" x14ac:dyDescent="0.2">
      <c r="A403" s="1"/>
    </row>
    <row r="404" spans="1:1" x14ac:dyDescent="0.2">
      <c r="A404" s="1"/>
    </row>
    <row r="405" spans="1:1" x14ac:dyDescent="0.2">
      <c r="A405" s="1"/>
    </row>
    <row r="406" spans="1:1" x14ac:dyDescent="0.2">
      <c r="A406" s="1"/>
    </row>
    <row r="407" spans="1:1" x14ac:dyDescent="0.2">
      <c r="A407" s="1"/>
    </row>
    <row r="408" spans="1:1" x14ac:dyDescent="0.2">
      <c r="A408" s="1"/>
    </row>
    <row r="409" spans="1:1" x14ac:dyDescent="0.2">
      <c r="A409" s="1"/>
    </row>
    <row r="410" spans="1:1" x14ac:dyDescent="0.2">
      <c r="A410" s="1"/>
    </row>
    <row r="411" spans="1:1" x14ac:dyDescent="0.2">
      <c r="A411" s="1"/>
    </row>
    <row r="412" spans="1:1" x14ac:dyDescent="0.2">
      <c r="A412" s="1"/>
    </row>
    <row r="413" spans="1:1" x14ac:dyDescent="0.2">
      <c r="A413" s="1"/>
    </row>
    <row r="414" spans="1:1" x14ac:dyDescent="0.2">
      <c r="A414" s="1"/>
    </row>
    <row r="415" spans="1:1" x14ac:dyDescent="0.2">
      <c r="A415" s="1"/>
    </row>
    <row r="416" spans="1:1" x14ac:dyDescent="0.2">
      <c r="A416" s="1"/>
    </row>
    <row r="417" spans="1:1" x14ac:dyDescent="0.2">
      <c r="A417" s="1"/>
    </row>
    <row r="418" spans="1:1" x14ac:dyDescent="0.2">
      <c r="A418" s="1"/>
    </row>
    <row r="419" spans="1:1" x14ac:dyDescent="0.2">
      <c r="A419" s="1"/>
    </row>
    <row r="420" spans="1:1" x14ac:dyDescent="0.2">
      <c r="A420" s="1"/>
    </row>
    <row r="421" spans="1:1" x14ac:dyDescent="0.2">
      <c r="A421" s="1"/>
    </row>
    <row r="422" spans="1:1" x14ac:dyDescent="0.2">
      <c r="A422" s="1"/>
    </row>
  </sheetData>
  <mergeCells count="77">
    <mergeCell ref="B9:C9"/>
    <mergeCell ref="D9:E9"/>
    <mergeCell ref="F9:G9"/>
    <mergeCell ref="H9:I9"/>
    <mergeCell ref="J9:K9"/>
    <mergeCell ref="L33:M33"/>
    <mergeCell ref="N9:O9"/>
    <mergeCell ref="P9:Q9"/>
    <mergeCell ref="R9:S9"/>
    <mergeCell ref="W9:X9"/>
    <mergeCell ref="L9:M9"/>
    <mergeCell ref="L25:M25"/>
    <mergeCell ref="N25:O25"/>
    <mergeCell ref="P25:Q25"/>
    <mergeCell ref="R25:S25"/>
    <mergeCell ref="W25:X25"/>
    <mergeCell ref="L19:M19"/>
    <mergeCell ref="N19:O19"/>
    <mergeCell ref="P19:Q19"/>
    <mergeCell ref="R19:S19"/>
    <mergeCell ref="W19:X19"/>
    <mergeCell ref="B19:C19"/>
    <mergeCell ref="D19:E19"/>
    <mergeCell ref="F19:G19"/>
    <mergeCell ref="H19:I19"/>
    <mergeCell ref="J19:K19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W23:X23"/>
    <mergeCell ref="F33:G33"/>
    <mergeCell ref="H33:I33"/>
    <mergeCell ref="J33:K33"/>
    <mergeCell ref="B25:C25"/>
    <mergeCell ref="D25:E25"/>
    <mergeCell ref="F25:G25"/>
    <mergeCell ref="H25:I25"/>
    <mergeCell ref="J25:K25"/>
    <mergeCell ref="N33:O33"/>
    <mergeCell ref="P33:Q33"/>
    <mergeCell ref="R33:S33"/>
    <mergeCell ref="W33:X33"/>
    <mergeCell ref="B36:C36"/>
    <mergeCell ref="D36:E36"/>
    <mergeCell ref="F36:G36"/>
    <mergeCell ref="H36:I36"/>
    <mergeCell ref="J36:K36"/>
    <mergeCell ref="L36:M36"/>
    <mergeCell ref="N36:O36"/>
    <mergeCell ref="P36:Q36"/>
    <mergeCell ref="R36:S36"/>
    <mergeCell ref="W36:X36"/>
    <mergeCell ref="B33:C33"/>
    <mergeCell ref="D33:E33"/>
    <mergeCell ref="B41:C41"/>
    <mergeCell ref="D41:E41"/>
    <mergeCell ref="F41:G41"/>
    <mergeCell ref="H41:I41"/>
    <mergeCell ref="J41:K41"/>
    <mergeCell ref="L41:M41"/>
    <mergeCell ref="N41:O41"/>
    <mergeCell ref="P41:Q41"/>
    <mergeCell ref="R41:S41"/>
    <mergeCell ref="W41:X41"/>
    <mergeCell ref="T36:U36"/>
    <mergeCell ref="T41:U41"/>
    <mergeCell ref="T9:U9"/>
    <mergeCell ref="T19:U19"/>
    <mergeCell ref="T23:U23"/>
    <mergeCell ref="T25:U25"/>
    <mergeCell ref="T33:U33"/>
  </mergeCells>
  <printOptions horizontalCentered="1"/>
  <pageMargins left="0.75" right="0.75" top="0.5" bottom="0.5" header="0.25" footer="0.25"/>
  <pageSetup scale="70" orientation="landscape" r:id="rId1"/>
  <headerFooter alignWithMargins="0">
    <oddFooter>&amp;LPrepared by Planning and Analysis&amp;C&amp;P of &amp;N&amp;RUpdated &amp;D</oddFooter>
  </headerFooter>
  <rowBreaks count="1" manualBreakCount="1">
    <brk id="39" max="21" man="1"/>
  </rowBreaks>
  <colBreaks count="1" manualBreakCount="1">
    <brk id="21" min="8" max="75" man="1"/>
  </colBreaks>
  <ignoredErrors>
    <ignoredError sqref="A56:N7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47</vt:i4>
      </vt:variant>
    </vt:vector>
  </HeadingPairs>
  <TitlesOfParts>
    <vt:vector size="71" baseType="lpstr">
      <vt:lpstr>Dean's Office</vt:lpstr>
      <vt:lpstr>Amer Ethnic Studies</vt:lpstr>
      <vt:lpstr>Art</vt:lpstr>
      <vt:lpstr>Biochemistry</vt:lpstr>
      <vt:lpstr>Biology</vt:lpstr>
      <vt:lpstr>Chemistry</vt:lpstr>
      <vt:lpstr>Comm Studies</vt:lpstr>
      <vt:lpstr>Economics</vt:lpstr>
      <vt:lpstr>English</vt:lpstr>
      <vt:lpstr>Gender,Women &amp;Sexuality Studies</vt:lpstr>
      <vt:lpstr>Geography</vt:lpstr>
      <vt:lpstr>Geology</vt:lpstr>
      <vt:lpstr>Hist</vt:lpstr>
      <vt:lpstr>JMC</vt:lpstr>
      <vt:lpstr>Math</vt:lpstr>
      <vt:lpstr>Modern Language</vt:lpstr>
      <vt:lpstr>Music Theatre Dance</vt:lpstr>
      <vt:lpstr>Philosophy</vt:lpstr>
      <vt:lpstr>Physics</vt:lpstr>
      <vt:lpstr>Political Science</vt:lpstr>
      <vt:lpstr>Psych</vt:lpstr>
      <vt:lpstr>SASW</vt:lpstr>
      <vt:lpstr>Stats</vt:lpstr>
      <vt:lpstr>A&amp;S Summary</vt:lpstr>
      <vt:lpstr>'A&amp;S Summary'!Print_Area</vt:lpstr>
      <vt:lpstr>'Amer Ethnic Studies'!Print_Area</vt:lpstr>
      <vt:lpstr>Art!Print_Area</vt:lpstr>
      <vt:lpstr>Biochemistry!Print_Area</vt:lpstr>
      <vt:lpstr>Biology!Print_Area</vt:lpstr>
      <vt:lpstr>Chemistry!Print_Area</vt:lpstr>
      <vt:lpstr>'Comm Studies'!Print_Area</vt:lpstr>
      <vt:lpstr>'Dean''s Office'!Print_Area</vt:lpstr>
      <vt:lpstr>Economics!Print_Area</vt:lpstr>
      <vt:lpstr>English!Print_Area</vt:lpstr>
      <vt:lpstr>'Gender,Women &amp;Sexuality Studies'!Print_Area</vt:lpstr>
      <vt:lpstr>Geography!Print_Area</vt:lpstr>
      <vt:lpstr>Geology!Print_Area</vt:lpstr>
      <vt:lpstr>Hist!Print_Area</vt:lpstr>
      <vt:lpstr>JMC!Print_Area</vt:lpstr>
      <vt:lpstr>Math!Print_Area</vt:lpstr>
      <vt:lpstr>'Modern Language'!Print_Area</vt:lpstr>
      <vt:lpstr>'Music Theatre Dance'!Print_Area</vt:lpstr>
      <vt:lpstr>Philosophy!Print_Area</vt:lpstr>
      <vt:lpstr>Physics!Print_Area</vt:lpstr>
      <vt:lpstr>'Political Science'!Print_Area</vt:lpstr>
      <vt:lpstr>Psych!Print_Area</vt:lpstr>
      <vt:lpstr>SASW!Print_Area</vt:lpstr>
      <vt:lpstr>Stats!Print_Area</vt:lpstr>
      <vt:lpstr>'Amer Ethnic Studies'!Print_Titles</vt:lpstr>
      <vt:lpstr>Art!Print_Titles</vt:lpstr>
      <vt:lpstr>Biochemistry!Print_Titles</vt:lpstr>
      <vt:lpstr>Biology!Print_Titles</vt:lpstr>
      <vt:lpstr>Chemistry!Print_Titles</vt:lpstr>
      <vt:lpstr>'Comm Studies'!Print_Titles</vt:lpstr>
      <vt:lpstr>'Dean''s Office'!Print_Titles</vt:lpstr>
      <vt:lpstr>Economics!Print_Titles</vt:lpstr>
      <vt:lpstr>English!Print_Titles</vt:lpstr>
      <vt:lpstr>'Gender,Women &amp;Sexuality Studies'!Print_Titles</vt:lpstr>
      <vt:lpstr>Geography!Print_Titles</vt:lpstr>
      <vt:lpstr>Geology!Print_Titles</vt:lpstr>
      <vt:lpstr>Hist!Print_Titles</vt:lpstr>
      <vt:lpstr>JMC!Print_Titles</vt:lpstr>
      <vt:lpstr>Math!Print_Titles</vt:lpstr>
      <vt:lpstr>'Modern Language'!Print_Titles</vt:lpstr>
      <vt:lpstr>'Music Theatre Dance'!Print_Titles</vt:lpstr>
      <vt:lpstr>Philosophy!Print_Titles</vt:lpstr>
      <vt:lpstr>Physics!Print_Titles</vt:lpstr>
      <vt:lpstr>'Political Science'!Print_Titles</vt:lpstr>
      <vt:lpstr>Psych!Print_Titles</vt:lpstr>
      <vt:lpstr>SASW!Print_Titles</vt:lpstr>
      <vt:lpstr>Stats!Print_Titles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Feldkamp</dc:creator>
  <cp:lastModifiedBy>Nancy Baker</cp:lastModifiedBy>
  <cp:lastPrinted>2016-11-09T19:30:50Z</cp:lastPrinted>
  <dcterms:created xsi:type="dcterms:W3CDTF">2015-09-11T14:15:26Z</dcterms:created>
  <dcterms:modified xsi:type="dcterms:W3CDTF">2016-11-09T19:31:00Z</dcterms:modified>
</cp:coreProperties>
</file>