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jbaker\Documents\PA\deptprofiles\"/>
    </mc:Choice>
  </mc:AlternateContent>
  <bookViews>
    <workbookView xWindow="0" yWindow="0" windowWidth="25200" windowHeight="11385" tabRatio="940" firstSheet="9" activeTab="9"/>
  </bookViews>
  <sheets>
    <sheet name="Dean AG" sheetId="4" state="hidden" r:id="rId1"/>
    <sheet name="Ag Economics " sheetId="5" state="hidden" r:id="rId2"/>
    <sheet name="Agronomy" sheetId="7" state="hidden" r:id="rId3"/>
    <sheet name="Animal Sciences Industry" sheetId="8" state="hidden" r:id="rId4"/>
    <sheet name="Comm Ag Education" sheetId="9" state="hidden" r:id="rId5"/>
    <sheet name="Entomolgy" sheetId="10" state="hidden" r:id="rId6"/>
    <sheet name="Grain Science Industry" sheetId="11" state="hidden" r:id="rId7"/>
    <sheet name="Hort &amp; Nat Res" sheetId="12" state="hidden" r:id="rId8"/>
    <sheet name="Plant Pathology" sheetId="13" state="hidden" r:id="rId9"/>
    <sheet name="Ag Summary" sheetId="14" r:id="rId10"/>
  </sheets>
  <definedNames>
    <definedName name="_xlnm.Print_Area" localSheetId="1">'Ag Economics '!$A$8:$X$86</definedName>
    <definedName name="_xlnm.Print_Area" localSheetId="9">'Ag Summary'!$A$1:$U$72</definedName>
    <definedName name="_xlnm.Print_Area" localSheetId="2">Agronomy!$A$8:$Y$79</definedName>
    <definedName name="_xlnm.Print_Area" localSheetId="3">'Animal Sciences Industry'!$A$9:$X$93</definedName>
    <definedName name="_xlnm.Print_Area" localSheetId="4">'Comm Ag Education'!$A$9:$X$81</definedName>
    <definedName name="_xlnm.Print_Area" localSheetId="0">'Dean AG'!$A$1:$X$64</definedName>
    <definedName name="_xlnm.Print_Area" localSheetId="5">Entomolgy!$A$9:$X$70</definedName>
    <definedName name="_xlnm.Print_Area" localSheetId="6">'Grain Science Industry'!$A$9:$X$96</definedName>
    <definedName name="_xlnm.Print_Area" localSheetId="7">'Hort &amp; Nat Res'!$A$9:$X$94</definedName>
    <definedName name="_xlnm.Print_Area" localSheetId="8">'Plant Pathology'!$A$8:$X$70</definedName>
    <definedName name="_xlnm.Print_Titles" localSheetId="1">'Ag Economics '!$A:$A,'Ag Economics '!$1:$7</definedName>
    <definedName name="_xlnm.Print_Titles" localSheetId="2">Agronomy!$A:$A,Agronomy!$1:$7</definedName>
    <definedName name="_xlnm.Print_Titles" localSheetId="3">'Animal Sciences Industry'!$A:$A,'Animal Sciences Industry'!$1:$7</definedName>
    <definedName name="_xlnm.Print_Titles" localSheetId="4">'Comm Ag Education'!$A:$A,'Comm Ag Education'!$1:$7</definedName>
    <definedName name="_xlnm.Print_Titles" localSheetId="0">'Dean AG'!$1:$1</definedName>
    <definedName name="_xlnm.Print_Titles" localSheetId="5">Entomolgy!$A:$A,Entomolgy!$1:$7</definedName>
    <definedName name="_xlnm.Print_Titles" localSheetId="6">'Grain Science Industry'!$A:$A,'Grain Science Industry'!$1:$7</definedName>
    <definedName name="_xlnm.Print_Titles" localSheetId="7">'Hort &amp; Nat Res'!$A:$A,'Hort &amp; Nat Res'!$1:$7</definedName>
    <definedName name="_xlnm.Print_Titles" localSheetId="8">'Plant Pathology'!$A:$A,'Plant Pathology'!$1:$7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9" i="14" l="1"/>
  <c r="U28" i="14"/>
  <c r="U30" i="14" s="1"/>
  <c r="U27" i="14"/>
  <c r="U26" i="14"/>
  <c r="U63" i="12" l="1"/>
  <c r="U55" i="5"/>
  <c r="U48" i="7"/>
  <c r="U63" i="5" l="1"/>
  <c r="T63" i="5"/>
  <c r="W86" i="4"/>
  <c r="U86" i="4"/>
  <c r="X86" i="4" s="1"/>
  <c r="B16" i="14"/>
  <c r="D16" i="14"/>
  <c r="F16" i="14"/>
  <c r="H16" i="14"/>
  <c r="J16" i="14"/>
  <c r="L16" i="14"/>
  <c r="N16" i="14"/>
  <c r="P16" i="14"/>
  <c r="R16" i="14"/>
  <c r="S33" i="14" s="1"/>
  <c r="T16" i="14"/>
  <c r="T19" i="5"/>
  <c r="C16" i="14"/>
  <c r="E16" i="14"/>
  <c r="G16" i="14"/>
  <c r="I16" i="14"/>
  <c r="K16" i="14"/>
  <c r="M16" i="14"/>
  <c r="O16" i="14"/>
  <c r="Q16" i="14"/>
  <c r="S16" i="14"/>
  <c r="X42" i="12"/>
  <c r="X36" i="12"/>
  <c r="T12" i="14"/>
  <c r="T13" i="14"/>
  <c r="T14" i="14"/>
  <c r="T15" i="14"/>
  <c r="T33" i="14"/>
  <c r="T17" i="14"/>
  <c r="T18" i="14"/>
  <c r="T19" i="14"/>
  <c r="T34" i="14"/>
  <c r="U39" i="14"/>
  <c r="U40" i="14"/>
  <c r="U41" i="14"/>
  <c r="T44" i="14"/>
  <c r="U44" i="14"/>
  <c r="T45" i="14"/>
  <c r="U45" i="14"/>
  <c r="T47" i="14"/>
  <c r="U47" i="14"/>
  <c r="T48" i="14"/>
  <c r="U48" i="14"/>
  <c r="T78" i="4"/>
  <c r="T56" i="7"/>
  <c r="T70" i="8"/>
  <c r="T58" i="9"/>
  <c r="T47" i="10"/>
  <c r="T72" i="11"/>
  <c r="T71" i="12"/>
  <c r="T47" i="13"/>
  <c r="T49" i="14"/>
  <c r="U78" i="4"/>
  <c r="U56" i="7"/>
  <c r="U70" i="8"/>
  <c r="U58" i="9"/>
  <c r="U47" i="10"/>
  <c r="U72" i="11"/>
  <c r="U71" i="12"/>
  <c r="U47" i="13"/>
  <c r="U49" i="14"/>
  <c r="T52" i="14"/>
  <c r="T53" i="14"/>
  <c r="T54" i="14"/>
  <c r="T55" i="14"/>
  <c r="T56" i="14"/>
  <c r="T57" i="14"/>
  <c r="T58" i="14"/>
  <c r="T59" i="14"/>
  <c r="T61" i="14"/>
  <c r="T62" i="14"/>
  <c r="T64" i="14"/>
  <c r="T65" i="14"/>
  <c r="T66" i="14"/>
  <c r="T68" i="14"/>
  <c r="T69" i="14"/>
  <c r="T70" i="14"/>
  <c r="T71" i="14"/>
  <c r="C39" i="14"/>
  <c r="C40" i="14"/>
  <c r="C41" i="14"/>
  <c r="C44" i="14"/>
  <c r="C45" i="14"/>
  <c r="C47" i="14"/>
  <c r="C48" i="14"/>
  <c r="C49" i="14"/>
  <c r="B52" i="14"/>
  <c r="B53" i="14"/>
  <c r="B54" i="14"/>
  <c r="B55" i="14"/>
  <c r="B56" i="14"/>
  <c r="B57" i="14"/>
  <c r="B58" i="14"/>
  <c r="B59" i="14"/>
  <c r="B61" i="14"/>
  <c r="B62" i="14"/>
  <c r="B64" i="14"/>
  <c r="B65" i="14"/>
  <c r="B66" i="14"/>
  <c r="B68" i="14"/>
  <c r="B69" i="14"/>
  <c r="B70" i="14"/>
  <c r="B71" i="14"/>
  <c r="C21" i="14"/>
  <c r="C26" i="14"/>
  <c r="C27" i="14"/>
  <c r="C28" i="14"/>
  <c r="C29" i="14"/>
  <c r="B11" i="14"/>
  <c r="C11" i="14"/>
  <c r="B12" i="14"/>
  <c r="C12" i="14"/>
  <c r="B13" i="14"/>
  <c r="C13" i="14"/>
  <c r="B14" i="14"/>
  <c r="C14" i="14"/>
  <c r="B15" i="14"/>
  <c r="C15" i="14"/>
  <c r="B17" i="14"/>
  <c r="C17" i="14"/>
  <c r="B18" i="14"/>
  <c r="C18" i="14"/>
  <c r="B19" i="14"/>
  <c r="C19" i="14"/>
  <c r="R71" i="14"/>
  <c r="R70" i="14"/>
  <c r="R69" i="14"/>
  <c r="R68" i="14"/>
  <c r="R66" i="14"/>
  <c r="R65" i="14"/>
  <c r="R64" i="14"/>
  <c r="R62" i="14"/>
  <c r="R61" i="14"/>
  <c r="R59" i="14"/>
  <c r="R58" i="14"/>
  <c r="R57" i="14"/>
  <c r="R56" i="14"/>
  <c r="R55" i="14"/>
  <c r="R54" i="14"/>
  <c r="R53" i="14"/>
  <c r="R52" i="14"/>
  <c r="S72" i="11"/>
  <c r="S49" i="14"/>
  <c r="S48" i="14"/>
  <c r="R48" i="14"/>
  <c r="S47" i="14"/>
  <c r="R47" i="14"/>
  <c r="S45" i="14"/>
  <c r="R45" i="14"/>
  <c r="S44" i="14"/>
  <c r="R44" i="14"/>
  <c r="S41" i="14"/>
  <c r="S40" i="14"/>
  <c r="S39" i="14"/>
  <c r="R34" i="14"/>
  <c r="R33" i="14"/>
  <c r="S29" i="14"/>
  <c r="S28" i="14"/>
  <c r="S27" i="14"/>
  <c r="S26" i="14"/>
  <c r="S30" i="14" s="1"/>
  <c r="S19" i="14"/>
  <c r="R19" i="14"/>
  <c r="S18" i="14"/>
  <c r="R18" i="14"/>
  <c r="S17" i="14"/>
  <c r="R17" i="14"/>
  <c r="S15" i="14"/>
  <c r="R15" i="14"/>
  <c r="S14" i="14"/>
  <c r="R14" i="14"/>
  <c r="S13" i="14"/>
  <c r="R13" i="14"/>
  <c r="S12" i="14"/>
  <c r="R12" i="14"/>
  <c r="S11" i="14"/>
  <c r="X37" i="13"/>
  <c r="W30" i="13"/>
  <c r="X26" i="13"/>
  <c r="X23" i="13"/>
  <c r="X22" i="13"/>
  <c r="X21" i="13"/>
  <c r="X20" i="13"/>
  <c r="X14" i="13"/>
  <c r="X13" i="13"/>
  <c r="X12" i="13"/>
  <c r="W12" i="13"/>
  <c r="X61" i="12"/>
  <c r="W55" i="12"/>
  <c r="X55" i="12" s="1"/>
  <c r="W56" i="12"/>
  <c r="W53" i="12"/>
  <c r="X52" i="12"/>
  <c r="X51" i="12"/>
  <c r="X44" i="12"/>
  <c r="X41" i="12"/>
  <c r="X40" i="12"/>
  <c r="X37" i="12"/>
  <c r="X35" i="12"/>
  <c r="X34" i="12"/>
  <c r="X33" i="12"/>
  <c r="X32" i="12"/>
  <c r="X29" i="12"/>
  <c r="X25" i="12"/>
  <c r="X21" i="12"/>
  <c r="X19" i="12"/>
  <c r="X18" i="12"/>
  <c r="X17" i="12"/>
  <c r="X16" i="12"/>
  <c r="X15" i="12"/>
  <c r="W28" i="12"/>
  <c r="W27" i="12"/>
  <c r="W24" i="12"/>
  <c r="W23" i="12"/>
  <c r="W21" i="12"/>
  <c r="W19" i="12"/>
  <c r="W18" i="12"/>
  <c r="W17" i="12"/>
  <c r="W16" i="12"/>
  <c r="W14" i="12"/>
  <c r="W13" i="12"/>
  <c r="X62" i="11"/>
  <c r="W57" i="11"/>
  <c r="W56" i="11"/>
  <c r="X56" i="11" s="1"/>
  <c r="X53" i="11"/>
  <c r="X52" i="11"/>
  <c r="W54" i="11"/>
  <c r="X45" i="11"/>
  <c r="X43" i="11"/>
  <c r="X42" i="11"/>
  <c r="X41" i="11"/>
  <c r="X38" i="11"/>
  <c r="X37" i="11"/>
  <c r="X36" i="11"/>
  <c r="X35" i="11"/>
  <c r="X34" i="11"/>
  <c r="X33" i="11"/>
  <c r="W30" i="11"/>
  <c r="W29" i="11"/>
  <c r="W28" i="11"/>
  <c r="W27" i="11"/>
  <c r="W26" i="11"/>
  <c r="W24" i="11"/>
  <c r="W23" i="11"/>
  <c r="W22" i="11"/>
  <c r="W21" i="11"/>
  <c r="W19" i="11"/>
  <c r="W18" i="11"/>
  <c r="W17" i="11"/>
  <c r="W16" i="11"/>
  <c r="X30" i="11"/>
  <c r="X29" i="11"/>
  <c r="X28" i="11"/>
  <c r="X24" i="11"/>
  <c r="X23" i="11"/>
  <c r="X19" i="11"/>
  <c r="X18" i="11"/>
  <c r="X14" i="11"/>
  <c r="W14" i="11"/>
  <c r="X13" i="11"/>
  <c r="W13" i="11"/>
  <c r="X37" i="10"/>
  <c r="W32" i="10"/>
  <c r="W31" i="10"/>
  <c r="X28" i="10"/>
  <c r="W29" i="10"/>
  <c r="X27" i="10"/>
  <c r="X20" i="10"/>
  <c r="X16" i="10"/>
  <c r="W16" i="10"/>
  <c r="X15" i="10"/>
  <c r="W15" i="10"/>
  <c r="X14" i="10"/>
  <c r="W14" i="10"/>
  <c r="X31" i="10"/>
  <c r="X13" i="10"/>
  <c r="W13" i="10"/>
  <c r="U70" i="9"/>
  <c r="X70" i="9"/>
  <c r="W61" i="9"/>
  <c r="W69" i="13"/>
  <c r="W68" i="13"/>
  <c r="W67" i="13"/>
  <c r="W66" i="13"/>
  <c r="W64" i="13"/>
  <c r="W63" i="13"/>
  <c r="W62" i="13"/>
  <c r="W60" i="13"/>
  <c r="W59" i="13"/>
  <c r="W57" i="13"/>
  <c r="W56" i="13"/>
  <c r="W55" i="13"/>
  <c r="W54" i="13"/>
  <c r="W53" i="13"/>
  <c r="W52" i="13"/>
  <c r="W51" i="13"/>
  <c r="W50" i="13"/>
  <c r="X46" i="13"/>
  <c r="W46" i="13"/>
  <c r="X45" i="13"/>
  <c r="W45" i="13"/>
  <c r="X43" i="13"/>
  <c r="W43" i="13"/>
  <c r="X42" i="13"/>
  <c r="W42" i="13"/>
  <c r="X39" i="13"/>
  <c r="X38" i="13"/>
  <c r="W93" i="12"/>
  <c r="W92" i="12"/>
  <c r="W91" i="12"/>
  <c r="W90" i="12"/>
  <c r="W88" i="12"/>
  <c r="W87" i="12"/>
  <c r="W86" i="12"/>
  <c r="W84" i="12"/>
  <c r="W83" i="12"/>
  <c r="W81" i="12"/>
  <c r="W80" i="12"/>
  <c r="W79" i="12"/>
  <c r="W78" i="12"/>
  <c r="W77" i="12"/>
  <c r="W76" i="12"/>
  <c r="W75" i="12"/>
  <c r="W74" i="12"/>
  <c r="X70" i="12"/>
  <c r="W70" i="12"/>
  <c r="X69" i="12"/>
  <c r="W69" i="12"/>
  <c r="X67" i="12"/>
  <c r="W67" i="12"/>
  <c r="X66" i="12"/>
  <c r="W66" i="12"/>
  <c r="X63" i="12"/>
  <c r="X62" i="12"/>
  <c r="W94" i="11"/>
  <c r="W93" i="11"/>
  <c r="W92" i="11"/>
  <c r="W91" i="11"/>
  <c r="W89" i="11"/>
  <c r="W88" i="11"/>
  <c r="W87" i="11"/>
  <c r="W85" i="11"/>
  <c r="W84" i="11"/>
  <c r="W82" i="11"/>
  <c r="W81" i="11"/>
  <c r="W80" i="11"/>
  <c r="W79" i="11"/>
  <c r="W78" i="11"/>
  <c r="W77" i="11"/>
  <c r="W76" i="11"/>
  <c r="W75" i="11"/>
  <c r="X71" i="11"/>
  <c r="W71" i="11"/>
  <c r="X70" i="11"/>
  <c r="W70" i="11"/>
  <c r="X68" i="11"/>
  <c r="W68" i="11"/>
  <c r="X67" i="11"/>
  <c r="W67" i="11"/>
  <c r="X64" i="11"/>
  <c r="X63" i="11"/>
  <c r="W69" i="10"/>
  <c r="W68" i="10"/>
  <c r="W67" i="10"/>
  <c r="W66" i="10"/>
  <c r="W64" i="10"/>
  <c r="W63" i="10"/>
  <c r="W62" i="10"/>
  <c r="W60" i="10"/>
  <c r="W59" i="10"/>
  <c r="W57" i="10"/>
  <c r="W56" i="10"/>
  <c r="W55" i="10"/>
  <c r="W54" i="10"/>
  <c r="W53" i="10"/>
  <c r="W52" i="10"/>
  <c r="W51" i="10"/>
  <c r="W50" i="10"/>
  <c r="X46" i="10"/>
  <c r="W46" i="10"/>
  <c r="X45" i="10"/>
  <c r="W45" i="10"/>
  <c r="X43" i="10"/>
  <c r="W43" i="10"/>
  <c r="X42" i="10"/>
  <c r="W42" i="10"/>
  <c r="X39" i="10"/>
  <c r="X38" i="10"/>
  <c r="U80" i="9"/>
  <c r="X80" i="9"/>
  <c r="W80" i="9"/>
  <c r="U79" i="9"/>
  <c r="X79" i="9"/>
  <c r="W79" i="9"/>
  <c r="U78" i="9"/>
  <c r="X78" i="9"/>
  <c r="W78" i="9"/>
  <c r="U77" i="9"/>
  <c r="X77" i="9"/>
  <c r="W77" i="9"/>
  <c r="U75" i="9"/>
  <c r="X75" i="9"/>
  <c r="W75" i="9"/>
  <c r="U74" i="9"/>
  <c r="X74" i="9"/>
  <c r="W74" i="9"/>
  <c r="U73" i="9"/>
  <c r="X73" i="9"/>
  <c r="W73" i="9"/>
  <c r="U71" i="9"/>
  <c r="X71" i="9"/>
  <c r="W71" i="9"/>
  <c r="W70" i="9"/>
  <c r="U68" i="9"/>
  <c r="X68" i="9"/>
  <c r="W68" i="9"/>
  <c r="U67" i="9"/>
  <c r="X67" i="9"/>
  <c r="W67" i="9"/>
  <c r="U66" i="9"/>
  <c r="X66" i="9"/>
  <c r="W66" i="9"/>
  <c r="U65" i="9"/>
  <c r="X65" i="9"/>
  <c r="W65" i="9"/>
  <c r="U64" i="9"/>
  <c r="X64" i="9"/>
  <c r="W64" i="9"/>
  <c r="U63" i="9"/>
  <c r="X63" i="9"/>
  <c r="W63" i="9"/>
  <c r="U62" i="9"/>
  <c r="X62" i="9"/>
  <c r="W62" i="9"/>
  <c r="U61" i="9"/>
  <c r="X61" i="9"/>
  <c r="X58" i="9"/>
  <c r="W58" i="9"/>
  <c r="X57" i="9"/>
  <c r="W57" i="9"/>
  <c r="X56" i="9"/>
  <c r="W56" i="9"/>
  <c r="X54" i="9"/>
  <c r="W54" i="9"/>
  <c r="X53" i="9"/>
  <c r="W53" i="9"/>
  <c r="X50" i="9"/>
  <c r="X49" i="9"/>
  <c r="X48" i="9"/>
  <c r="W42" i="9"/>
  <c r="X42" i="9"/>
  <c r="W40" i="9"/>
  <c r="X39" i="9"/>
  <c r="X38" i="9"/>
  <c r="X31" i="9"/>
  <c r="X29" i="9"/>
  <c r="X28" i="9"/>
  <c r="X26" i="9"/>
  <c r="X25" i="9"/>
  <c r="X24" i="9"/>
  <c r="X23" i="9"/>
  <c r="X20" i="9"/>
  <c r="X18" i="9"/>
  <c r="X14" i="9"/>
  <c r="W20" i="9"/>
  <c r="W18" i="9"/>
  <c r="W17" i="9"/>
  <c r="W16" i="9"/>
  <c r="W14" i="9"/>
  <c r="W13" i="9"/>
  <c r="W12" i="9"/>
  <c r="X60" i="8"/>
  <c r="U85" i="5"/>
  <c r="X85" i="5"/>
  <c r="W85" i="5"/>
  <c r="U84" i="5"/>
  <c r="X84" i="5"/>
  <c r="W84" i="5"/>
  <c r="U83" i="5"/>
  <c r="X83" i="5"/>
  <c r="W83" i="5"/>
  <c r="U82" i="5"/>
  <c r="X82" i="5"/>
  <c r="W82" i="5"/>
  <c r="U80" i="5"/>
  <c r="X80" i="5"/>
  <c r="W80" i="5"/>
  <c r="U79" i="5"/>
  <c r="X79" i="5"/>
  <c r="W79" i="5"/>
  <c r="U78" i="5"/>
  <c r="X78" i="5"/>
  <c r="W78" i="5"/>
  <c r="U76" i="5"/>
  <c r="X76" i="5"/>
  <c r="W76" i="5"/>
  <c r="U75" i="5"/>
  <c r="X75" i="5"/>
  <c r="W75" i="5"/>
  <c r="U73" i="5"/>
  <c r="X73" i="5"/>
  <c r="W73" i="5"/>
  <c r="U72" i="5"/>
  <c r="X72" i="5"/>
  <c r="W72" i="5"/>
  <c r="U71" i="5"/>
  <c r="X71" i="5"/>
  <c r="W71" i="5"/>
  <c r="U70" i="5"/>
  <c r="X70" i="5"/>
  <c r="W70" i="5"/>
  <c r="U69" i="5"/>
  <c r="X69" i="5"/>
  <c r="W69" i="5"/>
  <c r="U68" i="5"/>
  <c r="X68" i="5"/>
  <c r="W68" i="5"/>
  <c r="U67" i="5"/>
  <c r="X67" i="5"/>
  <c r="W67" i="5"/>
  <c r="U66" i="5"/>
  <c r="X66" i="5"/>
  <c r="W66" i="5"/>
  <c r="X63" i="5"/>
  <c r="W63" i="5"/>
  <c r="X62" i="5"/>
  <c r="W62" i="5"/>
  <c r="X61" i="5"/>
  <c r="W61" i="5"/>
  <c r="X59" i="5"/>
  <c r="W59" i="5"/>
  <c r="X58" i="5"/>
  <c r="W58" i="5"/>
  <c r="X55" i="5"/>
  <c r="X54" i="5"/>
  <c r="X53" i="5"/>
  <c r="U78" i="7"/>
  <c r="X78" i="7"/>
  <c r="W78" i="7"/>
  <c r="U77" i="7"/>
  <c r="X77" i="7"/>
  <c r="W77" i="7"/>
  <c r="U76" i="7"/>
  <c r="X76" i="7"/>
  <c r="W76" i="7"/>
  <c r="U75" i="7"/>
  <c r="X75" i="7"/>
  <c r="W75" i="7"/>
  <c r="U73" i="7"/>
  <c r="X73" i="7"/>
  <c r="W73" i="7"/>
  <c r="U72" i="7"/>
  <c r="X72" i="7"/>
  <c r="W72" i="7"/>
  <c r="U71" i="7"/>
  <c r="X71" i="7"/>
  <c r="W71" i="7"/>
  <c r="U69" i="7"/>
  <c r="X69" i="7"/>
  <c r="W69" i="7"/>
  <c r="U68" i="7"/>
  <c r="X68" i="7"/>
  <c r="W68" i="7"/>
  <c r="U66" i="7"/>
  <c r="X66" i="7"/>
  <c r="W66" i="7"/>
  <c r="U65" i="7"/>
  <c r="X65" i="7"/>
  <c r="W65" i="7"/>
  <c r="U64" i="7"/>
  <c r="X64" i="7"/>
  <c r="W64" i="7"/>
  <c r="U63" i="7"/>
  <c r="X63" i="7"/>
  <c r="W63" i="7"/>
  <c r="U62" i="7"/>
  <c r="X62" i="7"/>
  <c r="W62" i="7"/>
  <c r="U61" i="7"/>
  <c r="X61" i="7"/>
  <c r="W61" i="7"/>
  <c r="U60" i="7"/>
  <c r="X60" i="7"/>
  <c r="W60" i="7"/>
  <c r="U59" i="7"/>
  <c r="X59" i="7"/>
  <c r="W59" i="7"/>
  <c r="X55" i="7"/>
  <c r="W55" i="7"/>
  <c r="X54" i="7"/>
  <c r="W54" i="7"/>
  <c r="X52" i="7"/>
  <c r="W52" i="7"/>
  <c r="X51" i="7"/>
  <c r="W51" i="7"/>
  <c r="U92" i="8"/>
  <c r="X92" i="8"/>
  <c r="W92" i="8"/>
  <c r="U91" i="8"/>
  <c r="X91" i="8"/>
  <c r="W91" i="8"/>
  <c r="U90" i="8"/>
  <c r="X90" i="8"/>
  <c r="W90" i="8"/>
  <c r="U89" i="8"/>
  <c r="X89" i="8"/>
  <c r="W89" i="8"/>
  <c r="U87" i="8"/>
  <c r="X87" i="8"/>
  <c r="W87" i="8"/>
  <c r="U86" i="8"/>
  <c r="X86" i="8"/>
  <c r="W86" i="8"/>
  <c r="U85" i="8"/>
  <c r="X85" i="8"/>
  <c r="W85" i="8"/>
  <c r="U83" i="8"/>
  <c r="X83" i="8"/>
  <c r="W83" i="8"/>
  <c r="U82" i="8"/>
  <c r="X82" i="8"/>
  <c r="W82" i="8"/>
  <c r="U80" i="8"/>
  <c r="X80" i="8"/>
  <c r="W80" i="8"/>
  <c r="U79" i="8"/>
  <c r="X79" i="8"/>
  <c r="W79" i="8"/>
  <c r="U78" i="8"/>
  <c r="X78" i="8"/>
  <c r="W78" i="8"/>
  <c r="U77" i="8"/>
  <c r="X77" i="8"/>
  <c r="W77" i="8"/>
  <c r="U76" i="8"/>
  <c r="X76" i="8"/>
  <c r="W76" i="8"/>
  <c r="U75" i="8"/>
  <c r="X75" i="8"/>
  <c r="W75" i="8"/>
  <c r="U74" i="8"/>
  <c r="X74" i="8"/>
  <c r="W74" i="8"/>
  <c r="W73" i="8"/>
  <c r="U73" i="8"/>
  <c r="X73" i="8"/>
  <c r="W70" i="8"/>
  <c r="W69" i="8"/>
  <c r="W68" i="8"/>
  <c r="W66" i="8"/>
  <c r="W65" i="8"/>
  <c r="X70" i="8"/>
  <c r="X69" i="8"/>
  <c r="X68" i="8"/>
  <c r="X66" i="8"/>
  <c r="X65" i="8"/>
  <c r="X62" i="8"/>
  <c r="X61" i="8"/>
  <c r="W54" i="8"/>
  <c r="W55" i="8"/>
  <c r="X51" i="8"/>
  <c r="W52" i="8"/>
  <c r="X50" i="8"/>
  <c r="X43" i="8"/>
  <c r="X41" i="8"/>
  <c r="X40" i="8"/>
  <c r="X38" i="8"/>
  <c r="X37" i="8"/>
  <c r="X36" i="8"/>
  <c r="X35" i="8"/>
  <c r="X34" i="8"/>
  <c r="X31" i="8"/>
  <c r="X29" i="8"/>
  <c r="X28" i="8"/>
  <c r="X24" i="8"/>
  <c r="X23" i="8"/>
  <c r="X22" i="8"/>
  <c r="X21" i="8"/>
  <c r="X20" i="8"/>
  <c r="X19" i="8"/>
  <c r="X18" i="8"/>
  <c r="X17" i="8"/>
  <c r="X16" i="8"/>
  <c r="X15" i="8"/>
  <c r="W31" i="8"/>
  <c r="W29" i="8"/>
  <c r="W28" i="8"/>
  <c r="W27" i="8"/>
  <c r="W26" i="8"/>
  <c r="W24" i="8"/>
  <c r="W23" i="8"/>
  <c r="X54" i="8"/>
  <c r="W22" i="8"/>
  <c r="W21" i="8"/>
  <c r="W20" i="8"/>
  <c r="W19" i="8"/>
  <c r="W18" i="8"/>
  <c r="W17" i="8"/>
  <c r="W16" i="8"/>
  <c r="W15" i="8"/>
  <c r="W14" i="8"/>
  <c r="W13" i="8"/>
  <c r="A58" i="11"/>
  <c r="A43" i="9"/>
  <c r="A56" i="8"/>
  <c r="A42" i="7"/>
  <c r="A49" i="5"/>
  <c r="Q40" i="7"/>
  <c r="U40" i="7"/>
  <c r="S40" i="7"/>
  <c r="U41" i="7"/>
  <c r="W41" i="7"/>
  <c r="W40" i="7"/>
  <c r="X40" i="7" s="1"/>
  <c r="X37" i="7"/>
  <c r="X36" i="7"/>
  <c r="X29" i="7"/>
  <c r="X27" i="7"/>
  <c r="X24" i="7"/>
  <c r="X23" i="7"/>
  <c r="X20" i="7"/>
  <c r="X18" i="7"/>
  <c r="X17" i="7"/>
  <c r="X16" i="7"/>
  <c r="X15" i="7"/>
  <c r="W20" i="7"/>
  <c r="W18" i="7"/>
  <c r="W17" i="7"/>
  <c r="W16" i="7"/>
  <c r="W15" i="7"/>
  <c r="W14" i="7"/>
  <c r="W13" i="7"/>
  <c r="W46" i="5"/>
  <c r="X42" i="5"/>
  <c r="X39" i="5"/>
  <c r="X38" i="5"/>
  <c r="X37" i="5"/>
  <c r="X36" i="5"/>
  <c r="X35" i="5"/>
  <c r="X32" i="5"/>
  <c r="X29" i="5"/>
  <c r="X28" i="5"/>
  <c r="X27" i="5"/>
  <c r="X26" i="5"/>
  <c r="X23" i="5"/>
  <c r="X22" i="5"/>
  <c r="X21" i="5"/>
  <c r="X17" i="5"/>
  <c r="X16" i="5"/>
  <c r="X15" i="5"/>
  <c r="X14" i="5"/>
  <c r="W12" i="5"/>
  <c r="U81" i="4"/>
  <c r="X81" i="4"/>
  <c r="W81" i="4"/>
  <c r="X73" i="4"/>
  <c r="W73" i="4"/>
  <c r="X70" i="4"/>
  <c r="X69" i="4"/>
  <c r="X68" i="4"/>
  <c r="X41" i="4"/>
  <c r="X40" i="4"/>
  <c r="X38" i="4"/>
  <c r="X37" i="4"/>
  <c r="X13" i="4"/>
  <c r="X31" i="4"/>
  <c r="W31" i="4"/>
  <c r="X30" i="4"/>
  <c r="W30" i="4"/>
  <c r="X29" i="4"/>
  <c r="W29" i="4"/>
  <c r="X26" i="4"/>
  <c r="W26" i="4"/>
  <c r="X24" i="4"/>
  <c r="W24" i="4"/>
  <c r="X23" i="4"/>
  <c r="W23" i="4"/>
  <c r="X21" i="4"/>
  <c r="W21" i="4"/>
  <c r="X20" i="4"/>
  <c r="W20" i="4"/>
  <c r="X18" i="4"/>
  <c r="W18" i="4"/>
  <c r="X17" i="4"/>
  <c r="W17" i="4"/>
  <c r="X15" i="4"/>
  <c r="W15" i="4"/>
  <c r="W13" i="4"/>
  <c r="X9" i="4"/>
  <c r="W7" i="4"/>
  <c r="W38" i="7"/>
  <c r="U34" i="14"/>
  <c r="U93" i="12"/>
  <c r="U56" i="12"/>
  <c r="U55" i="12"/>
  <c r="T53" i="12"/>
  <c r="U48" i="12"/>
  <c r="U29" i="12"/>
  <c r="T29" i="12"/>
  <c r="W29" i="12"/>
  <c r="U25" i="12"/>
  <c r="T25" i="12"/>
  <c r="W25" i="12"/>
  <c r="U15" i="12"/>
  <c r="T15" i="12"/>
  <c r="U94" i="11"/>
  <c r="U57" i="11"/>
  <c r="U56" i="11"/>
  <c r="T54" i="11"/>
  <c r="U49" i="11"/>
  <c r="U28" i="11"/>
  <c r="U23" i="11"/>
  <c r="U18" i="11"/>
  <c r="U69" i="10"/>
  <c r="U32" i="10"/>
  <c r="U31" i="10"/>
  <c r="T29" i="10"/>
  <c r="U24" i="10"/>
  <c r="U42" i="9"/>
  <c r="T40" i="9"/>
  <c r="U35" i="9"/>
  <c r="U55" i="8"/>
  <c r="U54" i="8"/>
  <c r="T52" i="8"/>
  <c r="U47" i="8"/>
  <c r="U15" i="8"/>
  <c r="T38" i="7"/>
  <c r="U33" i="7"/>
  <c r="U15" i="7"/>
  <c r="W48" i="5"/>
  <c r="W47" i="5"/>
  <c r="X43" i="5"/>
  <c r="X33" i="5"/>
  <c r="W15" i="5"/>
  <c r="W23" i="5"/>
  <c r="W22" i="5"/>
  <c r="W20" i="5"/>
  <c r="W19" i="5"/>
  <c r="W17" i="5"/>
  <c r="W16" i="5"/>
  <c r="W13" i="5"/>
  <c r="T44" i="5"/>
  <c r="U48" i="5"/>
  <c r="U47" i="5"/>
  <c r="U46" i="5"/>
  <c r="U39" i="5"/>
  <c r="X77" i="4"/>
  <c r="X76" i="4"/>
  <c r="X74" i="4"/>
  <c r="W101" i="4"/>
  <c r="W100" i="4"/>
  <c r="W99" i="4"/>
  <c r="W98" i="4"/>
  <c r="W96" i="4"/>
  <c r="W95" i="4"/>
  <c r="W94" i="4"/>
  <c r="W92" i="4"/>
  <c r="W91" i="4"/>
  <c r="W89" i="4"/>
  <c r="W88" i="4"/>
  <c r="W87" i="4"/>
  <c r="W85" i="4"/>
  <c r="W84" i="4"/>
  <c r="W83" i="4"/>
  <c r="W82" i="4"/>
  <c r="W77" i="4"/>
  <c r="W76" i="4"/>
  <c r="W74" i="4"/>
  <c r="W61" i="4"/>
  <c r="W62" i="4"/>
  <c r="W63" i="4"/>
  <c r="W60" i="4"/>
  <c r="X57" i="4"/>
  <c r="X56" i="4"/>
  <c r="X52" i="4"/>
  <c r="X51" i="4"/>
  <c r="X50" i="4"/>
  <c r="X49" i="4"/>
  <c r="X46" i="4"/>
  <c r="X45" i="4"/>
  <c r="W33" i="4"/>
  <c r="W34" i="4"/>
  <c r="W12" i="4"/>
  <c r="W11" i="4"/>
  <c r="W8" i="4"/>
  <c r="U101" i="4"/>
  <c r="U63" i="4"/>
  <c r="U62" i="4"/>
  <c r="U61" i="4"/>
  <c r="U60" i="4"/>
  <c r="T58" i="4"/>
  <c r="U53" i="4"/>
  <c r="W15" i="12"/>
  <c r="T11" i="14"/>
  <c r="U75" i="12"/>
  <c r="U77" i="12"/>
  <c r="U79" i="12"/>
  <c r="U81" i="12"/>
  <c r="U84" i="12"/>
  <c r="U87" i="12"/>
  <c r="U90" i="12"/>
  <c r="U92" i="12"/>
  <c r="U74" i="12"/>
  <c r="U76" i="12"/>
  <c r="U78" i="12"/>
  <c r="U80" i="12"/>
  <c r="U83" i="12"/>
  <c r="U86" i="12"/>
  <c r="U88" i="12"/>
  <c r="U91" i="12"/>
  <c r="U76" i="11"/>
  <c r="U78" i="11"/>
  <c r="U80" i="11"/>
  <c r="U82" i="11"/>
  <c r="U85" i="11"/>
  <c r="U88" i="11"/>
  <c r="U91" i="11"/>
  <c r="U93" i="11"/>
  <c r="U75" i="11"/>
  <c r="U77" i="11"/>
  <c r="U79" i="11"/>
  <c r="U81" i="11"/>
  <c r="U84" i="11"/>
  <c r="U87" i="11"/>
  <c r="U89" i="11"/>
  <c r="U92" i="11"/>
  <c r="U51" i="10"/>
  <c r="U53" i="10"/>
  <c r="U55" i="10"/>
  <c r="U57" i="10"/>
  <c r="U60" i="10"/>
  <c r="U63" i="10"/>
  <c r="U66" i="10"/>
  <c r="U68" i="10"/>
  <c r="U50" i="10"/>
  <c r="U52" i="10"/>
  <c r="U54" i="10"/>
  <c r="U56" i="10"/>
  <c r="U59" i="10"/>
  <c r="U62" i="10"/>
  <c r="U64" i="10"/>
  <c r="U67" i="10"/>
  <c r="U82" i="4"/>
  <c r="U84" i="4"/>
  <c r="U87" i="4"/>
  <c r="U89" i="4"/>
  <c r="U92" i="4"/>
  <c r="U95" i="4"/>
  <c r="U98" i="4"/>
  <c r="U100" i="4"/>
  <c r="U83" i="4"/>
  <c r="X83" i="4" s="1"/>
  <c r="U85" i="4"/>
  <c r="U88" i="4"/>
  <c r="X88" i="4" s="1"/>
  <c r="U91" i="4"/>
  <c r="U94" i="4"/>
  <c r="U96" i="4"/>
  <c r="U99" i="4"/>
  <c r="W31" i="13"/>
  <c r="X27" i="13"/>
  <c r="W14" i="13"/>
  <c r="W13" i="13"/>
  <c r="U69" i="13"/>
  <c r="U31" i="13"/>
  <c r="U30" i="13"/>
  <c r="T28" i="13"/>
  <c r="U23" i="13"/>
  <c r="U51" i="13"/>
  <c r="U53" i="13"/>
  <c r="U55" i="13"/>
  <c r="U57" i="13"/>
  <c r="U60" i="13"/>
  <c r="U63" i="13"/>
  <c r="U66" i="13"/>
  <c r="U68" i="13"/>
  <c r="U50" i="13"/>
  <c r="U52" i="13"/>
  <c r="U54" i="13"/>
  <c r="U56" i="13"/>
  <c r="U59" i="13"/>
  <c r="U62" i="13"/>
  <c r="U64" i="13"/>
  <c r="U67" i="13"/>
  <c r="P19" i="14"/>
  <c r="N19" i="14"/>
  <c r="L19" i="14"/>
  <c r="F14" i="14"/>
  <c r="Q48" i="14"/>
  <c r="Q47" i="14"/>
  <c r="Q45" i="14"/>
  <c r="Q44" i="14"/>
  <c r="O48" i="14"/>
  <c r="O47" i="14"/>
  <c r="O45" i="14"/>
  <c r="O44" i="14"/>
  <c r="M48" i="14"/>
  <c r="M47" i="14"/>
  <c r="M45" i="14"/>
  <c r="M44" i="14"/>
  <c r="K48" i="14"/>
  <c r="K47" i="14"/>
  <c r="K45" i="14"/>
  <c r="K44" i="14"/>
  <c r="P48" i="14"/>
  <c r="P47" i="14"/>
  <c r="P45" i="14"/>
  <c r="P44" i="14"/>
  <c r="N48" i="14"/>
  <c r="N47" i="14"/>
  <c r="N45" i="14"/>
  <c r="N44" i="14"/>
  <c r="L48" i="14"/>
  <c r="L47" i="14"/>
  <c r="L45" i="14"/>
  <c r="L44" i="14"/>
  <c r="J48" i="14"/>
  <c r="J47" i="14"/>
  <c r="J45" i="14"/>
  <c r="J44" i="14"/>
  <c r="S78" i="4"/>
  <c r="R78" i="4"/>
  <c r="R49" i="14" s="1"/>
  <c r="Q78" i="4"/>
  <c r="P78" i="4"/>
  <c r="O78" i="4"/>
  <c r="X78" i="4" s="1"/>
  <c r="N78" i="4"/>
  <c r="W78" i="4" s="1"/>
  <c r="M78" i="4"/>
  <c r="M49" i="14" s="1"/>
  <c r="L78" i="4"/>
  <c r="K78" i="4"/>
  <c r="J78" i="4"/>
  <c r="I78" i="4"/>
  <c r="G78" i="4"/>
  <c r="E78" i="4"/>
  <c r="C78" i="4"/>
  <c r="X47" i="4"/>
  <c r="S101" i="4"/>
  <c r="X101" i="4"/>
  <c r="S91" i="4"/>
  <c r="X91" i="4" s="1"/>
  <c r="S81" i="4"/>
  <c r="S100" i="4"/>
  <c r="X100" i="4"/>
  <c r="S89" i="4"/>
  <c r="X89" i="4" s="1"/>
  <c r="S88" i="4"/>
  <c r="S98" i="4"/>
  <c r="X98" i="4"/>
  <c r="S85" i="4"/>
  <c r="X85" i="4"/>
  <c r="S84" i="4"/>
  <c r="X84" i="4" s="1"/>
  <c r="S83" i="4"/>
  <c r="S92" i="4"/>
  <c r="X92" i="4"/>
  <c r="S99" i="4"/>
  <c r="X99" i="4"/>
  <c r="S87" i="4"/>
  <c r="X87" i="4" s="1"/>
  <c r="S95" i="4"/>
  <c r="X95" i="4"/>
  <c r="S94" i="4"/>
  <c r="X94" i="4"/>
  <c r="S82" i="4"/>
  <c r="X82" i="4"/>
  <c r="S96" i="4"/>
  <c r="X96" i="4" s="1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D18" i="14"/>
  <c r="D13" i="14"/>
  <c r="D12" i="14"/>
  <c r="F52" i="14"/>
  <c r="H52" i="14"/>
  <c r="L52" i="14"/>
  <c r="P52" i="14"/>
  <c r="F53" i="14"/>
  <c r="H53" i="14"/>
  <c r="L53" i="14"/>
  <c r="N53" i="14"/>
  <c r="P53" i="14"/>
  <c r="F54" i="14"/>
  <c r="H54" i="14"/>
  <c r="L54" i="14"/>
  <c r="N54" i="14"/>
  <c r="P54" i="14"/>
  <c r="F55" i="14"/>
  <c r="H55" i="14"/>
  <c r="L55" i="14"/>
  <c r="N55" i="14"/>
  <c r="P55" i="14"/>
  <c r="F56" i="14"/>
  <c r="H56" i="14"/>
  <c r="L56" i="14"/>
  <c r="N56" i="14"/>
  <c r="P56" i="14"/>
  <c r="F57" i="14"/>
  <c r="H57" i="14"/>
  <c r="L57" i="14"/>
  <c r="N57" i="14"/>
  <c r="P57" i="14"/>
  <c r="F58" i="14"/>
  <c r="H58" i="14"/>
  <c r="L58" i="14"/>
  <c r="N58" i="14"/>
  <c r="P58" i="14"/>
  <c r="F59" i="14"/>
  <c r="H59" i="14"/>
  <c r="L59" i="14"/>
  <c r="N59" i="14"/>
  <c r="P59" i="14"/>
  <c r="F61" i="14"/>
  <c r="H61" i="14"/>
  <c r="L61" i="14"/>
  <c r="P61" i="14"/>
  <c r="F62" i="14"/>
  <c r="H62" i="14"/>
  <c r="L62" i="14"/>
  <c r="N62" i="14"/>
  <c r="P62" i="14"/>
  <c r="F64" i="14"/>
  <c r="H64" i="14"/>
  <c r="L64" i="14"/>
  <c r="P64" i="14"/>
  <c r="F65" i="14"/>
  <c r="H65" i="14"/>
  <c r="L65" i="14"/>
  <c r="N65" i="14"/>
  <c r="P65" i="14"/>
  <c r="F66" i="14"/>
  <c r="H66" i="14"/>
  <c r="L66" i="14"/>
  <c r="P66" i="14"/>
  <c r="F68" i="14"/>
  <c r="H68" i="14"/>
  <c r="L68" i="14"/>
  <c r="P68" i="14"/>
  <c r="F69" i="14"/>
  <c r="H69" i="14"/>
  <c r="L69" i="14"/>
  <c r="N69" i="14"/>
  <c r="P69" i="14"/>
  <c r="F70" i="14"/>
  <c r="H70" i="14"/>
  <c r="L70" i="14"/>
  <c r="N70" i="14"/>
  <c r="P70" i="14"/>
  <c r="F71" i="14"/>
  <c r="H71" i="14"/>
  <c r="L71" i="14"/>
  <c r="N71" i="14"/>
  <c r="P71" i="14"/>
  <c r="D53" i="14"/>
  <c r="D54" i="14"/>
  <c r="D55" i="14"/>
  <c r="D56" i="14"/>
  <c r="D57" i="14"/>
  <c r="D58" i="14"/>
  <c r="D59" i="14"/>
  <c r="D62" i="14"/>
  <c r="D65" i="14"/>
  <c r="D66" i="14"/>
  <c r="D69" i="14"/>
  <c r="D70" i="14"/>
  <c r="D71" i="14"/>
  <c r="E44" i="14"/>
  <c r="G44" i="14"/>
  <c r="I44" i="14"/>
  <c r="E45" i="14"/>
  <c r="G45" i="14"/>
  <c r="I45" i="14"/>
  <c r="E47" i="14"/>
  <c r="G47" i="14"/>
  <c r="I47" i="14"/>
  <c r="E48" i="14"/>
  <c r="G48" i="14"/>
  <c r="I48" i="14"/>
  <c r="E40" i="14"/>
  <c r="G40" i="14"/>
  <c r="I40" i="14"/>
  <c r="K40" i="14"/>
  <c r="M40" i="14"/>
  <c r="O40" i="14"/>
  <c r="Q40" i="14"/>
  <c r="E41" i="14"/>
  <c r="G41" i="14"/>
  <c r="I41" i="14"/>
  <c r="M41" i="14"/>
  <c r="O41" i="14"/>
  <c r="Q41" i="14"/>
  <c r="G39" i="14"/>
  <c r="I39" i="14"/>
  <c r="K39" i="14"/>
  <c r="M39" i="14"/>
  <c r="O39" i="14"/>
  <c r="Q39" i="14"/>
  <c r="E39" i="14"/>
  <c r="J34" i="14"/>
  <c r="L34" i="14"/>
  <c r="M34" i="14" s="1"/>
  <c r="N34" i="14"/>
  <c r="P34" i="14"/>
  <c r="H34" i="14"/>
  <c r="H33" i="14"/>
  <c r="I33" i="14" s="1"/>
  <c r="J33" i="14"/>
  <c r="L33" i="14"/>
  <c r="N33" i="14"/>
  <c r="O33" i="14" s="1"/>
  <c r="P33" i="14"/>
  <c r="Q27" i="14"/>
  <c r="Q28" i="14"/>
  <c r="Q29" i="14"/>
  <c r="O27" i="14"/>
  <c r="O28" i="14"/>
  <c r="O29" i="14"/>
  <c r="M29" i="14"/>
  <c r="M27" i="14"/>
  <c r="M28" i="14"/>
  <c r="K27" i="14"/>
  <c r="K28" i="14"/>
  <c r="K29" i="14"/>
  <c r="I27" i="14"/>
  <c r="I30" i="14" s="1"/>
  <c r="I28" i="14"/>
  <c r="I29" i="14"/>
  <c r="G27" i="14"/>
  <c r="G28" i="14"/>
  <c r="G29" i="14"/>
  <c r="E27" i="14"/>
  <c r="E28" i="14"/>
  <c r="E29" i="14"/>
  <c r="G26" i="14"/>
  <c r="I26" i="14"/>
  <c r="K26" i="14"/>
  <c r="M26" i="14"/>
  <c r="O26" i="14"/>
  <c r="O30" i="14" s="1"/>
  <c r="Q26" i="14"/>
  <c r="E26" i="14"/>
  <c r="E30" i="14" s="1"/>
  <c r="E21" i="14"/>
  <c r="E19" i="14"/>
  <c r="F19" i="14"/>
  <c r="G19" i="14"/>
  <c r="H19" i="14"/>
  <c r="I19" i="14"/>
  <c r="J19" i="14"/>
  <c r="K19" i="14"/>
  <c r="M19" i="14"/>
  <c r="O19" i="14"/>
  <c r="Q19" i="14"/>
  <c r="D19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D17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D15" i="14"/>
  <c r="E14" i="14"/>
  <c r="G14" i="14"/>
  <c r="I14" i="14"/>
  <c r="J14" i="14"/>
  <c r="K14" i="14"/>
  <c r="L14" i="14"/>
  <c r="M14" i="14"/>
  <c r="N14" i="14"/>
  <c r="O14" i="14"/>
  <c r="P14" i="14"/>
  <c r="Q14" i="14"/>
  <c r="D14" i="14"/>
  <c r="I11" i="14"/>
  <c r="K11" i="14"/>
  <c r="M11" i="14"/>
  <c r="O11" i="14"/>
  <c r="Q11" i="14"/>
  <c r="G11" i="14"/>
  <c r="E11" i="14"/>
  <c r="M30" i="14"/>
  <c r="Q55" i="12"/>
  <c r="Q56" i="11"/>
  <c r="Q57" i="11"/>
  <c r="S55" i="8"/>
  <c r="S54" i="8"/>
  <c r="Q54" i="8"/>
  <c r="O55" i="8"/>
  <c r="O54" i="8"/>
  <c r="M54" i="8"/>
  <c r="S46" i="5"/>
  <c r="Q46" i="5"/>
  <c r="O46" i="5"/>
  <c r="M46" i="5"/>
  <c r="K46" i="5"/>
  <c r="I46" i="5"/>
  <c r="O62" i="4"/>
  <c r="O60" i="4"/>
  <c r="M40" i="7"/>
  <c r="C72" i="11"/>
  <c r="E72" i="11"/>
  <c r="G72" i="11"/>
  <c r="I72" i="11"/>
  <c r="J72" i="11"/>
  <c r="K72" i="11"/>
  <c r="L72" i="11"/>
  <c r="M72" i="11"/>
  <c r="N72" i="11"/>
  <c r="O72" i="11"/>
  <c r="P72" i="11"/>
  <c r="Q72" i="11"/>
  <c r="R72" i="11"/>
  <c r="X72" i="11"/>
  <c r="W72" i="11"/>
  <c r="X47" i="12"/>
  <c r="X46" i="12"/>
  <c r="X45" i="12"/>
  <c r="X48" i="11"/>
  <c r="X47" i="11"/>
  <c r="X46" i="11"/>
  <c r="X23" i="10"/>
  <c r="X22" i="10"/>
  <c r="X21" i="10"/>
  <c r="X34" i="9"/>
  <c r="X33" i="9"/>
  <c r="X32" i="9"/>
  <c r="B15" i="7"/>
  <c r="X46" i="8"/>
  <c r="X45" i="8"/>
  <c r="X44" i="8"/>
  <c r="X32" i="7"/>
  <c r="X31" i="7"/>
  <c r="X30" i="7"/>
  <c r="J71" i="12"/>
  <c r="J63" i="5"/>
  <c r="J49" i="14"/>
  <c r="J58" i="9"/>
  <c r="J47" i="13"/>
  <c r="L47" i="13"/>
  <c r="R47" i="13"/>
  <c r="W47" i="13"/>
  <c r="P47" i="13"/>
  <c r="N47" i="13"/>
  <c r="L71" i="12"/>
  <c r="N71" i="12"/>
  <c r="P71" i="12"/>
  <c r="R47" i="10"/>
  <c r="W47" i="10"/>
  <c r="P47" i="10"/>
  <c r="N47" i="10"/>
  <c r="L47" i="10"/>
  <c r="J47" i="10"/>
  <c r="R58" i="9"/>
  <c r="P58" i="9"/>
  <c r="N58" i="9"/>
  <c r="L58" i="9"/>
  <c r="R70" i="8"/>
  <c r="P70" i="8"/>
  <c r="N70" i="8"/>
  <c r="L70" i="8"/>
  <c r="J70" i="8"/>
  <c r="R56" i="7"/>
  <c r="P56" i="7"/>
  <c r="N56" i="7"/>
  <c r="L56" i="7"/>
  <c r="J56" i="7"/>
  <c r="R63" i="5"/>
  <c r="P63" i="5"/>
  <c r="N63" i="5"/>
  <c r="L63" i="5"/>
  <c r="L49" i="14"/>
  <c r="P49" i="14"/>
  <c r="N49" i="14"/>
  <c r="W56" i="7"/>
  <c r="R71" i="12"/>
  <c r="W71" i="12"/>
  <c r="X31" i="13"/>
  <c r="X30" i="13"/>
  <c r="I47" i="5"/>
  <c r="K47" i="5"/>
  <c r="M47" i="5"/>
  <c r="O47" i="5"/>
  <c r="Q47" i="5"/>
  <c r="S47" i="5"/>
  <c r="R66" i="5"/>
  <c r="R75" i="5"/>
  <c r="C23" i="8"/>
  <c r="X16" i="13"/>
  <c r="K56" i="12"/>
  <c r="K31" i="10"/>
  <c r="O48" i="5"/>
  <c r="X46" i="5"/>
  <c r="X47" i="7"/>
  <c r="X46" i="7"/>
  <c r="S63" i="12"/>
  <c r="S64" i="11"/>
  <c r="S62" i="8"/>
  <c r="S48" i="7"/>
  <c r="S55" i="5"/>
  <c r="E63" i="12"/>
  <c r="G64" i="11"/>
  <c r="E64" i="11"/>
  <c r="E39" i="10"/>
  <c r="E50" i="9"/>
  <c r="K63" i="12"/>
  <c r="K55" i="5"/>
  <c r="K41" i="14"/>
  <c r="K62" i="8"/>
  <c r="K48" i="7"/>
  <c r="X48" i="7"/>
  <c r="Q55" i="8"/>
  <c r="K63" i="4"/>
  <c r="R38" i="7"/>
  <c r="R13" i="9"/>
  <c r="R24" i="12"/>
  <c r="R23" i="12"/>
  <c r="R28" i="12"/>
  <c r="R14" i="12"/>
  <c r="R13" i="12"/>
  <c r="R17" i="9"/>
  <c r="R16" i="9"/>
  <c r="R27" i="11"/>
  <c r="R26" i="11"/>
  <c r="R22" i="11"/>
  <c r="R21" i="11"/>
  <c r="R17" i="11"/>
  <c r="R16" i="11"/>
  <c r="R8" i="4"/>
  <c r="R7" i="4"/>
  <c r="R27" i="8"/>
  <c r="R26" i="8"/>
  <c r="R14" i="7"/>
  <c r="R13" i="7"/>
  <c r="R14" i="8"/>
  <c r="R13" i="8"/>
  <c r="R13" i="5"/>
  <c r="R12" i="5"/>
  <c r="S31" i="13"/>
  <c r="Q31" i="13"/>
  <c r="O31" i="13"/>
  <c r="M31" i="13"/>
  <c r="K31" i="13"/>
  <c r="I31" i="13"/>
  <c r="S30" i="13"/>
  <c r="Q30" i="13"/>
  <c r="O30" i="13"/>
  <c r="M30" i="13"/>
  <c r="K30" i="13"/>
  <c r="I30" i="13"/>
  <c r="S56" i="12"/>
  <c r="Q56" i="12"/>
  <c r="O56" i="12"/>
  <c r="M56" i="12"/>
  <c r="I56" i="12"/>
  <c r="G56" i="12"/>
  <c r="E56" i="12"/>
  <c r="S55" i="12"/>
  <c r="O55" i="12"/>
  <c r="M55" i="12"/>
  <c r="K55" i="12"/>
  <c r="I55" i="12"/>
  <c r="G55" i="12"/>
  <c r="E55" i="12"/>
  <c r="C56" i="12"/>
  <c r="C55" i="12"/>
  <c r="S57" i="11"/>
  <c r="O57" i="11"/>
  <c r="M57" i="11"/>
  <c r="K57" i="11"/>
  <c r="I57" i="11"/>
  <c r="G57" i="11"/>
  <c r="E57" i="11"/>
  <c r="S56" i="11"/>
  <c r="O56" i="11"/>
  <c r="M56" i="11"/>
  <c r="K56" i="11"/>
  <c r="I56" i="11"/>
  <c r="G56" i="11"/>
  <c r="E56" i="11"/>
  <c r="C57" i="11"/>
  <c r="C56" i="11"/>
  <c r="S32" i="10"/>
  <c r="S31" i="10"/>
  <c r="Q32" i="10"/>
  <c r="Q31" i="10"/>
  <c r="O32" i="10"/>
  <c r="O31" i="10"/>
  <c r="M32" i="10"/>
  <c r="M31" i="10"/>
  <c r="K32" i="10"/>
  <c r="I32" i="10"/>
  <c r="I31" i="10"/>
  <c r="G32" i="10"/>
  <c r="G31" i="10"/>
  <c r="E32" i="10"/>
  <c r="E31" i="10"/>
  <c r="C32" i="10"/>
  <c r="C31" i="10"/>
  <c r="X55" i="8"/>
  <c r="M55" i="8"/>
  <c r="K55" i="8"/>
  <c r="I55" i="8"/>
  <c r="G55" i="8"/>
  <c r="E55" i="8"/>
  <c r="K54" i="8"/>
  <c r="I54" i="8"/>
  <c r="G54" i="8"/>
  <c r="E54" i="8"/>
  <c r="C55" i="8"/>
  <c r="C54" i="8"/>
  <c r="X22" i="7"/>
  <c r="S41" i="7"/>
  <c r="Q41" i="7"/>
  <c r="O41" i="7"/>
  <c r="M41" i="7"/>
  <c r="K41" i="7"/>
  <c r="I41" i="7"/>
  <c r="O40" i="7"/>
  <c r="K40" i="7"/>
  <c r="I40" i="7"/>
  <c r="C41" i="7"/>
  <c r="C40" i="7"/>
  <c r="X48" i="5"/>
  <c r="S48" i="5"/>
  <c r="Q48" i="5"/>
  <c r="M48" i="5"/>
  <c r="K48" i="5"/>
  <c r="I48" i="5"/>
  <c r="R28" i="8"/>
  <c r="R9" i="4"/>
  <c r="W9" i="4" s="1"/>
  <c r="H21" i="5"/>
  <c r="X33" i="8"/>
  <c r="X22" i="9"/>
  <c r="X32" i="11"/>
  <c r="X57" i="11"/>
  <c r="X31" i="12"/>
  <c r="X56" i="12"/>
  <c r="N29" i="12"/>
  <c r="N66" i="13"/>
  <c r="N62" i="13"/>
  <c r="N59" i="13"/>
  <c r="J68" i="13"/>
  <c r="J67" i="13"/>
  <c r="J66" i="13"/>
  <c r="J64" i="13"/>
  <c r="J63" i="13"/>
  <c r="J62" i="13"/>
  <c r="J60" i="13"/>
  <c r="J59" i="13"/>
  <c r="J57" i="13"/>
  <c r="J56" i="13"/>
  <c r="J55" i="13"/>
  <c r="J54" i="13"/>
  <c r="J53" i="13"/>
  <c r="J52" i="13"/>
  <c r="J51" i="13"/>
  <c r="J50" i="13"/>
  <c r="D66" i="13"/>
  <c r="D64" i="13"/>
  <c r="D60" i="13"/>
  <c r="D59" i="13"/>
  <c r="D55" i="13"/>
  <c r="J93" i="12"/>
  <c r="J92" i="12"/>
  <c r="J91" i="12"/>
  <c r="J90" i="12"/>
  <c r="J88" i="12"/>
  <c r="J87" i="12"/>
  <c r="J86" i="12"/>
  <c r="J84" i="12"/>
  <c r="J83" i="12"/>
  <c r="J81" i="12"/>
  <c r="J80" i="12"/>
  <c r="J79" i="12"/>
  <c r="J78" i="12"/>
  <c r="J77" i="12"/>
  <c r="J76" i="12"/>
  <c r="J75" i="12"/>
  <c r="J74" i="12"/>
  <c r="H90" i="12"/>
  <c r="H88" i="12"/>
  <c r="H87" i="12"/>
  <c r="H86" i="12"/>
  <c r="H83" i="12"/>
  <c r="H81" i="12"/>
  <c r="H80" i="12"/>
  <c r="H74" i="12"/>
  <c r="D84" i="12"/>
  <c r="D83" i="12"/>
  <c r="C45" i="12"/>
  <c r="C44" i="12"/>
  <c r="R29" i="12"/>
  <c r="P29" i="12"/>
  <c r="L29" i="12"/>
  <c r="J29" i="12"/>
  <c r="H29" i="12"/>
  <c r="F29" i="12"/>
  <c r="D29" i="12"/>
  <c r="B29" i="12"/>
  <c r="R25" i="12"/>
  <c r="P25" i="12"/>
  <c r="N25" i="12"/>
  <c r="L25" i="12"/>
  <c r="J25" i="12"/>
  <c r="H25" i="12"/>
  <c r="F25" i="12"/>
  <c r="D25" i="12"/>
  <c r="B25" i="12"/>
  <c r="N91" i="11"/>
  <c r="N89" i="11"/>
  <c r="N87" i="11"/>
  <c r="N84" i="11"/>
  <c r="N75" i="11"/>
  <c r="J94" i="11"/>
  <c r="J93" i="11"/>
  <c r="J92" i="11"/>
  <c r="J91" i="11"/>
  <c r="J89" i="11"/>
  <c r="J88" i="11"/>
  <c r="J87" i="11"/>
  <c r="J85" i="11"/>
  <c r="J84" i="11"/>
  <c r="J82" i="11"/>
  <c r="J81" i="11"/>
  <c r="J80" i="11"/>
  <c r="J79" i="11"/>
  <c r="J78" i="11"/>
  <c r="J77" i="11"/>
  <c r="J76" i="11"/>
  <c r="J75" i="11"/>
  <c r="D91" i="11"/>
  <c r="D87" i="11"/>
  <c r="D85" i="11"/>
  <c r="D84" i="11"/>
  <c r="D79" i="11"/>
  <c r="D75" i="11"/>
  <c r="R28" i="11"/>
  <c r="P28" i="11"/>
  <c r="N28" i="11"/>
  <c r="L28" i="11"/>
  <c r="J28" i="11"/>
  <c r="H28" i="11"/>
  <c r="F28" i="11"/>
  <c r="D28" i="11"/>
  <c r="B28" i="11"/>
  <c r="R23" i="11"/>
  <c r="P23" i="11"/>
  <c r="N23" i="11"/>
  <c r="L23" i="11"/>
  <c r="J23" i="11"/>
  <c r="H23" i="11"/>
  <c r="F23" i="11"/>
  <c r="D23" i="11"/>
  <c r="B23" i="11"/>
  <c r="X32" i="10"/>
  <c r="J69" i="10"/>
  <c r="J68" i="10"/>
  <c r="J67" i="10"/>
  <c r="J66" i="10"/>
  <c r="J64" i="10"/>
  <c r="J63" i="10"/>
  <c r="J62" i="10"/>
  <c r="J60" i="10"/>
  <c r="J59" i="10"/>
  <c r="J57" i="10"/>
  <c r="J56" i="10"/>
  <c r="J55" i="10"/>
  <c r="J54" i="10"/>
  <c r="J53" i="10"/>
  <c r="J52" i="10"/>
  <c r="J51" i="10"/>
  <c r="J50" i="10"/>
  <c r="J80" i="9"/>
  <c r="J78" i="9"/>
  <c r="J77" i="9"/>
  <c r="J75" i="9"/>
  <c r="J74" i="9"/>
  <c r="J73" i="9"/>
  <c r="J71" i="9"/>
  <c r="J70" i="9"/>
  <c r="J68" i="9"/>
  <c r="J67" i="9"/>
  <c r="J66" i="9"/>
  <c r="J65" i="9"/>
  <c r="J64" i="9"/>
  <c r="J63" i="9"/>
  <c r="J62" i="9"/>
  <c r="J61" i="9"/>
  <c r="D78" i="9"/>
  <c r="D77" i="9"/>
  <c r="D75" i="9"/>
  <c r="D73" i="9"/>
  <c r="D71" i="9"/>
  <c r="D70" i="9"/>
  <c r="D61" i="9"/>
  <c r="R18" i="9"/>
  <c r="P18" i="9"/>
  <c r="N18" i="9"/>
  <c r="L18" i="9"/>
  <c r="J18" i="9"/>
  <c r="H18" i="9"/>
  <c r="F18" i="9"/>
  <c r="D18" i="9"/>
  <c r="B18" i="9"/>
  <c r="N89" i="8"/>
  <c r="N87" i="8"/>
  <c r="N85" i="8"/>
  <c r="N83" i="8"/>
  <c r="N82" i="8"/>
  <c r="N73" i="8"/>
  <c r="J92" i="8"/>
  <c r="J91" i="8"/>
  <c r="J90" i="8"/>
  <c r="J89" i="8"/>
  <c r="J87" i="8"/>
  <c r="J86" i="8"/>
  <c r="J85" i="8"/>
  <c r="J83" i="8"/>
  <c r="J82" i="8"/>
  <c r="J80" i="8"/>
  <c r="J79" i="8"/>
  <c r="J78" i="8"/>
  <c r="J77" i="8"/>
  <c r="J76" i="8"/>
  <c r="J75" i="8"/>
  <c r="J74" i="8"/>
  <c r="J73" i="8"/>
  <c r="D89" i="8"/>
  <c r="D87" i="8"/>
  <c r="D86" i="8"/>
  <c r="D85" i="8"/>
  <c r="D83" i="8"/>
  <c r="D82" i="8"/>
  <c r="D73" i="8"/>
  <c r="O65" i="8"/>
  <c r="F18" i="8"/>
  <c r="P28" i="8"/>
  <c r="N28" i="8"/>
  <c r="L28" i="8"/>
  <c r="J28" i="8"/>
  <c r="H28" i="8"/>
  <c r="F28" i="8"/>
  <c r="D28" i="8"/>
  <c r="B28" i="8"/>
  <c r="N75" i="7"/>
  <c r="N71" i="7"/>
  <c r="N68" i="7"/>
  <c r="N59" i="7"/>
  <c r="J78" i="7"/>
  <c r="J77" i="7"/>
  <c r="J76" i="7"/>
  <c r="J75" i="7"/>
  <c r="J73" i="7"/>
  <c r="J72" i="7"/>
  <c r="J71" i="7"/>
  <c r="J69" i="7"/>
  <c r="J68" i="7"/>
  <c r="J66" i="7"/>
  <c r="J65" i="7"/>
  <c r="J64" i="7"/>
  <c r="J63" i="7"/>
  <c r="J62" i="7"/>
  <c r="J61" i="7"/>
  <c r="J60" i="7"/>
  <c r="J59" i="7"/>
  <c r="D75" i="7"/>
  <c r="D73" i="7"/>
  <c r="D68" i="7"/>
  <c r="D59" i="7"/>
  <c r="X41" i="7"/>
  <c r="N82" i="5"/>
  <c r="N68" i="14"/>
  <c r="N80" i="5"/>
  <c r="N66" i="14"/>
  <c r="N78" i="5"/>
  <c r="N64" i="14"/>
  <c r="N75" i="5"/>
  <c r="N61" i="14"/>
  <c r="N66" i="5"/>
  <c r="N52" i="14"/>
  <c r="J85" i="5"/>
  <c r="J71" i="14"/>
  <c r="J84" i="5"/>
  <c r="J70" i="14"/>
  <c r="J83" i="5"/>
  <c r="J69" i="14"/>
  <c r="J82" i="5"/>
  <c r="J68" i="14"/>
  <c r="J80" i="5"/>
  <c r="J66" i="14"/>
  <c r="J79" i="5"/>
  <c r="J65" i="14"/>
  <c r="J78" i="5"/>
  <c r="J64" i="14"/>
  <c r="J76" i="5"/>
  <c r="J62" i="14"/>
  <c r="J75" i="5"/>
  <c r="J61" i="14"/>
  <c r="J73" i="5"/>
  <c r="J59" i="14"/>
  <c r="J72" i="5"/>
  <c r="J58" i="14"/>
  <c r="J71" i="5"/>
  <c r="J57" i="14"/>
  <c r="J70" i="5"/>
  <c r="J56" i="14"/>
  <c r="J69" i="5"/>
  <c r="J55" i="14"/>
  <c r="J68" i="5"/>
  <c r="J54" i="14"/>
  <c r="J67" i="5"/>
  <c r="J53" i="14"/>
  <c r="J66" i="5"/>
  <c r="J52" i="14"/>
  <c r="D82" i="5"/>
  <c r="D68" i="14"/>
  <c r="D78" i="5"/>
  <c r="D64" i="14"/>
  <c r="D75" i="5"/>
  <c r="D61" i="14"/>
  <c r="D66" i="5"/>
  <c r="D52" i="14"/>
  <c r="X25" i="5"/>
  <c r="H22" i="5"/>
  <c r="H14" i="14"/>
  <c r="R21" i="5"/>
  <c r="W21" i="5"/>
  <c r="P21" i="5"/>
  <c r="N21" i="5"/>
  <c r="L21" i="5"/>
  <c r="J21" i="5"/>
  <c r="F21" i="5"/>
  <c r="D21" i="5"/>
  <c r="B21" i="5"/>
  <c r="S47" i="13"/>
  <c r="Q47" i="13"/>
  <c r="Q68" i="13"/>
  <c r="O47" i="13"/>
  <c r="O68" i="13"/>
  <c r="M47" i="13"/>
  <c r="M54" i="13"/>
  <c r="K47" i="13"/>
  <c r="K68" i="13"/>
  <c r="I47" i="13"/>
  <c r="I68" i="13"/>
  <c r="G47" i="13"/>
  <c r="G68" i="13"/>
  <c r="E47" i="13"/>
  <c r="E52" i="13"/>
  <c r="C47" i="13"/>
  <c r="C68" i="13"/>
  <c r="X28" i="13"/>
  <c r="R28" i="13"/>
  <c r="W28" i="13"/>
  <c r="P28" i="13"/>
  <c r="N28" i="13"/>
  <c r="L28" i="13"/>
  <c r="J28" i="13"/>
  <c r="H28" i="13"/>
  <c r="F28" i="13"/>
  <c r="D28" i="13"/>
  <c r="B28" i="13"/>
  <c r="S23" i="13"/>
  <c r="Q23" i="13"/>
  <c r="O23" i="13"/>
  <c r="M23" i="13"/>
  <c r="K23" i="13"/>
  <c r="I23" i="13"/>
  <c r="G23" i="13"/>
  <c r="E23" i="13"/>
  <c r="C23" i="13"/>
  <c r="X17" i="13"/>
  <c r="S71" i="12"/>
  <c r="X71" i="12"/>
  <c r="Q71" i="12"/>
  <c r="O71" i="12"/>
  <c r="M71" i="12"/>
  <c r="K71" i="12"/>
  <c r="K90" i="12"/>
  <c r="I71" i="12"/>
  <c r="G71" i="12"/>
  <c r="E71" i="12"/>
  <c r="C71" i="12"/>
  <c r="C92" i="12"/>
  <c r="R53" i="12"/>
  <c r="P53" i="12"/>
  <c r="N53" i="12"/>
  <c r="L53" i="12"/>
  <c r="J53" i="12"/>
  <c r="H53" i="12"/>
  <c r="F53" i="12"/>
  <c r="D53" i="12"/>
  <c r="B53" i="12"/>
  <c r="S48" i="12"/>
  <c r="Q48" i="12"/>
  <c r="O48" i="12"/>
  <c r="M48" i="12"/>
  <c r="K48" i="12"/>
  <c r="I48" i="12"/>
  <c r="G48" i="12"/>
  <c r="E48" i="12"/>
  <c r="C48" i="12"/>
  <c r="X38" i="12"/>
  <c r="R15" i="12"/>
  <c r="P15" i="12"/>
  <c r="N15" i="12"/>
  <c r="L15" i="12"/>
  <c r="J15" i="12"/>
  <c r="H15" i="12"/>
  <c r="F15" i="12"/>
  <c r="D15" i="12"/>
  <c r="B15" i="12"/>
  <c r="S93" i="11"/>
  <c r="X93" i="11"/>
  <c r="Q93" i="11"/>
  <c r="O93" i="11"/>
  <c r="M77" i="11"/>
  <c r="K93" i="11"/>
  <c r="I93" i="11"/>
  <c r="G93" i="11"/>
  <c r="E79" i="11"/>
  <c r="C93" i="11"/>
  <c r="R54" i="11"/>
  <c r="P54" i="11"/>
  <c r="N54" i="11"/>
  <c r="L54" i="11"/>
  <c r="J54" i="11"/>
  <c r="H54" i="11"/>
  <c r="F54" i="11"/>
  <c r="D54" i="11"/>
  <c r="B54" i="11"/>
  <c r="S49" i="11"/>
  <c r="Q49" i="11"/>
  <c r="O49" i="11"/>
  <c r="M49" i="11"/>
  <c r="K49" i="11"/>
  <c r="I49" i="11"/>
  <c r="G49" i="11"/>
  <c r="E49" i="11"/>
  <c r="C49" i="11"/>
  <c r="X39" i="11"/>
  <c r="R18" i="11"/>
  <c r="P18" i="11"/>
  <c r="N18" i="11"/>
  <c r="L18" i="11"/>
  <c r="J18" i="11"/>
  <c r="H18" i="11"/>
  <c r="F18" i="11"/>
  <c r="D18" i="11"/>
  <c r="B18" i="11"/>
  <c r="S47" i="10"/>
  <c r="Q47" i="10"/>
  <c r="O47" i="10"/>
  <c r="M47" i="10"/>
  <c r="K47" i="10"/>
  <c r="I47" i="10"/>
  <c r="G47" i="10"/>
  <c r="E47" i="10"/>
  <c r="C47" i="10"/>
  <c r="R29" i="10"/>
  <c r="P29" i="10"/>
  <c r="N29" i="10"/>
  <c r="L29" i="10"/>
  <c r="J29" i="10"/>
  <c r="H29" i="10"/>
  <c r="F29" i="10"/>
  <c r="D29" i="10"/>
  <c r="B29" i="10"/>
  <c r="S24" i="10"/>
  <c r="Q24" i="10"/>
  <c r="O24" i="10"/>
  <c r="M24" i="10"/>
  <c r="K24" i="10"/>
  <c r="I24" i="10"/>
  <c r="G24" i="10"/>
  <c r="E24" i="10"/>
  <c r="C24" i="10"/>
  <c r="S58" i="9"/>
  <c r="Q58" i="9"/>
  <c r="O58" i="9"/>
  <c r="M58" i="9"/>
  <c r="K58" i="9"/>
  <c r="K77" i="9"/>
  <c r="I58" i="9"/>
  <c r="G58" i="9"/>
  <c r="E58" i="9"/>
  <c r="C58" i="9"/>
  <c r="C79" i="9"/>
  <c r="R40" i="9"/>
  <c r="P40" i="9"/>
  <c r="N40" i="9"/>
  <c r="L40" i="9"/>
  <c r="J40" i="9"/>
  <c r="H40" i="9"/>
  <c r="F40" i="9"/>
  <c r="D40" i="9"/>
  <c r="B40" i="9"/>
  <c r="S35" i="9"/>
  <c r="Q35" i="9"/>
  <c r="O35" i="9"/>
  <c r="M35" i="9"/>
  <c r="K35" i="9"/>
  <c r="I35" i="9"/>
  <c r="G35" i="9"/>
  <c r="E35" i="9"/>
  <c r="C35" i="9"/>
  <c r="S42" i="9"/>
  <c r="Q42" i="9"/>
  <c r="O42" i="9"/>
  <c r="R14" i="9"/>
  <c r="P14" i="9"/>
  <c r="N14" i="9"/>
  <c r="L14" i="9"/>
  <c r="J14" i="9"/>
  <c r="H14" i="9"/>
  <c r="F14" i="9"/>
  <c r="D14" i="9"/>
  <c r="B14" i="9"/>
  <c r="S70" i="8"/>
  <c r="S91" i="8"/>
  <c r="Q70" i="8"/>
  <c r="Q91" i="8"/>
  <c r="O70" i="8"/>
  <c r="O91" i="8"/>
  <c r="M70" i="8"/>
  <c r="M75" i="8"/>
  <c r="K70" i="8"/>
  <c r="K91" i="8"/>
  <c r="I70" i="8"/>
  <c r="I91" i="8"/>
  <c r="G70" i="8"/>
  <c r="G91" i="8"/>
  <c r="E70" i="8"/>
  <c r="E77" i="8"/>
  <c r="C70" i="8"/>
  <c r="C91" i="8"/>
  <c r="R52" i="8"/>
  <c r="P52" i="8"/>
  <c r="N52" i="8"/>
  <c r="L52" i="8"/>
  <c r="J52" i="8"/>
  <c r="H52" i="8"/>
  <c r="F52" i="8"/>
  <c r="D52" i="8"/>
  <c r="B52" i="8"/>
  <c r="S47" i="8"/>
  <c r="Q47" i="8"/>
  <c r="O47" i="8"/>
  <c r="M47" i="8"/>
  <c r="K47" i="8"/>
  <c r="I47" i="8"/>
  <c r="G47" i="8"/>
  <c r="E47" i="8"/>
  <c r="C47" i="8"/>
  <c r="R15" i="8"/>
  <c r="P15" i="8"/>
  <c r="N15" i="8"/>
  <c r="L15" i="8"/>
  <c r="J15" i="8"/>
  <c r="H15" i="8"/>
  <c r="F15" i="8"/>
  <c r="D15" i="8"/>
  <c r="B15" i="8"/>
  <c r="S56" i="7"/>
  <c r="S75" i="7"/>
  <c r="Q56" i="7"/>
  <c r="O56" i="7"/>
  <c r="M56" i="7"/>
  <c r="K56" i="7"/>
  <c r="K77" i="7"/>
  <c r="I56" i="7"/>
  <c r="G56" i="7"/>
  <c r="E56" i="7"/>
  <c r="C56" i="7"/>
  <c r="C75" i="7"/>
  <c r="P38" i="7"/>
  <c r="N38" i="7"/>
  <c r="L38" i="7"/>
  <c r="J38" i="7"/>
  <c r="H38" i="7"/>
  <c r="F38" i="7"/>
  <c r="D38" i="7"/>
  <c r="B38" i="7"/>
  <c r="S33" i="7"/>
  <c r="Q33" i="7"/>
  <c r="O33" i="7"/>
  <c r="M33" i="7"/>
  <c r="K33" i="7"/>
  <c r="I33" i="7"/>
  <c r="G33" i="7"/>
  <c r="E33" i="7"/>
  <c r="C33" i="7"/>
  <c r="X25" i="7"/>
  <c r="R15" i="7"/>
  <c r="P15" i="7"/>
  <c r="N15" i="7"/>
  <c r="L15" i="7"/>
  <c r="J15" i="7"/>
  <c r="H15" i="7"/>
  <c r="F15" i="7"/>
  <c r="D15" i="7"/>
  <c r="S63" i="5"/>
  <c r="Q63" i="5"/>
  <c r="Q49" i="14"/>
  <c r="U53" i="14" s="1"/>
  <c r="O63" i="5"/>
  <c r="M63" i="5"/>
  <c r="K63" i="5"/>
  <c r="I63" i="5"/>
  <c r="I49" i="14"/>
  <c r="G63" i="5"/>
  <c r="E63" i="5"/>
  <c r="E49" i="14"/>
  <c r="C63" i="5"/>
  <c r="C84" i="5"/>
  <c r="R44" i="5"/>
  <c r="X44" i="5"/>
  <c r="P44" i="5"/>
  <c r="N44" i="5"/>
  <c r="L44" i="5"/>
  <c r="J44" i="5"/>
  <c r="H44" i="5"/>
  <c r="F44" i="5"/>
  <c r="D44" i="5"/>
  <c r="B44" i="5"/>
  <c r="S39" i="5"/>
  <c r="Q39" i="5"/>
  <c r="O39" i="5"/>
  <c r="M39" i="5"/>
  <c r="K39" i="5"/>
  <c r="I39" i="5"/>
  <c r="G39" i="5"/>
  <c r="E39" i="5"/>
  <c r="C39" i="5"/>
  <c r="X30" i="5"/>
  <c r="X47" i="5"/>
  <c r="R14" i="5"/>
  <c r="P14" i="5"/>
  <c r="P11" i="14"/>
  <c r="N14" i="5"/>
  <c r="L14" i="5"/>
  <c r="L11" i="14"/>
  <c r="J14" i="5"/>
  <c r="J11" i="14"/>
  <c r="H14" i="5"/>
  <c r="H11" i="14"/>
  <c r="F14" i="5"/>
  <c r="F11" i="14"/>
  <c r="D14" i="5"/>
  <c r="D11" i="14"/>
  <c r="B14" i="5"/>
  <c r="C62" i="14"/>
  <c r="C53" i="14"/>
  <c r="C64" i="14"/>
  <c r="C59" i="14"/>
  <c r="C54" i="14"/>
  <c r="C65" i="14"/>
  <c r="C55" i="14"/>
  <c r="C58" i="14"/>
  <c r="C57" i="14"/>
  <c r="C66" i="14"/>
  <c r="C69" i="14"/>
  <c r="C61" i="14"/>
  <c r="C68" i="14"/>
  <c r="C71" i="14"/>
  <c r="C56" i="14"/>
  <c r="C70" i="14"/>
  <c r="C52" i="14"/>
  <c r="U62" i="14"/>
  <c r="U69" i="14"/>
  <c r="U54" i="14"/>
  <c r="U71" i="14"/>
  <c r="U59" i="14"/>
  <c r="U70" i="14"/>
  <c r="U56" i="14"/>
  <c r="U57" i="14"/>
  <c r="U65" i="14"/>
  <c r="U55" i="14"/>
  <c r="U61" i="14"/>
  <c r="S66" i="14"/>
  <c r="S52" i="14"/>
  <c r="S57" i="14"/>
  <c r="S64" i="14"/>
  <c r="S65" i="14"/>
  <c r="S61" i="14"/>
  <c r="S68" i="14"/>
  <c r="S53" i="14"/>
  <c r="S69" i="14"/>
  <c r="S55" i="14"/>
  <c r="S56" i="14"/>
  <c r="S68" i="13"/>
  <c r="X68" i="13"/>
  <c r="X47" i="13"/>
  <c r="S69" i="10"/>
  <c r="X69" i="10"/>
  <c r="X47" i="10"/>
  <c r="X35" i="9"/>
  <c r="W14" i="5"/>
  <c r="E70" i="14"/>
  <c r="E65" i="14"/>
  <c r="E59" i="14"/>
  <c r="E55" i="14"/>
  <c r="E71" i="14"/>
  <c r="E66" i="14"/>
  <c r="E56" i="14"/>
  <c r="E62" i="14"/>
  <c r="E57" i="14"/>
  <c r="E53" i="14"/>
  <c r="E69" i="14"/>
  <c r="E58" i="14"/>
  <c r="E54" i="14"/>
  <c r="I71" i="14"/>
  <c r="I66" i="14"/>
  <c r="I61" i="14"/>
  <c r="I56" i="14"/>
  <c r="I52" i="14"/>
  <c r="I69" i="14"/>
  <c r="I64" i="14"/>
  <c r="I58" i="14"/>
  <c r="I54" i="14"/>
  <c r="I70" i="14"/>
  <c r="I68" i="14"/>
  <c r="I65" i="14"/>
  <c r="I62" i="14"/>
  <c r="I59" i="14"/>
  <c r="I57" i="14"/>
  <c r="I55" i="14"/>
  <c r="I53" i="14"/>
  <c r="E68" i="14"/>
  <c r="E64" i="14"/>
  <c r="G84" i="5"/>
  <c r="G49" i="14"/>
  <c r="E61" i="14"/>
  <c r="E52" i="14"/>
  <c r="N11" i="14"/>
  <c r="Q71" i="14"/>
  <c r="Q66" i="14"/>
  <c r="Q61" i="14"/>
  <c r="Q56" i="14"/>
  <c r="Q64" i="14"/>
  <c r="Q54" i="14"/>
  <c r="Q70" i="14"/>
  <c r="Q68" i="14"/>
  <c r="Q65" i="14"/>
  <c r="Q57" i="14"/>
  <c r="Q53" i="14"/>
  <c r="K84" i="5"/>
  <c r="K49" i="14"/>
  <c r="K57" i="14" s="1"/>
  <c r="S84" i="5"/>
  <c r="S66" i="5"/>
  <c r="S92" i="12"/>
  <c r="X92" i="12"/>
  <c r="X48" i="12"/>
  <c r="X49" i="11"/>
  <c r="X24" i="10"/>
  <c r="X47" i="8"/>
  <c r="X33" i="7"/>
  <c r="S59" i="7"/>
  <c r="S72" i="7"/>
  <c r="S79" i="9"/>
  <c r="S62" i="9"/>
  <c r="S61" i="9"/>
  <c r="S87" i="8"/>
  <c r="S76" i="8"/>
  <c r="S82" i="8"/>
  <c r="S92" i="8"/>
  <c r="S63" i="7"/>
  <c r="S66" i="7"/>
  <c r="S77" i="7"/>
  <c r="S76" i="11"/>
  <c r="X76" i="11"/>
  <c r="S80" i="11"/>
  <c r="X80" i="11"/>
  <c r="S81" i="11"/>
  <c r="X81" i="11"/>
  <c r="S87" i="11"/>
  <c r="X87" i="11"/>
  <c r="S92" i="11"/>
  <c r="X92" i="11"/>
  <c r="S78" i="11"/>
  <c r="X78" i="11"/>
  <c r="S84" i="11"/>
  <c r="X84" i="11"/>
  <c r="S89" i="11"/>
  <c r="X89" i="11"/>
  <c r="S94" i="11"/>
  <c r="X94" i="11"/>
  <c r="S74" i="8"/>
  <c r="S78" i="8"/>
  <c r="S79" i="8"/>
  <c r="S85" i="8"/>
  <c r="S90" i="8"/>
  <c r="S61" i="7"/>
  <c r="S69" i="7"/>
  <c r="O84" i="5"/>
  <c r="S69" i="5"/>
  <c r="S75" i="5"/>
  <c r="S80" i="5"/>
  <c r="S85" i="5"/>
  <c r="S67" i="5"/>
  <c r="S71" i="5"/>
  <c r="S72" i="5"/>
  <c r="S78" i="5"/>
  <c r="S83" i="5"/>
  <c r="S63" i="9"/>
  <c r="S71" i="9"/>
  <c r="S77" i="9"/>
  <c r="S65" i="9"/>
  <c r="S68" i="9"/>
  <c r="S74" i="9"/>
  <c r="O51" i="13"/>
  <c r="S53" i="13"/>
  <c r="X53" i="13"/>
  <c r="G62" i="13"/>
  <c r="G67" i="13"/>
  <c r="K53" i="13"/>
  <c r="G55" i="13"/>
  <c r="G59" i="13"/>
  <c r="G64" i="13"/>
  <c r="G69" i="13"/>
  <c r="M75" i="11"/>
  <c r="E77" i="11"/>
  <c r="M79" i="11"/>
  <c r="Q82" i="11"/>
  <c r="Q85" i="11"/>
  <c r="Q88" i="11"/>
  <c r="Q91" i="11"/>
  <c r="G51" i="13"/>
  <c r="C53" i="13"/>
  <c r="O55" i="13"/>
  <c r="O56" i="13"/>
  <c r="O59" i="13"/>
  <c r="O62" i="13"/>
  <c r="O64" i="13"/>
  <c r="O67" i="13"/>
  <c r="O69" i="13"/>
  <c r="E50" i="13"/>
  <c r="M52" i="13"/>
  <c r="E54" i="13"/>
  <c r="I57" i="13"/>
  <c r="I60" i="13"/>
  <c r="I63" i="13"/>
  <c r="I66" i="13"/>
  <c r="M50" i="13"/>
  <c r="C51" i="13"/>
  <c r="K51" i="13"/>
  <c r="S51" i="13"/>
  <c r="X51" i="13"/>
  <c r="G53" i="13"/>
  <c r="O53" i="13"/>
  <c r="C55" i="13"/>
  <c r="K55" i="13"/>
  <c r="S55" i="13"/>
  <c r="X55" i="13"/>
  <c r="K56" i="13"/>
  <c r="S56" i="13"/>
  <c r="X56" i="13"/>
  <c r="Q57" i="13"/>
  <c r="C59" i="13"/>
  <c r="K59" i="13"/>
  <c r="S59" i="13"/>
  <c r="X59" i="13"/>
  <c r="Q60" i="13"/>
  <c r="C62" i="13"/>
  <c r="K62" i="13"/>
  <c r="S62" i="13"/>
  <c r="X62" i="13"/>
  <c r="Q63" i="13"/>
  <c r="C64" i="13"/>
  <c r="K64" i="13"/>
  <c r="S64" i="13"/>
  <c r="X64" i="13"/>
  <c r="Q66" i="13"/>
  <c r="C67" i="13"/>
  <c r="K67" i="13"/>
  <c r="S67" i="13"/>
  <c r="X67" i="13"/>
  <c r="C69" i="13"/>
  <c r="K69" i="13"/>
  <c r="S69" i="13"/>
  <c r="X69" i="13"/>
  <c r="K74" i="12"/>
  <c r="C76" i="12"/>
  <c r="S76" i="12"/>
  <c r="X76" i="12"/>
  <c r="K78" i="12"/>
  <c r="K81" i="12"/>
  <c r="C84" i="12"/>
  <c r="S84" i="12"/>
  <c r="X84" i="12"/>
  <c r="K87" i="12"/>
  <c r="C90" i="12"/>
  <c r="S90" i="12"/>
  <c r="X90" i="12"/>
  <c r="K92" i="12"/>
  <c r="C74" i="12"/>
  <c r="S74" i="12"/>
  <c r="X74" i="12"/>
  <c r="K76" i="12"/>
  <c r="C78" i="12"/>
  <c r="S78" i="12"/>
  <c r="X78" i="12"/>
  <c r="C81" i="12"/>
  <c r="S81" i="12"/>
  <c r="X81" i="12"/>
  <c r="K84" i="12"/>
  <c r="C87" i="12"/>
  <c r="S87" i="12"/>
  <c r="X87" i="12"/>
  <c r="C76" i="11"/>
  <c r="K76" i="11"/>
  <c r="G78" i="11"/>
  <c r="O78" i="11"/>
  <c r="C80" i="11"/>
  <c r="K80" i="11"/>
  <c r="K81" i="11"/>
  <c r="C84" i="11"/>
  <c r="K84" i="11"/>
  <c r="C87" i="11"/>
  <c r="K87" i="11"/>
  <c r="C89" i="11"/>
  <c r="K89" i="11"/>
  <c r="C92" i="11"/>
  <c r="K92" i="11"/>
  <c r="C94" i="11"/>
  <c r="K94" i="11"/>
  <c r="E75" i="11"/>
  <c r="G76" i="11"/>
  <c r="O76" i="11"/>
  <c r="C78" i="11"/>
  <c r="K78" i="11"/>
  <c r="G80" i="11"/>
  <c r="O80" i="11"/>
  <c r="O81" i="11"/>
  <c r="I82" i="11"/>
  <c r="G84" i="11"/>
  <c r="O84" i="11"/>
  <c r="I85" i="11"/>
  <c r="G87" i="11"/>
  <c r="O87" i="11"/>
  <c r="I88" i="11"/>
  <c r="G89" i="11"/>
  <c r="O89" i="11"/>
  <c r="I91" i="11"/>
  <c r="G92" i="11"/>
  <c r="O92" i="11"/>
  <c r="G94" i="11"/>
  <c r="O94" i="11"/>
  <c r="K61" i="9"/>
  <c r="C63" i="9"/>
  <c r="K65" i="9"/>
  <c r="K68" i="9"/>
  <c r="C71" i="9"/>
  <c r="K74" i="9"/>
  <c r="C77" i="9"/>
  <c r="K79" i="9"/>
  <c r="C61" i="9"/>
  <c r="K63" i="9"/>
  <c r="C65" i="9"/>
  <c r="C68" i="9"/>
  <c r="K71" i="9"/>
  <c r="C74" i="9"/>
  <c r="M73" i="8"/>
  <c r="C74" i="8"/>
  <c r="K74" i="8"/>
  <c r="E75" i="8"/>
  <c r="G76" i="8"/>
  <c r="O76" i="8"/>
  <c r="M77" i="8"/>
  <c r="C78" i="8"/>
  <c r="K78" i="8"/>
  <c r="K79" i="8"/>
  <c r="Q80" i="8"/>
  <c r="C82" i="8"/>
  <c r="K82" i="8"/>
  <c r="Q83" i="8"/>
  <c r="C85" i="8"/>
  <c r="K85" i="8"/>
  <c r="Q86" i="8"/>
  <c r="C87" i="8"/>
  <c r="K87" i="8"/>
  <c r="Q89" i="8"/>
  <c r="C90" i="8"/>
  <c r="K90" i="8"/>
  <c r="C92" i="8"/>
  <c r="K92" i="8"/>
  <c r="E73" i="8"/>
  <c r="G74" i="8"/>
  <c r="O74" i="8"/>
  <c r="C76" i="8"/>
  <c r="K76" i="8"/>
  <c r="G78" i="8"/>
  <c r="O78" i="8"/>
  <c r="O79" i="8"/>
  <c r="I80" i="8"/>
  <c r="G82" i="8"/>
  <c r="O82" i="8"/>
  <c r="I83" i="8"/>
  <c r="G85" i="8"/>
  <c r="O85" i="8"/>
  <c r="I86" i="8"/>
  <c r="G87" i="8"/>
  <c r="O87" i="8"/>
  <c r="I89" i="8"/>
  <c r="G90" i="8"/>
  <c r="O90" i="8"/>
  <c r="G92" i="8"/>
  <c r="O92" i="8"/>
  <c r="C59" i="7"/>
  <c r="K61" i="7"/>
  <c r="C63" i="7"/>
  <c r="C66" i="7"/>
  <c r="K69" i="7"/>
  <c r="C72" i="7"/>
  <c r="K75" i="7"/>
  <c r="C77" i="7"/>
  <c r="K59" i="7"/>
  <c r="C61" i="7"/>
  <c r="K63" i="7"/>
  <c r="K66" i="7"/>
  <c r="C69" i="7"/>
  <c r="K72" i="7"/>
  <c r="C67" i="5"/>
  <c r="K67" i="5"/>
  <c r="C69" i="5"/>
  <c r="K69" i="5"/>
  <c r="C71" i="5"/>
  <c r="K71" i="5"/>
  <c r="O72" i="5"/>
  <c r="C75" i="5"/>
  <c r="K75" i="5"/>
  <c r="G78" i="5"/>
  <c r="O78" i="5"/>
  <c r="C80" i="5"/>
  <c r="K80" i="5"/>
  <c r="G83" i="5"/>
  <c r="O83" i="5"/>
  <c r="C85" i="5"/>
  <c r="K85" i="5"/>
  <c r="G67" i="5"/>
  <c r="O67" i="5"/>
  <c r="G69" i="5"/>
  <c r="O69" i="5"/>
  <c r="G71" i="5"/>
  <c r="O71" i="5"/>
  <c r="K72" i="5"/>
  <c r="G75" i="5"/>
  <c r="O75" i="5"/>
  <c r="C78" i="5"/>
  <c r="K78" i="5"/>
  <c r="G80" i="5"/>
  <c r="O80" i="5"/>
  <c r="C83" i="5"/>
  <c r="K83" i="5"/>
  <c r="G85" i="5"/>
  <c r="O85" i="5"/>
  <c r="E69" i="13"/>
  <c r="E67" i="13"/>
  <c r="E64" i="13"/>
  <c r="E62" i="13"/>
  <c r="E59" i="13"/>
  <c r="E55" i="13"/>
  <c r="E53" i="13"/>
  <c r="E51" i="13"/>
  <c r="I69" i="13"/>
  <c r="I67" i="13"/>
  <c r="I64" i="13"/>
  <c r="I62" i="13"/>
  <c r="I59" i="13"/>
  <c r="I56" i="13"/>
  <c r="I55" i="13"/>
  <c r="I53" i="13"/>
  <c r="I51" i="13"/>
  <c r="M69" i="13"/>
  <c r="M67" i="13"/>
  <c r="M64" i="13"/>
  <c r="M62" i="13"/>
  <c r="M59" i="13"/>
  <c r="M56" i="13"/>
  <c r="M55" i="13"/>
  <c r="M53" i="13"/>
  <c r="M51" i="13"/>
  <c r="Q69" i="13"/>
  <c r="Q67" i="13"/>
  <c r="Q64" i="13"/>
  <c r="Q62" i="13"/>
  <c r="Q59" i="13"/>
  <c r="Q56" i="13"/>
  <c r="Q55" i="13"/>
  <c r="Q53" i="13"/>
  <c r="Q51" i="13"/>
  <c r="I50" i="13"/>
  <c r="Q50" i="13"/>
  <c r="I52" i="13"/>
  <c r="Q52" i="13"/>
  <c r="I54" i="13"/>
  <c r="Q54" i="13"/>
  <c r="E57" i="13"/>
  <c r="M57" i="13"/>
  <c r="E60" i="13"/>
  <c r="M60" i="13"/>
  <c r="E63" i="13"/>
  <c r="M63" i="13"/>
  <c r="E66" i="13"/>
  <c r="M66" i="13"/>
  <c r="E68" i="13"/>
  <c r="M68" i="13"/>
  <c r="C50" i="13"/>
  <c r="G50" i="13"/>
  <c r="K50" i="13"/>
  <c r="O50" i="13"/>
  <c r="S50" i="13"/>
  <c r="X50" i="13"/>
  <c r="C52" i="13"/>
  <c r="G52" i="13"/>
  <c r="K52" i="13"/>
  <c r="O52" i="13"/>
  <c r="S52" i="13"/>
  <c r="X52" i="13"/>
  <c r="C54" i="13"/>
  <c r="G54" i="13"/>
  <c r="K54" i="13"/>
  <c r="O54" i="13"/>
  <c r="S54" i="13"/>
  <c r="X54" i="13"/>
  <c r="C57" i="13"/>
  <c r="G57" i="13"/>
  <c r="K57" i="13"/>
  <c r="O57" i="13"/>
  <c r="S57" i="13"/>
  <c r="X57" i="13"/>
  <c r="C60" i="13"/>
  <c r="G60" i="13"/>
  <c r="K60" i="13"/>
  <c r="O60" i="13"/>
  <c r="S60" i="13"/>
  <c r="X60" i="13"/>
  <c r="C63" i="13"/>
  <c r="G63" i="13"/>
  <c r="K63" i="13"/>
  <c r="O63" i="13"/>
  <c r="S63" i="13"/>
  <c r="X63" i="13"/>
  <c r="C66" i="13"/>
  <c r="G66" i="13"/>
  <c r="K66" i="13"/>
  <c r="O66" i="13"/>
  <c r="S66" i="13"/>
  <c r="X66" i="13"/>
  <c r="E92" i="12"/>
  <c r="E90" i="12"/>
  <c r="E87" i="12"/>
  <c r="E84" i="12"/>
  <c r="E81" i="12"/>
  <c r="E78" i="12"/>
  <c r="E76" i="12"/>
  <c r="E74" i="12"/>
  <c r="I92" i="12"/>
  <c r="I90" i="12"/>
  <c r="I87" i="12"/>
  <c r="I84" i="12"/>
  <c r="I81" i="12"/>
  <c r="I78" i="12"/>
  <c r="I76" i="12"/>
  <c r="I74" i="12"/>
  <c r="M92" i="12"/>
  <c r="M90" i="12"/>
  <c r="M87" i="12"/>
  <c r="M84" i="12"/>
  <c r="M81" i="12"/>
  <c r="M78" i="12"/>
  <c r="M76" i="12"/>
  <c r="M74" i="12"/>
  <c r="Q92" i="12"/>
  <c r="Q90" i="12"/>
  <c r="Q87" i="12"/>
  <c r="Q84" i="12"/>
  <c r="Q81" i="12"/>
  <c r="Q78" i="12"/>
  <c r="Q76" i="12"/>
  <c r="Q74" i="12"/>
  <c r="I75" i="12"/>
  <c r="Q75" i="12"/>
  <c r="I77" i="12"/>
  <c r="Q77" i="12"/>
  <c r="I79" i="12"/>
  <c r="Q79" i="12"/>
  <c r="I80" i="12"/>
  <c r="Q80" i="12"/>
  <c r="I83" i="12"/>
  <c r="Q83" i="12"/>
  <c r="I86" i="12"/>
  <c r="Q86" i="12"/>
  <c r="I88" i="12"/>
  <c r="Q88" i="12"/>
  <c r="I91" i="12"/>
  <c r="Q91" i="12"/>
  <c r="I93" i="12"/>
  <c r="Q93" i="12"/>
  <c r="C93" i="12"/>
  <c r="C91" i="12"/>
  <c r="C88" i="12"/>
  <c r="C86" i="12"/>
  <c r="C83" i="12"/>
  <c r="C79" i="12"/>
  <c r="C77" i="12"/>
  <c r="C75" i="12"/>
  <c r="G93" i="12"/>
  <c r="G91" i="12"/>
  <c r="G88" i="12"/>
  <c r="G86" i="12"/>
  <c r="G83" i="12"/>
  <c r="G79" i="12"/>
  <c r="G77" i="12"/>
  <c r="G75" i="12"/>
  <c r="K93" i="12"/>
  <c r="K91" i="12"/>
  <c r="K88" i="12"/>
  <c r="K86" i="12"/>
  <c r="K83" i="12"/>
  <c r="K80" i="12"/>
  <c r="K79" i="12"/>
  <c r="K77" i="12"/>
  <c r="K75" i="12"/>
  <c r="O93" i="12"/>
  <c r="O91" i="12"/>
  <c r="O88" i="12"/>
  <c r="O86" i="12"/>
  <c r="O83" i="12"/>
  <c r="O80" i="12"/>
  <c r="O79" i="12"/>
  <c r="O77" i="12"/>
  <c r="O75" i="12"/>
  <c r="S93" i="12"/>
  <c r="X93" i="12"/>
  <c r="S91" i="12"/>
  <c r="X91" i="12"/>
  <c r="S88" i="12"/>
  <c r="X88" i="12"/>
  <c r="S86" i="12"/>
  <c r="X86" i="12"/>
  <c r="S83" i="12"/>
  <c r="X83" i="12"/>
  <c r="S80" i="12"/>
  <c r="X80" i="12"/>
  <c r="S79" i="12"/>
  <c r="X79" i="12"/>
  <c r="S77" i="12"/>
  <c r="X77" i="12"/>
  <c r="S75" i="12"/>
  <c r="X75" i="12"/>
  <c r="G74" i="12"/>
  <c r="O74" i="12"/>
  <c r="E75" i="12"/>
  <c r="M75" i="12"/>
  <c r="G76" i="12"/>
  <c r="O76" i="12"/>
  <c r="E77" i="12"/>
  <c r="M77" i="12"/>
  <c r="G78" i="12"/>
  <c r="O78" i="12"/>
  <c r="E79" i="12"/>
  <c r="M79" i="12"/>
  <c r="M80" i="12"/>
  <c r="G81" i="12"/>
  <c r="O81" i="12"/>
  <c r="E83" i="12"/>
  <c r="M83" i="12"/>
  <c r="G84" i="12"/>
  <c r="O84" i="12"/>
  <c r="E86" i="12"/>
  <c r="M86" i="12"/>
  <c r="G87" i="12"/>
  <c r="O87" i="12"/>
  <c r="E88" i="12"/>
  <c r="M88" i="12"/>
  <c r="G90" i="12"/>
  <c r="O90" i="12"/>
  <c r="E91" i="12"/>
  <c r="M91" i="12"/>
  <c r="G92" i="12"/>
  <c r="O92" i="12"/>
  <c r="E93" i="12"/>
  <c r="M93" i="12"/>
  <c r="E94" i="11"/>
  <c r="E92" i="11"/>
  <c r="E89" i="11"/>
  <c r="E87" i="11"/>
  <c r="E84" i="11"/>
  <c r="E80" i="11"/>
  <c r="E78" i="11"/>
  <c r="E76" i="11"/>
  <c r="I94" i="11"/>
  <c r="I92" i="11"/>
  <c r="I89" i="11"/>
  <c r="I87" i="11"/>
  <c r="I84" i="11"/>
  <c r="I81" i="11"/>
  <c r="I80" i="11"/>
  <c r="I78" i="11"/>
  <c r="I76" i="11"/>
  <c r="M94" i="11"/>
  <c r="M92" i="11"/>
  <c r="M89" i="11"/>
  <c r="M87" i="11"/>
  <c r="M84" i="11"/>
  <c r="M81" i="11"/>
  <c r="M80" i="11"/>
  <c r="M78" i="11"/>
  <c r="M76" i="11"/>
  <c r="Q94" i="11"/>
  <c r="Q92" i="11"/>
  <c r="Q89" i="11"/>
  <c r="Q87" i="11"/>
  <c r="Q84" i="11"/>
  <c r="Q81" i="11"/>
  <c r="Q80" i="11"/>
  <c r="Q78" i="11"/>
  <c r="Q76" i="11"/>
  <c r="I75" i="11"/>
  <c r="Q75" i="11"/>
  <c r="I77" i="11"/>
  <c r="Q77" i="11"/>
  <c r="I79" i="11"/>
  <c r="Q79" i="11"/>
  <c r="E82" i="11"/>
  <c r="M82" i="11"/>
  <c r="E85" i="11"/>
  <c r="M85" i="11"/>
  <c r="E88" i="11"/>
  <c r="M88" i="11"/>
  <c r="E91" i="11"/>
  <c r="M91" i="11"/>
  <c r="E93" i="11"/>
  <c r="M93" i="11"/>
  <c r="C75" i="11"/>
  <c r="G75" i="11"/>
  <c r="K75" i="11"/>
  <c r="O75" i="11"/>
  <c r="S75" i="11"/>
  <c r="X75" i="11"/>
  <c r="C77" i="11"/>
  <c r="G77" i="11"/>
  <c r="K77" i="11"/>
  <c r="O77" i="11"/>
  <c r="S77" i="11"/>
  <c r="X77" i="11"/>
  <c r="C79" i="11"/>
  <c r="G79" i="11"/>
  <c r="K79" i="11"/>
  <c r="O79" i="11"/>
  <c r="S79" i="11"/>
  <c r="X79" i="11"/>
  <c r="C82" i="11"/>
  <c r="G82" i="11"/>
  <c r="K82" i="11"/>
  <c r="O82" i="11"/>
  <c r="S82" i="11"/>
  <c r="X82" i="11"/>
  <c r="C85" i="11"/>
  <c r="G85" i="11"/>
  <c r="K85" i="11"/>
  <c r="O85" i="11"/>
  <c r="S85" i="11"/>
  <c r="X85" i="11"/>
  <c r="C88" i="11"/>
  <c r="G88" i="11"/>
  <c r="K88" i="11"/>
  <c r="O88" i="11"/>
  <c r="S88" i="11"/>
  <c r="X88" i="11"/>
  <c r="C91" i="11"/>
  <c r="G91" i="11"/>
  <c r="K91" i="11"/>
  <c r="O91" i="11"/>
  <c r="S91" i="11"/>
  <c r="X91" i="11"/>
  <c r="C69" i="10"/>
  <c r="C67" i="10"/>
  <c r="C64" i="10"/>
  <c r="C62" i="10"/>
  <c r="C59" i="10"/>
  <c r="C55" i="10"/>
  <c r="C53" i="10"/>
  <c r="C51" i="10"/>
  <c r="C68" i="10"/>
  <c r="C66" i="10"/>
  <c r="C63" i="10"/>
  <c r="C60" i="10"/>
  <c r="C57" i="10"/>
  <c r="C54" i="10"/>
  <c r="C52" i="10"/>
  <c r="C50" i="10"/>
  <c r="G69" i="10"/>
  <c r="G67" i="10"/>
  <c r="G64" i="10"/>
  <c r="G62" i="10"/>
  <c r="G59" i="10"/>
  <c r="G55" i="10"/>
  <c r="G53" i="10"/>
  <c r="G51" i="10"/>
  <c r="G68" i="10"/>
  <c r="G66" i="10"/>
  <c r="G63" i="10"/>
  <c r="G60" i="10"/>
  <c r="G57" i="10"/>
  <c r="G54" i="10"/>
  <c r="G52" i="10"/>
  <c r="G50" i="10"/>
  <c r="K69" i="10"/>
  <c r="K67" i="10"/>
  <c r="K64" i="10"/>
  <c r="K62" i="10"/>
  <c r="K59" i="10"/>
  <c r="K56" i="10"/>
  <c r="K55" i="10"/>
  <c r="K53" i="10"/>
  <c r="K51" i="10"/>
  <c r="K68" i="10"/>
  <c r="K66" i="10"/>
  <c r="K63" i="10"/>
  <c r="K60" i="10"/>
  <c r="K57" i="10"/>
  <c r="K54" i="10"/>
  <c r="K52" i="10"/>
  <c r="K50" i="10"/>
  <c r="O69" i="10"/>
  <c r="O67" i="10"/>
  <c r="O64" i="10"/>
  <c r="O62" i="10"/>
  <c r="O59" i="10"/>
  <c r="O56" i="10"/>
  <c r="O55" i="10"/>
  <c r="O53" i="10"/>
  <c r="O51" i="10"/>
  <c r="O68" i="10"/>
  <c r="O66" i="10"/>
  <c r="O63" i="10"/>
  <c r="O60" i="10"/>
  <c r="O57" i="10"/>
  <c r="O54" i="10"/>
  <c r="O52" i="10"/>
  <c r="O50" i="10"/>
  <c r="E68" i="10"/>
  <c r="E66" i="10"/>
  <c r="E63" i="10"/>
  <c r="E60" i="10"/>
  <c r="E57" i="10"/>
  <c r="E54" i="10"/>
  <c r="E52" i="10"/>
  <c r="E50" i="10"/>
  <c r="E69" i="10"/>
  <c r="E67" i="10"/>
  <c r="E64" i="10"/>
  <c r="E62" i="10"/>
  <c r="E59" i="10"/>
  <c r="E55" i="10"/>
  <c r="E53" i="10"/>
  <c r="E51" i="10"/>
  <c r="I68" i="10"/>
  <c r="I66" i="10"/>
  <c r="I63" i="10"/>
  <c r="I60" i="10"/>
  <c r="I57" i="10"/>
  <c r="I54" i="10"/>
  <c r="I52" i="10"/>
  <c r="I50" i="10"/>
  <c r="I69" i="10"/>
  <c r="I67" i="10"/>
  <c r="I64" i="10"/>
  <c r="I62" i="10"/>
  <c r="I59" i="10"/>
  <c r="I56" i="10"/>
  <c r="I55" i="10"/>
  <c r="I53" i="10"/>
  <c r="I51" i="10"/>
  <c r="M68" i="10"/>
  <c r="M66" i="10"/>
  <c r="M63" i="10"/>
  <c r="M60" i="10"/>
  <c r="M57" i="10"/>
  <c r="M54" i="10"/>
  <c r="M52" i="10"/>
  <c r="M50" i="10"/>
  <c r="M69" i="10"/>
  <c r="M67" i="10"/>
  <c r="M64" i="10"/>
  <c r="M62" i="10"/>
  <c r="M59" i="10"/>
  <c r="M56" i="10"/>
  <c r="M55" i="10"/>
  <c r="M53" i="10"/>
  <c r="M51" i="10"/>
  <c r="Q68" i="10"/>
  <c r="Q66" i="10"/>
  <c r="Q63" i="10"/>
  <c r="Q60" i="10"/>
  <c r="Q57" i="10"/>
  <c r="Q54" i="10"/>
  <c r="Q52" i="10"/>
  <c r="Q50" i="10"/>
  <c r="Q69" i="10"/>
  <c r="Q67" i="10"/>
  <c r="Q64" i="10"/>
  <c r="Q62" i="10"/>
  <c r="Q59" i="10"/>
  <c r="Q56" i="10"/>
  <c r="Q55" i="10"/>
  <c r="Q53" i="10"/>
  <c r="Q51" i="10"/>
  <c r="S50" i="10"/>
  <c r="X50" i="10"/>
  <c r="S52" i="10"/>
  <c r="X52" i="10"/>
  <c r="S54" i="10"/>
  <c r="X54" i="10"/>
  <c r="S57" i="10"/>
  <c r="X57" i="10"/>
  <c r="S60" i="10"/>
  <c r="X60" i="10"/>
  <c r="S63" i="10"/>
  <c r="X63" i="10"/>
  <c r="S66" i="10"/>
  <c r="X66" i="10"/>
  <c r="S68" i="10"/>
  <c r="X68" i="10"/>
  <c r="S51" i="10"/>
  <c r="X51" i="10"/>
  <c r="S53" i="10"/>
  <c r="X53" i="10"/>
  <c r="S55" i="10"/>
  <c r="X55" i="10"/>
  <c r="S56" i="10"/>
  <c r="X56" i="10"/>
  <c r="S59" i="10"/>
  <c r="X59" i="10"/>
  <c r="S62" i="10"/>
  <c r="X62" i="10"/>
  <c r="S64" i="10"/>
  <c r="X64" i="10"/>
  <c r="S67" i="10"/>
  <c r="X67" i="10"/>
  <c r="E79" i="9"/>
  <c r="E77" i="9"/>
  <c r="E74" i="9"/>
  <c r="E71" i="9"/>
  <c r="E68" i="9"/>
  <c r="E65" i="9"/>
  <c r="E63" i="9"/>
  <c r="E61" i="9"/>
  <c r="I79" i="9"/>
  <c r="I77" i="9"/>
  <c r="I74" i="9"/>
  <c r="I71" i="9"/>
  <c r="I68" i="9"/>
  <c r="I65" i="9"/>
  <c r="I63" i="9"/>
  <c r="I61" i="9"/>
  <c r="M79" i="9"/>
  <c r="M77" i="9"/>
  <c r="M74" i="9"/>
  <c r="M71" i="9"/>
  <c r="M68" i="9"/>
  <c r="M65" i="9"/>
  <c r="M63" i="9"/>
  <c r="M61" i="9"/>
  <c r="Q79" i="9"/>
  <c r="Q77" i="9"/>
  <c r="Q74" i="9"/>
  <c r="Q71" i="9"/>
  <c r="Q68" i="9"/>
  <c r="Q65" i="9"/>
  <c r="Q63" i="9"/>
  <c r="Q61" i="9"/>
  <c r="I62" i="9"/>
  <c r="Q62" i="9"/>
  <c r="I64" i="9"/>
  <c r="Q64" i="9"/>
  <c r="I66" i="9"/>
  <c r="Q66" i="9"/>
  <c r="I67" i="9"/>
  <c r="Q67" i="9"/>
  <c r="I70" i="9"/>
  <c r="Q70" i="9"/>
  <c r="I73" i="9"/>
  <c r="Q73" i="9"/>
  <c r="I75" i="9"/>
  <c r="Q75" i="9"/>
  <c r="I78" i="9"/>
  <c r="Q78" i="9"/>
  <c r="I80" i="9"/>
  <c r="Q80" i="9"/>
  <c r="C80" i="9"/>
  <c r="C78" i="9"/>
  <c r="C75" i="9"/>
  <c r="C73" i="9"/>
  <c r="C70" i="9"/>
  <c r="C66" i="9"/>
  <c r="C64" i="9"/>
  <c r="C62" i="9"/>
  <c r="G80" i="9"/>
  <c r="G78" i="9"/>
  <c r="G75" i="9"/>
  <c r="G73" i="9"/>
  <c r="G70" i="9"/>
  <c r="G66" i="9"/>
  <c r="G64" i="9"/>
  <c r="G62" i="9"/>
  <c r="K80" i="9"/>
  <c r="K78" i="9"/>
  <c r="K75" i="9"/>
  <c r="K73" i="9"/>
  <c r="K70" i="9"/>
  <c r="K67" i="9"/>
  <c r="K66" i="9"/>
  <c r="K64" i="9"/>
  <c r="K62" i="9"/>
  <c r="O80" i="9"/>
  <c r="O78" i="9"/>
  <c r="O75" i="9"/>
  <c r="O73" i="9"/>
  <c r="O70" i="9"/>
  <c r="O67" i="9"/>
  <c r="O66" i="9"/>
  <c r="O64" i="9"/>
  <c r="O62" i="9"/>
  <c r="S80" i="9"/>
  <c r="S78" i="9"/>
  <c r="S75" i="9"/>
  <c r="S73" i="9"/>
  <c r="S70" i="9"/>
  <c r="S67" i="9"/>
  <c r="S66" i="9"/>
  <c r="S64" i="9"/>
  <c r="G61" i="9"/>
  <c r="O61" i="9"/>
  <c r="E62" i="9"/>
  <c r="M62" i="9"/>
  <c r="G63" i="9"/>
  <c r="O63" i="9"/>
  <c r="E64" i="9"/>
  <c r="M64" i="9"/>
  <c r="G65" i="9"/>
  <c r="O65" i="9"/>
  <c r="E66" i="9"/>
  <c r="M66" i="9"/>
  <c r="M67" i="9"/>
  <c r="G68" i="9"/>
  <c r="O68" i="9"/>
  <c r="E70" i="9"/>
  <c r="M70" i="9"/>
  <c r="G71" i="9"/>
  <c r="O71" i="9"/>
  <c r="E73" i="9"/>
  <c r="M73" i="9"/>
  <c r="G74" i="9"/>
  <c r="O74" i="9"/>
  <c r="E75" i="9"/>
  <c r="M75" i="9"/>
  <c r="G77" i="9"/>
  <c r="O77" i="9"/>
  <c r="E78" i="9"/>
  <c r="M78" i="9"/>
  <c r="G79" i="9"/>
  <c r="O79" i="9"/>
  <c r="E80" i="9"/>
  <c r="M80" i="9"/>
  <c r="E92" i="8"/>
  <c r="E90" i="8"/>
  <c r="E87" i="8"/>
  <c r="E85" i="8"/>
  <c r="E82" i="8"/>
  <c r="E78" i="8"/>
  <c r="E76" i="8"/>
  <c r="E74" i="8"/>
  <c r="I92" i="8"/>
  <c r="I90" i="8"/>
  <c r="I87" i="8"/>
  <c r="I85" i="8"/>
  <c r="I82" i="8"/>
  <c r="I79" i="8"/>
  <c r="I78" i="8"/>
  <c r="I76" i="8"/>
  <c r="I74" i="8"/>
  <c r="M92" i="8"/>
  <c r="M90" i="8"/>
  <c r="M87" i="8"/>
  <c r="M85" i="8"/>
  <c r="M82" i="8"/>
  <c r="M79" i="8"/>
  <c r="M78" i="8"/>
  <c r="M76" i="8"/>
  <c r="M74" i="8"/>
  <c r="Q92" i="8"/>
  <c r="Q90" i="8"/>
  <c r="Q87" i="8"/>
  <c r="Q85" i="8"/>
  <c r="Q82" i="8"/>
  <c r="Q79" i="8"/>
  <c r="Q78" i="8"/>
  <c r="Q76" i="8"/>
  <c r="Q74" i="8"/>
  <c r="I73" i="8"/>
  <c r="Q73" i="8"/>
  <c r="I75" i="8"/>
  <c r="Q75" i="8"/>
  <c r="I77" i="8"/>
  <c r="Q77" i="8"/>
  <c r="E80" i="8"/>
  <c r="M80" i="8"/>
  <c r="E83" i="8"/>
  <c r="M83" i="8"/>
  <c r="E86" i="8"/>
  <c r="M86" i="8"/>
  <c r="E89" i="8"/>
  <c r="M89" i="8"/>
  <c r="E91" i="8"/>
  <c r="M91" i="8"/>
  <c r="C73" i="8"/>
  <c r="G73" i="8"/>
  <c r="K73" i="8"/>
  <c r="O73" i="8"/>
  <c r="S73" i="8"/>
  <c r="C75" i="8"/>
  <c r="G75" i="8"/>
  <c r="K75" i="8"/>
  <c r="O75" i="8"/>
  <c r="S75" i="8"/>
  <c r="C77" i="8"/>
  <c r="G77" i="8"/>
  <c r="K77" i="8"/>
  <c r="O77" i="8"/>
  <c r="S77" i="8"/>
  <c r="C80" i="8"/>
  <c r="G80" i="8"/>
  <c r="K80" i="8"/>
  <c r="O80" i="8"/>
  <c r="S80" i="8"/>
  <c r="C83" i="8"/>
  <c r="G83" i="8"/>
  <c r="K83" i="8"/>
  <c r="O83" i="8"/>
  <c r="S83" i="8"/>
  <c r="C86" i="8"/>
  <c r="G86" i="8"/>
  <c r="K86" i="8"/>
  <c r="O86" i="8"/>
  <c r="S86" i="8"/>
  <c r="C89" i="8"/>
  <c r="G89" i="8"/>
  <c r="K89" i="8"/>
  <c r="O89" i="8"/>
  <c r="S89" i="8"/>
  <c r="E77" i="7"/>
  <c r="E75" i="7"/>
  <c r="E72" i="7"/>
  <c r="E69" i="7"/>
  <c r="E66" i="7"/>
  <c r="E63" i="7"/>
  <c r="E61" i="7"/>
  <c r="E59" i="7"/>
  <c r="I77" i="7"/>
  <c r="I75" i="7"/>
  <c r="I72" i="7"/>
  <c r="I69" i="7"/>
  <c r="I66" i="7"/>
  <c r="I63" i="7"/>
  <c r="I61" i="7"/>
  <c r="I59" i="7"/>
  <c r="M77" i="7"/>
  <c r="M75" i="7"/>
  <c r="M72" i="7"/>
  <c r="M69" i="7"/>
  <c r="M66" i="7"/>
  <c r="M63" i="7"/>
  <c r="M61" i="7"/>
  <c r="M59" i="7"/>
  <c r="Q77" i="7"/>
  <c r="Q75" i="7"/>
  <c r="Q72" i="7"/>
  <c r="Q69" i="7"/>
  <c r="Q66" i="7"/>
  <c r="Q63" i="7"/>
  <c r="Q61" i="7"/>
  <c r="Q59" i="7"/>
  <c r="I60" i="7"/>
  <c r="Q60" i="7"/>
  <c r="I62" i="7"/>
  <c r="Q62" i="7"/>
  <c r="I64" i="7"/>
  <c r="Q64" i="7"/>
  <c r="I65" i="7"/>
  <c r="Q65" i="7"/>
  <c r="I68" i="7"/>
  <c r="Q68" i="7"/>
  <c r="I71" i="7"/>
  <c r="Q71" i="7"/>
  <c r="I73" i="7"/>
  <c r="Q73" i="7"/>
  <c r="I76" i="7"/>
  <c r="Q76" i="7"/>
  <c r="I78" i="7"/>
  <c r="Q78" i="7"/>
  <c r="C78" i="7"/>
  <c r="C76" i="7"/>
  <c r="C73" i="7"/>
  <c r="C71" i="7"/>
  <c r="C68" i="7"/>
  <c r="C64" i="7"/>
  <c r="C62" i="7"/>
  <c r="C60" i="7"/>
  <c r="G78" i="7"/>
  <c r="G76" i="7"/>
  <c r="G73" i="7"/>
  <c r="G71" i="7"/>
  <c r="G68" i="7"/>
  <c r="G64" i="7"/>
  <c r="G62" i="7"/>
  <c r="G60" i="7"/>
  <c r="K78" i="7"/>
  <c r="K76" i="7"/>
  <c r="K73" i="7"/>
  <c r="K71" i="7"/>
  <c r="K68" i="7"/>
  <c r="K65" i="7"/>
  <c r="K64" i="7"/>
  <c r="K62" i="7"/>
  <c r="K60" i="7"/>
  <c r="O78" i="7"/>
  <c r="O76" i="7"/>
  <c r="O73" i="7"/>
  <c r="O71" i="7"/>
  <c r="O68" i="7"/>
  <c r="O65" i="7"/>
  <c r="O64" i="7"/>
  <c r="O62" i="7"/>
  <c r="O60" i="7"/>
  <c r="X56" i="7"/>
  <c r="S78" i="7"/>
  <c r="S76" i="7"/>
  <c r="S73" i="7"/>
  <c r="S71" i="7"/>
  <c r="S68" i="7"/>
  <c r="S65" i="7"/>
  <c r="S64" i="7"/>
  <c r="S62" i="7"/>
  <c r="S60" i="7"/>
  <c r="G59" i="7"/>
  <c r="O59" i="7"/>
  <c r="E60" i="7"/>
  <c r="M60" i="7"/>
  <c r="G61" i="7"/>
  <c r="O61" i="7"/>
  <c r="E62" i="7"/>
  <c r="M62" i="7"/>
  <c r="G63" i="7"/>
  <c r="O63" i="7"/>
  <c r="E64" i="7"/>
  <c r="M64" i="7"/>
  <c r="M65" i="7"/>
  <c r="G66" i="7"/>
  <c r="O66" i="7"/>
  <c r="E68" i="7"/>
  <c r="M68" i="7"/>
  <c r="G69" i="7"/>
  <c r="O69" i="7"/>
  <c r="E71" i="7"/>
  <c r="M71" i="7"/>
  <c r="G72" i="7"/>
  <c r="O72" i="7"/>
  <c r="E73" i="7"/>
  <c r="M73" i="7"/>
  <c r="G75" i="7"/>
  <c r="O75" i="7"/>
  <c r="E76" i="7"/>
  <c r="M76" i="7"/>
  <c r="G77" i="7"/>
  <c r="O77" i="7"/>
  <c r="E78" i="7"/>
  <c r="M78" i="7"/>
  <c r="E85" i="5"/>
  <c r="E83" i="5"/>
  <c r="E80" i="5"/>
  <c r="E78" i="5"/>
  <c r="E75" i="5"/>
  <c r="E71" i="5"/>
  <c r="E69" i="5"/>
  <c r="E67" i="5"/>
  <c r="I85" i="5"/>
  <c r="I83" i="5"/>
  <c r="I80" i="5"/>
  <c r="I78" i="5"/>
  <c r="I75" i="5"/>
  <c r="I72" i="5"/>
  <c r="I71" i="5"/>
  <c r="I69" i="5"/>
  <c r="I67" i="5"/>
  <c r="M85" i="5"/>
  <c r="M83" i="5"/>
  <c r="M80" i="5"/>
  <c r="M78" i="5"/>
  <c r="M75" i="5"/>
  <c r="M72" i="5"/>
  <c r="M71" i="5"/>
  <c r="M69" i="5"/>
  <c r="M67" i="5"/>
  <c r="Q85" i="5"/>
  <c r="Q83" i="5"/>
  <c r="Q80" i="5"/>
  <c r="Q78" i="5"/>
  <c r="Q75" i="5"/>
  <c r="Q72" i="5"/>
  <c r="Q71" i="5"/>
  <c r="Q69" i="5"/>
  <c r="Q67" i="5"/>
  <c r="I66" i="5"/>
  <c r="Q66" i="5"/>
  <c r="I68" i="5"/>
  <c r="Q68" i="5"/>
  <c r="I70" i="5"/>
  <c r="Q70" i="5"/>
  <c r="E73" i="5"/>
  <c r="M73" i="5"/>
  <c r="E76" i="5"/>
  <c r="M76" i="5"/>
  <c r="E79" i="5"/>
  <c r="M79" i="5"/>
  <c r="E82" i="5"/>
  <c r="M82" i="5"/>
  <c r="E84" i="5"/>
  <c r="M84" i="5"/>
  <c r="E66" i="5"/>
  <c r="M66" i="5"/>
  <c r="E68" i="5"/>
  <c r="M68" i="5"/>
  <c r="E70" i="5"/>
  <c r="M70" i="5"/>
  <c r="I73" i="5"/>
  <c r="Q73" i="5"/>
  <c r="I76" i="5"/>
  <c r="Q76" i="5"/>
  <c r="I79" i="5"/>
  <c r="Q79" i="5"/>
  <c r="I82" i="5"/>
  <c r="Q82" i="5"/>
  <c r="I84" i="5"/>
  <c r="Q84" i="5"/>
  <c r="C66" i="5"/>
  <c r="G66" i="5"/>
  <c r="K66" i="5"/>
  <c r="O66" i="5"/>
  <c r="C68" i="5"/>
  <c r="G68" i="5"/>
  <c r="K68" i="5"/>
  <c r="O68" i="5"/>
  <c r="S68" i="5"/>
  <c r="C70" i="5"/>
  <c r="G70" i="5"/>
  <c r="K70" i="5"/>
  <c r="O70" i="5"/>
  <c r="S70" i="5"/>
  <c r="C73" i="5"/>
  <c r="G73" i="5"/>
  <c r="K73" i="5"/>
  <c r="O73" i="5"/>
  <c r="S73" i="5"/>
  <c r="C76" i="5"/>
  <c r="G76" i="5"/>
  <c r="K76" i="5"/>
  <c r="O76" i="5"/>
  <c r="S76" i="5"/>
  <c r="C79" i="5"/>
  <c r="G79" i="5"/>
  <c r="K79" i="5"/>
  <c r="O79" i="5"/>
  <c r="S79" i="5"/>
  <c r="C82" i="5"/>
  <c r="G82" i="5"/>
  <c r="K82" i="5"/>
  <c r="O82" i="5"/>
  <c r="S82" i="5"/>
  <c r="G70" i="14"/>
  <c r="G65" i="14"/>
  <c r="G59" i="14"/>
  <c r="G55" i="14"/>
  <c r="G71" i="14"/>
  <c r="G69" i="14"/>
  <c r="G66" i="14"/>
  <c r="G64" i="14"/>
  <c r="G61" i="14"/>
  <c r="G58" i="14"/>
  <c r="G56" i="14"/>
  <c r="G54" i="14"/>
  <c r="G52" i="14"/>
  <c r="G68" i="14"/>
  <c r="G62" i="14"/>
  <c r="G57" i="14"/>
  <c r="G53" i="14"/>
  <c r="K68" i="14"/>
  <c r="K62" i="14"/>
  <c r="K61" i="14"/>
  <c r="K58" i="14"/>
  <c r="S63" i="4"/>
  <c r="S62" i="4"/>
  <c r="S61" i="4"/>
  <c r="S60" i="4"/>
  <c r="Q63" i="4"/>
  <c r="Q62" i="4"/>
  <c r="Q61" i="4"/>
  <c r="Q60" i="4"/>
  <c r="O63" i="4"/>
  <c r="O61" i="4"/>
  <c r="M63" i="4"/>
  <c r="M61" i="4"/>
  <c r="M60" i="4"/>
  <c r="K61" i="4"/>
  <c r="K60" i="4"/>
  <c r="I63" i="4"/>
  <c r="I61" i="4"/>
  <c r="I60" i="4"/>
  <c r="R58" i="4"/>
  <c r="P58" i="4"/>
  <c r="N58" i="4"/>
  <c r="L58" i="4"/>
  <c r="J58" i="4"/>
  <c r="H58" i="4"/>
  <c r="F58" i="4"/>
  <c r="D58" i="4"/>
  <c r="B58" i="4"/>
  <c r="X58" i="4"/>
  <c r="S53" i="4"/>
  <c r="Q53" i="4"/>
  <c r="O53" i="4"/>
  <c r="M53" i="4"/>
  <c r="K53" i="4"/>
  <c r="I53" i="4"/>
  <c r="G53" i="4"/>
  <c r="E53" i="4"/>
  <c r="C53" i="4"/>
  <c r="X53" i="4" l="1"/>
  <c r="M68" i="14"/>
  <c r="M66" i="14"/>
  <c r="M54" i="14"/>
  <c r="M70" i="14"/>
  <c r="M65" i="14"/>
  <c r="M61" i="14"/>
  <c r="M62" i="14"/>
  <c r="M56" i="14"/>
  <c r="M55" i="14"/>
  <c r="M71" i="14"/>
  <c r="M69" i="14"/>
  <c r="M59" i="14"/>
  <c r="M52" i="14"/>
  <c r="M64" i="14"/>
  <c r="M57" i="14"/>
  <c r="M58" i="14"/>
  <c r="M53" i="14"/>
  <c r="K64" i="14"/>
  <c r="O49" i="14"/>
  <c r="C30" i="14"/>
  <c r="K69" i="14"/>
  <c r="K65" i="14"/>
  <c r="Q55" i="14"/>
  <c r="Q58" i="14"/>
  <c r="S62" i="14"/>
  <c r="S59" i="14"/>
  <c r="U64" i="14"/>
  <c r="U66" i="14"/>
  <c r="Q30" i="14"/>
  <c r="K55" i="14"/>
  <c r="K66" i="14"/>
  <c r="K70" i="14"/>
  <c r="K54" i="14"/>
  <c r="K53" i="14"/>
  <c r="Q59" i="14"/>
  <c r="Q69" i="14"/>
  <c r="S70" i="14"/>
  <c r="S71" i="14"/>
  <c r="U58" i="14"/>
  <c r="U52" i="14"/>
  <c r="K59" i="14"/>
  <c r="K52" i="14"/>
  <c r="K71" i="14"/>
  <c r="K30" i="14"/>
  <c r="K56" i="14"/>
  <c r="Q62" i="14"/>
  <c r="Q52" i="14"/>
  <c r="S58" i="14"/>
  <c r="S54" i="14"/>
  <c r="U68" i="14"/>
  <c r="G30" i="14"/>
  <c r="K34" i="14"/>
  <c r="K33" i="14"/>
  <c r="M33" i="14"/>
  <c r="W58" i="4"/>
  <c r="Q34" i="14"/>
  <c r="X60" i="4"/>
  <c r="I34" i="14"/>
  <c r="Q33" i="14"/>
  <c r="X61" i="4"/>
  <c r="S34" i="14"/>
  <c r="O34" i="14"/>
  <c r="X62" i="4"/>
  <c r="X63" i="4"/>
  <c r="U33" i="14"/>
  <c r="R11" i="14"/>
  <c r="O62" i="14" l="1"/>
  <c r="O58" i="14"/>
  <c r="O54" i="14"/>
  <c r="O66" i="14"/>
  <c r="O55" i="14"/>
  <c r="O57" i="14"/>
  <c r="O56" i="14"/>
  <c r="O53" i="14"/>
  <c r="O65" i="14"/>
  <c r="O61" i="14"/>
  <c r="O71" i="14"/>
  <c r="O52" i="14"/>
  <c r="O69" i="14"/>
  <c r="O70" i="14"/>
  <c r="O64" i="14"/>
  <c r="O59" i="14"/>
  <c r="O68" i="14"/>
</calcChain>
</file>

<file path=xl/sharedStrings.xml><?xml version="1.0" encoding="utf-8"?>
<sst xmlns="http://schemas.openxmlformats.org/spreadsheetml/2006/main" count="2218" uniqueCount="259">
  <si>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</si>
  <si>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</si>
  <si>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</si>
  <si>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</si>
  <si>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</si>
  <si>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</si>
  <si>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</si>
  <si>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</si>
  <si>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</si>
  <si>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Five Year Average</t>
  </si>
  <si>
    <t># of</t>
  </si>
  <si>
    <t>Degrees</t>
  </si>
  <si>
    <t xml:space="preserve"># of </t>
  </si>
  <si>
    <t xml:space="preserve">Degrees </t>
  </si>
  <si>
    <t>Majors</t>
  </si>
  <si>
    <t>Conferred</t>
  </si>
  <si>
    <t xml:space="preserve"> </t>
  </si>
  <si>
    <t>Student Credit Hours Generated:</t>
  </si>
  <si>
    <t>Lower Division (0-299 level)</t>
  </si>
  <si>
    <t>Upper Division (300-699 level)</t>
  </si>
  <si>
    <t>Graduate I (700-899 level)</t>
  </si>
  <si>
    <t>Graduate II (900-999 level)</t>
  </si>
  <si>
    <t>Total</t>
  </si>
  <si>
    <t>% Departmental SCH taken by:</t>
  </si>
  <si>
    <t>Fall 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</si>
  <si>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</si>
  <si>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</si>
  <si>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</si>
  <si>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</si>
  <si>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</si>
  <si>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</si>
  <si>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</si>
  <si>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</si>
  <si>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 xml:space="preserve">     1.  Their Undergraduate Majors</t>
  </si>
  <si>
    <t xml:space="preserve">     2.  Their Graduate Majors</t>
  </si>
  <si>
    <t xml:space="preserve">     3.  Non-Majors</t>
  </si>
  <si>
    <t>N</t>
  </si>
  <si>
    <t xml:space="preserve">Graduate Assistants </t>
  </si>
  <si>
    <t>% GTA/GRA</t>
  </si>
  <si>
    <t>ACT</t>
  </si>
  <si>
    <t xml:space="preserve">Doctorate Program </t>
  </si>
  <si>
    <t>Department:  Dean of Agriculture</t>
  </si>
  <si>
    <t>Pre-Vet Agriculture - 51.1104</t>
  </si>
  <si>
    <t>Food Science - 01.1001</t>
  </si>
  <si>
    <t xml:space="preserve">Master's Program </t>
  </si>
  <si>
    <t>Genetics, General - 26.0801</t>
  </si>
  <si>
    <t>Agricultural Technology Management - 01.0201</t>
  </si>
  <si>
    <t>xxxx</t>
  </si>
  <si>
    <t>Bachelor's Total</t>
  </si>
  <si>
    <t xml:space="preserve">AG Tech Mgmt 01.0201 </t>
  </si>
  <si>
    <t xml:space="preserve"> Appl. Genomics &amp; BioTech 26.1201 </t>
  </si>
  <si>
    <t>Minors</t>
  </si>
  <si>
    <t>Certificates</t>
  </si>
  <si>
    <t xml:space="preserve">Inernational AG  01.0701 </t>
  </si>
  <si>
    <t>Undergraduate Secondary Major Program</t>
  </si>
  <si>
    <t>Students - Majors &amp; Degrees Conferred</t>
  </si>
  <si>
    <t>Graduate certificate  (CAREM) 03.0103</t>
  </si>
  <si>
    <t>Graduate Certificate  (CSTMBI) 26.1201</t>
  </si>
  <si>
    <t>Graduate Certificate (CGGBT) 26.1201</t>
  </si>
  <si>
    <t>General Agriculture - Non-degree</t>
  </si>
  <si>
    <t>Undergraduate Program</t>
  </si>
  <si>
    <t>Graduate program (Global Campus)</t>
  </si>
  <si>
    <t>Natural Resources &amp; Environ Sci  - 03.0103</t>
  </si>
  <si>
    <t xml:space="preserve"> Fr/Soph</t>
  </si>
  <si>
    <t xml:space="preserve"> Jr/Sr</t>
  </si>
  <si>
    <t>AG Citizenship 01.0899</t>
  </si>
  <si>
    <t>Graduate certificate  (CFDSCC) 01.1001</t>
  </si>
  <si>
    <t>n/a</t>
  </si>
  <si>
    <t>Average ACT of Majors: AgTechMgmt</t>
  </si>
  <si>
    <t>Average ACT of Majors: PreVet Ag</t>
  </si>
  <si>
    <t>Average ACT of Majors: Natural Resrs Secondary major</t>
  </si>
  <si>
    <t>% Bachelor's Employed - ATM</t>
  </si>
  <si>
    <t>% Bachelor's Employed - PreVet</t>
  </si>
  <si>
    <t>% Bachelor's Further Education - ATM</t>
  </si>
  <si>
    <t>% Bachelor's Further Education - PreVet</t>
  </si>
  <si>
    <t>PhD Avg Time to Completion - Food Science</t>
  </si>
  <si>
    <t>PhD Avg Time to Completion - Genetics</t>
  </si>
  <si>
    <t>% Undergrad Major in Research - ATM</t>
  </si>
  <si>
    <t>% Undergrad Major in Research - PreVet</t>
  </si>
  <si>
    <t>Outcomes</t>
  </si>
  <si>
    <t>Master's students - Food Science</t>
  </si>
  <si>
    <t>Master's students - Genetics</t>
  </si>
  <si>
    <t>PhD students - Food Science</t>
  </si>
  <si>
    <t>PhD students -Genetics</t>
  </si>
  <si>
    <t># of Majors &amp; Degrees Conferred</t>
  </si>
  <si>
    <t>Bachelor's Program - Fr/Soph</t>
  </si>
  <si>
    <t>Bachelor's Program - Jr/Sr</t>
  </si>
  <si>
    <t>Total Bach</t>
  </si>
  <si>
    <t>Master's Program</t>
  </si>
  <si>
    <t>FTE</t>
  </si>
  <si>
    <t>Master's students</t>
  </si>
  <si>
    <t>PhD students</t>
  </si>
  <si>
    <t>Outcome</t>
  </si>
  <si>
    <t xml:space="preserve">% Undergrad Major in Research </t>
  </si>
  <si>
    <t>% Bachelor's Employed</t>
  </si>
  <si>
    <t xml:space="preserve">% Bachelor's Further Education </t>
  </si>
  <si>
    <t xml:space="preserve">PhD Time to Completion </t>
  </si>
  <si>
    <t>Headcount</t>
  </si>
  <si>
    <t xml:space="preserve">Instructional </t>
  </si>
  <si>
    <t>Full-time</t>
  </si>
  <si>
    <t>Part-time</t>
  </si>
  <si>
    <t>Research/Public Service</t>
  </si>
  <si>
    <t>%</t>
  </si>
  <si>
    <t>White</t>
  </si>
  <si>
    <t>Black</t>
  </si>
  <si>
    <t>Hispanic</t>
  </si>
  <si>
    <t>Native American</t>
  </si>
  <si>
    <t xml:space="preserve">Asian </t>
  </si>
  <si>
    <t>Non-Resident</t>
  </si>
  <si>
    <t>Two or More Races</t>
  </si>
  <si>
    <t>Unknown</t>
  </si>
  <si>
    <t>Gender</t>
  </si>
  <si>
    <t>Male</t>
  </si>
  <si>
    <t>Female</t>
  </si>
  <si>
    <t>Tenure Status</t>
  </si>
  <si>
    <t>Tenure</t>
  </si>
  <si>
    <t>Tenure-Track</t>
  </si>
  <si>
    <t>Non-Tenured</t>
  </si>
  <si>
    <t>Highest Degree</t>
  </si>
  <si>
    <t>Ph. D.</t>
  </si>
  <si>
    <t>M.S.</t>
  </si>
  <si>
    <t>B.S.</t>
  </si>
  <si>
    <t>Other</t>
  </si>
  <si>
    <t>Department: Agricultural Economics</t>
  </si>
  <si>
    <t xml:space="preserve">Department: Communications and Agricultural Education </t>
  </si>
  <si>
    <t>Agricultural Economics - 01.0103</t>
  </si>
  <si>
    <t>Minor's Program</t>
  </si>
  <si>
    <t>Agricultural Business &amp; Management - 01.0101</t>
  </si>
  <si>
    <t>Average ACT of Majors: Agricultural Economics</t>
  </si>
  <si>
    <t>% Bachelor's Employed- Ag Economics</t>
  </si>
  <si>
    <t>Agronomy &amp; Crop Science - 01.1102</t>
  </si>
  <si>
    <t>Doctorate Program</t>
  </si>
  <si>
    <t>Grassland Management - 01.1106</t>
  </si>
  <si>
    <t>Grad Certificate (CGRMGT)</t>
  </si>
  <si>
    <t>Average ACT of Majors: Agronomy</t>
  </si>
  <si>
    <t>Animal Sciences, General - 01.0901</t>
  </si>
  <si>
    <t>Minor's Program ANSI</t>
  </si>
  <si>
    <t>Minor's Program PETFS</t>
  </si>
  <si>
    <t>Undergrad Certificate Program (EQSC)</t>
  </si>
  <si>
    <t>Undergrad Certificate Program (MEATS)</t>
  </si>
  <si>
    <t>Undergrad Certificate Program (BRM)</t>
  </si>
  <si>
    <t>Undergrad Certificate Program (BFDLM)</t>
  </si>
  <si>
    <t>Undergrad Certificate Program (CFDS)</t>
  </si>
  <si>
    <t>Food Science - 01.1001*</t>
  </si>
  <si>
    <t>Food Safety and Defense- 01.1099</t>
  </si>
  <si>
    <t>Graduate Certificate (CFDSFC)</t>
  </si>
  <si>
    <t>Average ACT of Majors: Food Science</t>
  </si>
  <si>
    <t>Average ACT of Majors: Animal Sciences</t>
  </si>
  <si>
    <t>% Bachelor's Employed- Animal Sciences</t>
  </si>
  <si>
    <t xml:space="preserve">% Bachelor's Employed- Food Science </t>
  </si>
  <si>
    <t>% Bachelor's Further Education-Animal</t>
  </si>
  <si>
    <t xml:space="preserve">% Bachelor's Further Education - Food </t>
  </si>
  <si>
    <t>Agriculture Teacher Education - 13.1301</t>
  </si>
  <si>
    <t>Communications (Agricultural /Journalism) - 01.0802</t>
  </si>
  <si>
    <t>Ag Ed and Communications - 01.0899</t>
  </si>
  <si>
    <t>Entomology - 26.0702</t>
  </si>
  <si>
    <t>Graduate Certificate Program (CENTC)</t>
  </si>
  <si>
    <t>Grain Science - 01.1002</t>
  </si>
  <si>
    <t>Feed Science &amp; Management - 01.0401</t>
  </si>
  <si>
    <t>Bakery Science &amp; Management - 01.0401</t>
  </si>
  <si>
    <t>Milling Science &amp; Management - 01.0401</t>
  </si>
  <si>
    <t>Minor's Program (Grain Handlg Oper)</t>
  </si>
  <si>
    <t>Minor's Program (Cereal)</t>
  </si>
  <si>
    <t>Horticulture Science - 01.1103</t>
  </si>
  <si>
    <t>Graduate Certificate Program (CADHRT)</t>
  </si>
  <si>
    <t>Horticulture Therapy - 51.2399</t>
  </si>
  <si>
    <t>Graduate Certificate Program (CHRTH)</t>
  </si>
  <si>
    <t>Parks Mgt and Conservation - 31.0301</t>
  </si>
  <si>
    <t>Wildlife and Outdoor Enterprise Mgmt. - 03.0201</t>
  </si>
  <si>
    <t>Doctorate  Program</t>
  </si>
  <si>
    <t>Average ACT of Majors: Horticulture</t>
  </si>
  <si>
    <t>Average ACT of Majors: Parks Mangt</t>
  </si>
  <si>
    <t>Average ACT of Majors: Wildlife Outdoor</t>
  </si>
  <si>
    <t>% Bachelor's Employed- Horticulture</t>
  </si>
  <si>
    <t>% Bachelor's Employed- Parks Mang</t>
  </si>
  <si>
    <t>% Bachelor's Employed- Wildlife</t>
  </si>
  <si>
    <t>% Bachelor's Further Education- Horticulture</t>
  </si>
  <si>
    <t>% Bachelor's Further Education - Parks Mang</t>
  </si>
  <si>
    <t>% Bachelor's Further Education- Wildlife</t>
  </si>
  <si>
    <t>% Bachelor's Employed- Feed Science</t>
  </si>
  <si>
    <t>% Bachelor's Employed- Bakery Science</t>
  </si>
  <si>
    <t>% Bachelor's Employed- Milling Science</t>
  </si>
  <si>
    <t>% Bachelor's Further Education-Feed</t>
  </si>
  <si>
    <t>% Bachelor's Further Education- Bakery</t>
  </si>
  <si>
    <t>% Bachelor's Further Education- Milling</t>
  </si>
  <si>
    <t>Average ACT of Majors: Feed Science</t>
  </si>
  <si>
    <t>Average ACT of Majors: Bakery Science</t>
  </si>
  <si>
    <t xml:space="preserve">Average ACT of Majors: Milling Science </t>
  </si>
  <si>
    <t>% Bachelor's Employed- Ag Teacher Ed</t>
  </si>
  <si>
    <t>% Bachelor's Employed- Ag Communications</t>
  </si>
  <si>
    <t>% Bachelor's Further Education- Ag Ed</t>
  </si>
  <si>
    <t>% Bachelor's Further Education - Ag Comm</t>
  </si>
  <si>
    <t>Average ACT of Majors: Ag Ed</t>
  </si>
  <si>
    <t>Average ACT of Majors: Ag Comm</t>
  </si>
  <si>
    <t>Plant Pathology/Phytopathology - 26.0305*</t>
  </si>
  <si>
    <t>Total Tenure/Tenure Track Faculty (Headcount)</t>
  </si>
  <si>
    <t>Total Instructional FTE</t>
  </si>
  <si>
    <t>Tenured/Tenure Track Faculty with Terminal Degrees</t>
  </si>
  <si>
    <t>Degrees Conferred</t>
  </si>
  <si>
    <t>Graduate Assistant Appointments:</t>
  </si>
  <si>
    <t>Demographics:</t>
  </si>
  <si>
    <t>Tenured/Tenure Track Faculty with Terminal Degrees (headcount)</t>
  </si>
  <si>
    <t>Their Undergraduate Majors</t>
  </si>
  <si>
    <t>Their Graduate Majors</t>
  </si>
  <si>
    <t>Non-Majors</t>
  </si>
  <si>
    <t>Number of Majors &amp; Degrees Conferred:</t>
  </si>
  <si>
    <t>Outcome:</t>
  </si>
  <si>
    <t>Faculty Information:**</t>
  </si>
  <si>
    <t>STATISTICAL OVERVIEW</t>
  </si>
  <si>
    <t>Kansas State University</t>
  </si>
  <si>
    <t>Department:   Plant Pathology</t>
  </si>
  <si>
    <t>Academic Information</t>
  </si>
  <si>
    <t>Full-Time Instructional Faculty -              (50% or more instruction):</t>
  </si>
  <si>
    <t>Fall Majors</t>
  </si>
  <si>
    <t>Number of Majors &amp; Degrees Conferred</t>
  </si>
  <si>
    <t xml:space="preserve">      Their Undergraduate Majors</t>
  </si>
  <si>
    <t xml:space="preserve">      Their Graduate Majors</t>
  </si>
  <si>
    <t xml:space="preserve">     Non-Majors</t>
  </si>
  <si>
    <t>Faculty Information**</t>
  </si>
  <si>
    <t>Full-Time Instructional Faculty-
(50% or more instruction)</t>
  </si>
  <si>
    <t>Demographics</t>
  </si>
  <si>
    <t xml:space="preserve">     Their Undergraduate Majors</t>
  </si>
  <si>
    <t xml:space="preserve">     Their Graduate Majors</t>
  </si>
  <si>
    <t xml:space="preserve">Headcount  </t>
  </si>
  <si>
    <t>Master's students- Ag Econ</t>
  </si>
  <si>
    <t>Master's students - Ag Bus</t>
  </si>
  <si>
    <t>Race/Ethnicity</t>
  </si>
  <si>
    <t>Departmental Faculty</t>
  </si>
  <si>
    <t>% Bachelor's Further Education - Ag Economics</t>
  </si>
  <si>
    <t>% Bachelor's Further Education- Ag Business</t>
  </si>
  <si>
    <t xml:space="preserve"># of Undergrad Majors in Research </t>
  </si>
  <si>
    <t xml:space="preserve">Departmental Faculty </t>
  </si>
  <si>
    <t xml:space="preserve">Demographics </t>
  </si>
  <si>
    <t xml:space="preserve">Race/Ethnicity </t>
  </si>
  <si>
    <t>Department:   Agronomy</t>
  </si>
  <si>
    <t xml:space="preserve">Fall </t>
  </si>
  <si>
    <t>Fall</t>
  </si>
  <si>
    <t>Department:   Animal Science &amp; Industry</t>
  </si>
  <si>
    <t>Department:  Entomology</t>
  </si>
  <si>
    <t>Department:  Grain Science &amp; Industry</t>
  </si>
  <si>
    <t>College of Agriculture</t>
  </si>
  <si>
    <t>Bachelor's Program</t>
  </si>
  <si>
    <t>Undergraduate Certificate Program</t>
  </si>
  <si>
    <t>Master's Programs</t>
  </si>
  <si>
    <t>Graduate Certificate Programs</t>
  </si>
  <si>
    <t>% Bachelor's Further Education-</t>
  </si>
  <si>
    <t>Secondary Majors</t>
  </si>
  <si>
    <t>Undergraduate Non-Degree Seeking</t>
  </si>
  <si>
    <t>Graduate Non-Degree</t>
  </si>
  <si>
    <t>Discontinued</t>
  </si>
  <si>
    <t>n./a</t>
  </si>
  <si>
    <t>**Based on November 1st HRIS records</t>
  </si>
  <si>
    <t>Average ACT of Majors: Agribusiness</t>
  </si>
  <si>
    <t>% Bachelor's Employed- Ag Business</t>
  </si>
  <si>
    <t>FY 2017</t>
  </si>
  <si>
    <t>Fall 2016</t>
  </si>
  <si>
    <t>Department:   Horticulture and Natural Resources</t>
  </si>
  <si>
    <t>Number of Fall Majors includes second majors</t>
  </si>
  <si>
    <t>Hawaiian/PacIs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</si>
</sst>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0.000"/>
    <numFmt numFmtId="167" formatCode="&quot;$&quot;#,##0\ ;\(&quot;$&quot;#,##0\)"/>
    <numFmt numFmtId="168" formatCode="&quot;$&quot;#,##0.00\ ;\(&quot;$&quot;#,##0.00\)"/>
  </numFmts>
  <fonts count="12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DashDot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/>
      <top style="slantDashDot">
        <color indexed="64"/>
      </top>
      <bottom/>
      <diagonal/>
    </border>
    <border>
      <left style="thin">
        <color indexed="64"/>
      </left>
      <right style="medium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 style="slantDashDot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 style="medium">
        <color indexed="64"/>
      </bottom>
      <diagonal/>
    </border>
    <border>
      <left/>
      <right style="double">
        <color indexed="64"/>
      </right>
      <top style="slantDashDot">
        <color indexed="64"/>
      </top>
      <bottom style="medium">
        <color indexed="64"/>
      </bottom>
      <diagonal/>
    </border>
    <border>
      <left style="double">
        <color indexed="64"/>
      </left>
      <right/>
      <top style="slantDashDot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/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/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/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slantDashDot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double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DashDot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26">
    <xf numFmtId="0" fontId="0" fillId="0" borderId="0"/>
    <xf numFmtId="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6" fillId="0" borderId="0"/>
    <xf numFmtId="10" fontId="6" fillId="0" borderId="0" applyFill="0" applyBorder="0" applyAlignment="0" applyProtection="0"/>
    <xf numFmtId="0" fontId="6" fillId="0" borderId="0"/>
    <xf numFmtId="4" fontId="5" fillId="0" borderId="0" applyFont="0" applyFill="0" applyBorder="0" applyAlignment="0" applyProtection="0"/>
    <xf numFmtId="2" fontId="6" fillId="0" borderId="0"/>
    <xf numFmtId="4" fontId="6" fillId="0" borderId="0" applyFill="0" applyBorder="0" applyAlignment="0" applyProtection="0"/>
    <xf numFmtId="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ill="0" applyBorder="0" applyAlignment="0" applyProtection="0"/>
    <xf numFmtId="0" fontId="5" fillId="0" borderId="0" applyFont="0" applyFill="0" applyBorder="0" applyAlignment="0" applyProtection="0"/>
    <xf numFmtId="2" fontId="6" fillId="0" borderId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/>
    <xf numFmtId="10" fontId="6" fillId="0" borderId="0" applyFill="0" applyBorder="0" applyAlignment="0" applyProtection="0"/>
    <xf numFmtId="10" fontId="5" fillId="0" borderId="0" applyFont="0" applyFill="0" applyBorder="0" applyAlignment="0" applyProtection="0"/>
    <xf numFmtId="0" fontId="6" fillId="0" borderId="50" applyNumberFormat="0" applyFill="0" applyAlignment="0" applyProtection="0"/>
    <xf numFmtId="0" fontId="5" fillId="0" borderId="57" applyNumberFormat="0" applyFont="0" applyFill="0" applyAlignment="0" applyProtection="0"/>
  </cellStyleXfs>
  <cellXfs count="13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Border="1"/>
    <xf numFmtId="1" fontId="1" fillId="0" borderId="0" xfId="0" applyNumberFormat="1" applyFont="1" applyFill="1" applyBorder="1"/>
    <xf numFmtId="0" fontId="1" fillId="0" borderId="26" xfId="0" applyFont="1" applyBorder="1"/>
    <xf numFmtId="0" fontId="1" fillId="0" borderId="44" xfId="0" applyFont="1" applyFill="1" applyBorder="1"/>
    <xf numFmtId="0" fontId="1" fillId="0" borderId="46" xfId="0" applyFont="1" applyFill="1" applyBorder="1"/>
    <xf numFmtId="3" fontId="1" fillId="0" borderId="45" xfId="1" applyNumberFormat="1" applyFont="1" applyFill="1" applyBorder="1" applyAlignment="1">
      <alignment horizontal="right"/>
    </xf>
    <xf numFmtId="3" fontId="1" fillId="0" borderId="46" xfId="1" applyNumberFormat="1" applyFont="1" applyFill="1" applyBorder="1" applyAlignment="1">
      <alignment horizontal="right"/>
    </xf>
    <xf numFmtId="3" fontId="1" fillId="0" borderId="28" xfId="1" applyNumberFormat="1" applyFont="1" applyFill="1" applyBorder="1" applyAlignment="1">
      <alignment horizontal="right"/>
    </xf>
    <xf numFmtId="0" fontId="1" fillId="0" borderId="47" xfId="0" applyFont="1" applyBorder="1"/>
    <xf numFmtId="3" fontId="1" fillId="0" borderId="43" xfId="0" applyNumberFormat="1" applyFont="1" applyBorder="1"/>
    <xf numFmtId="0" fontId="1" fillId="0" borderId="27" xfId="0" applyFont="1" applyBorder="1"/>
    <xf numFmtId="3" fontId="3" fillId="0" borderId="0" xfId="0" applyNumberFormat="1" applyFont="1" applyFill="1" applyBorder="1"/>
    <xf numFmtId="0" fontId="3" fillId="0" borderId="0" xfId="0" applyFont="1" applyBorder="1" applyAlignment="1">
      <alignment horizontal="center"/>
    </xf>
    <xf numFmtId="3" fontId="3" fillId="0" borderId="13" xfId="0" applyNumberFormat="1" applyFont="1" applyFill="1" applyBorder="1"/>
    <xf numFmtId="0" fontId="5" fillId="0" borderId="0" xfId="0" applyFont="1"/>
    <xf numFmtId="0" fontId="0" fillId="0" borderId="0" xfId="0" applyFill="1"/>
    <xf numFmtId="0" fontId="3" fillId="0" borderId="17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15" xfId="0" applyFont="1" applyBorder="1"/>
    <xf numFmtId="0" fontId="1" fillId="0" borderId="21" xfId="0" applyFont="1" applyBorder="1"/>
    <xf numFmtId="1" fontId="3" fillId="0" borderId="37" xfId="0" applyNumberFormat="1" applyFont="1" applyFill="1" applyBorder="1" applyAlignment="1">
      <alignment horizontal="left"/>
    </xf>
    <xf numFmtId="1" fontId="2" fillId="0" borderId="0" xfId="0" applyNumberFormat="1" applyFont="1"/>
    <xf numFmtId="1" fontId="3" fillId="0" borderId="28" xfId="0" applyNumberFormat="1" applyFont="1" applyFill="1" applyBorder="1"/>
    <xf numFmtId="0" fontId="1" fillId="0" borderId="30" xfId="0" applyFont="1" applyBorder="1" applyAlignment="1">
      <alignment horizontal="left"/>
    </xf>
    <xf numFmtId="0" fontId="3" fillId="0" borderId="0" xfId="0" applyFont="1" applyFill="1" applyBorder="1"/>
    <xf numFmtId="3" fontId="3" fillId="0" borderId="84" xfId="0" applyNumberFormat="1" applyFont="1" applyBorder="1"/>
    <xf numFmtId="3" fontId="3" fillId="0" borderId="84" xfId="0" applyNumberFormat="1" applyFont="1" applyFill="1" applyBorder="1"/>
    <xf numFmtId="0" fontId="3" fillId="0" borderId="37" xfId="0" applyFont="1" applyBorder="1"/>
    <xf numFmtId="0" fontId="1" fillId="0" borderId="84" xfId="0" applyFont="1" applyBorder="1"/>
    <xf numFmtId="0" fontId="0" fillId="0" borderId="0" xfId="0" applyBorder="1"/>
    <xf numFmtId="0" fontId="1" fillId="0" borderId="61" xfId="0" applyFont="1" applyFill="1" applyBorder="1"/>
    <xf numFmtId="3" fontId="1" fillId="0" borderId="62" xfId="0" applyNumberFormat="1" applyFont="1" applyFill="1" applyBorder="1"/>
    <xf numFmtId="0" fontId="1" fillId="0" borderId="63" xfId="0" applyFont="1" applyFill="1" applyBorder="1"/>
    <xf numFmtId="3" fontId="1" fillId="0" borderId="63" xfId="0" applyNumberFormat="1" applyFont="1" applyFill="1" applyBorder="1"/>
    <xf numFmtId="3" fontId="1" fillId="0" borderId="56" xfId="0" applyNumberFormat="1" applyFont="1" applyFill="1" applyBorder="1"/>
    <xf numFmtId="3" fontId="3" fillId="0" borderId="82" xfId="0" applyNumberFormat="1" applyFont="1" applyFill="1" applyBorder="1"/>
    <xf numFmtId="0" fontId="3" fillId="0" borderId="81" xfId="0" applyFont="1" applyFill="1" applyBorder="1"/>
    <xf numFmtId="0" fontId="3" fillId="0" borderId="80" xfId="0" applyFont="1" applyFill="1" applyBorder="1"/>
    <xf numFmtId="3" fontId="3" fillId="0" borderId="80" xfId="0" applyNumberFormat="1" applyFont="1" applyFill="1" applyBorder="1"/>
    <xf numFmtId="3" fontId="3" fillId="0" borderId="83" xfId="0" applyNumberFormat="1" applyFont="1" applyFill="1" applyBorder="1"/>
    <xf numFmtId="0" fontId="3" fillId="0" borderId="18" xfId="0" applyFont="1" applyBorder="1" applyAlignment="1">
      <alignment horizontal="center"/>
    </xf>
    <xf numFmtId="3" fontId="1" fillId="0" borderId="45" xfId="0" applyNumberFormat="1" applyFont="1" applyFill="1" applyBorder="1" applyAlignment="1">
      <alignment horizontal="right"/>
    </xf>
    <xf numFmtId="164" fontId="1" fillId="0" borderId="42" xfId="4" applyNumberFormat="1" applyFont="1" applyFill="1" applyBorder="1"/>
    <xf numFmtId="164" fontId="1" fillId="0" borderId="41" xfId="4" applyNumberFormat="1" applyFont="1" applyFill="1" applyBorder="1"/>
    <xf numFmtId="164" fontId="1" fillId="0" borderId="46" xfId="4" applyNumberFormat="1" applyFont="1" applyFill="1" applyBorder="1"/>
    <xf numFmtId="164" fontId="1" fillId="0" borderId="45" xfId="4" applyNumberFormat="1" applyFont="1" applyFill="1" applyBorder="1"/>
    <xf numFmtId="0" fontId="7" fillId="0" borderId="26" xfId="0" applyFont="1" applyFill="1" applyBorder="1"/>
    <xf numFmtId="0" fontId="5" fillId="0" borderId="26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right"/>
    </xf>
    <xf numFmtId="0" fontId="3" fillId="0" borderId="91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1" fontId="2" fillId="0" borderId="58" xfId="0" applyNumberFormat="1" applyFont="1" applyBorder="1"/>
    <xf numFmtId="0" fontId="1" fillId="0" borderId="73" xfId="0" applyFont="1" applyBorder="1" applyAlignment="1">
      <alignment horizontal="right"/>
    </xf>
    <xf numFmtId="0" fontId="1" fillId="0" borderId="89" xfId="0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" fontId="3" fillId="0" borderId="9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1" fillId="0" borderId="72" xfId="0" applyFont="1" applyBorder="1" applyAlignment="1">
      <alignment horizontal="right"/>
    </xf>
    <xf numFmtId="0" fontId="1" fillId="0" borderId="88" xfId="0" applyFont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0" fillId="0" borderId="58" xfId="0" applyBorder="1"/>
    <xf numFmtId="0" fontId="5" fillId="0" borderId="97" xfId="0" applyFont="1" applyFill="1" applyBorder="1" applyAlignment="1">
      <alignment horizontal="right"/>
    </xf>
    <xf numFmtId="0" fontId="1" fillId="0" borderId="78" xfId="0" applyFont="1" applyBorder="1" applyAlignment="1">
      <alignment horizontal="right"/>
    </xf>
    <xf numFmtId="0" fontId="1" fillId="0" borderId="75" xfId="0" applyFont="1" applyBorder="1" applyAlignment="1">
      <alignment horizontal="right"/>
    </xf>
    <xf numFmtId="0" fontId="2" fillId="0" borderId="1" xfId="0" applyFont="1" applyBorder="1"/>
    <xf numFmtId="0" fontId="2" fillId="0" borderId="21" xfId="0" applyFont="1" applyFill="1" applyBorder="1" applyAlignment="1">
      <alignment horizontal="left"/>
    </xf>
    <xf numFmtId="0" fontId="1" fillId="2" borderId="74" xfId="0" applyFont="1" applyFill="1" applyBorder="1" applyAlignment="1">
      <alignment horizontal="right"/>
    </xf>
    <xf numFmtId="0" fontId="1" fillId="2" borderId="72" xfId="0" applyFont="1" applyFill="1" applyBorder="1" applyAlignment="1">
      <alignment horizontal="right"/>
    </xf>
    <xf numFmtId="0" fontId="2" fillId="0" borderId="59" xfId="0" applyFont="1" applyFill="1" applyBorder="1" applyAlignment="1">
      <alignment horizontal="left"/>
    </xf>
    <xf numFmtId="0" fontId="1" fillId="0" borderId="67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1" fontId="2" fillId="0" borderId="94" xfId="0" applyNumberFormat="1" applyFont="1" applyFill="1" applyBorder="1" applyAlignment="1">
      <alignment horizontal="left"/>
    </xf>
    <xf numFmtId="0" fontId="1" fillId="0" borderId="95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" fontId="1" fillId="0" borderId="59" xfId="0" applyNumberFormat="1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4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6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66" xfId="0" applyFont="1" applyBorder="1" applyAlignment="1">
      <alignment horizontal="right"/>
    </xf>
    <xf numFmtId="0" fontId="1" fillId="0" borderId="10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2" borderId="67" xfId="0" applyFont="1" applyFill="1" applyBorder="1" applyAlignment="1">
      <alignment horizontal="right"/>
    </xf>
    <xf numFmtId="0" fontId="1" fillId="2" borderId="42" xfId="0" applyFont="1" applyFill="1" applyBorder="1" applyAlignment="1">
      <alignment horizontal="right"/>
    </xf>
    <xf numFmtId="0" fontId="1" fillId="0" borderId="68" xfId="0" applyFont="1" applyBorder="1" applyAlignment="1">
      <alignment horizontal="right"/>
    </xf>
    <xf numFmtId="0" fontId="3" fillId="0" borderId="60" xfId="0" applyFont="1" applyBorder="1" applyAlignment="1">
      <alignment horizontal="center"/>
    </xf>
    <xf numFmtId="0" fontId="1" fillId="2" borderId="75" xfId="0" applyFont="1" applyFill="1" applyBorder="1" applyAlignment="1">
      <alignment horizontal="right"/>
    </xf>
    <xf numFmtId="0" fontId="1" fillId="2" borderId="78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2" borderId="46" xfId="0" applyFont="1" applyFill="1" applyBorder="1" applyAlignment="1">
      <alignment horizontal="right"/>
    </xf>
    <xf numFmtId="0" fontId="1" fillId="2" borderId="98" xfId="0" applyFont="1" applyFill="1" applyBorder="1" applyAlignment="1">
      <alignment horizontal="right"/>
    </xf>
    <xf numFmtId="0" fontId="1" fillId="2" borderId="99" xfId="0" applyFont="1" applyFill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60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3" fillId="0" borderId="3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left"/>
    </xf>
    <xf numFmtId="165" fontId="1" fillId="0" borderId="102" xfId="0" applyNumberFormat="1" applyFont="1" applyFill="1" applyBorder="1" applyAlignment="1">
      <alignment horizontal="right"/>
    </xf>
    <xf numFmtId="165" fontId="1" fillId="0" borderId="103" xfId="0" applyNumberFormat="1" applyFont="1" applyFill="1" applyBorder="1" applyAlignment="1">
      <alignment horizontal="center"/>
    </xf>
    <xf numFmtId="165" fontId="1" fillId="0" borderId="72" xfId="0" applyNumberFormat="1" applyFont="1" applyFill="1" applyBorder="1" applyAlignment="1">
      <alignment horizontal="right"/>
    </xf>
    <xf numFmtId="165" fontId="1" fillId="0" borderId="95" xfId="0" applyNumberFormat="1" applyFont="1" applyFill="1" applyBorder="1" applyAlignment="1">
      <alignment horizontal="center"/>
    </xf>
    <xf numFmtId="165" fontId="1" fillId="0" borderId="92" xfId="0" applyNumberFormat="1" applyFont="1" applyFill="1" applyBorder="1" applyAlignment="1">
      <alignment horizontal="center"/>
    </xf>
    <xf numFmtId="165" fontId="1" fillId="0" borderId="64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3" fontId="1" fillId="0" borderId="76" xfId="1" applyNumberFormat="1" applyFont="1" applyFill="1" applyBorder="1" applyAlignment="1">
      <alignment horizontal="center"/>
    </xf>
    <xf numFmtId="164" fontId="4" fillId="0" borderId="77" xfId="2" applyNumberFormat="1" applyFont="1" applyFill="1" applyBorder="1" applyAlignment="1">
      <alignment horizontal="center"/>
    </xf>
    <xf numFmtId="164" fontId="4" fillId="0" borderId="86" xfId="2" applyNumberFormat="1" applyFont="1" applyFill="1" applyBorder="1" applyAlignment="1">
      <alignment horizontal="center"/>
    </xf>
    <xf numFmtId="0" fontId="5" fillId="0" borderId="0" xfId="0" applyFont="1" applyFill="1"/>
    <xf numFmtId="3" fontId="1" fillId="0" borderId="13" xfId="1" applyNumberFormat="1" applyFont="1" applyFill="1" applyBorder="1" applyAlignment="1">
      <alignment horizontal="center"/>
    </xf>
    <xf numFmtId="1" fontId="1" fillId="0" borderId="23" xfId="2" applyNumberFormat="1" applyFont="1" applyFill="1" applyBorder="1" applyAlignment="1">
      <alignment horizontal="center"/>
    </xf>
    <xf numFmtId="10" fontId="1" fillId="0" borderId="22" xfId="2" applyFont="1" applyFill="1" applyBorder="1" applyAlignment="1">
      <alignment horizontal="center"/>
    </xf>
    <xf numFmtId="10" fontId="1" fillId="0" borderId="24" xfId="2" applyFont="1" applyFill="1" applyBorder="1" applyAlignment="1">
      <alignment horizontal="center"/>
    </xf>
    <xf numFmtId="1" fontId="1" fillId="0" borderId="7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right"/>
    </xf>
    <xf numFmtId="1" fontId="1" fillId="0" borderId="33" xfId="2" applyNumberFormat="1" applyFont="1" applyFill="1" applyBorder="1" applyAlignment="1">
      <alignment horizontal="center"/>
    </xf>
    <xf numFmtId="10" fontId="1" fillId="0" borderId="32" xfId="2" applyFont="1" applyFill="1" applyBorder="1" applyAlignment="1">
      <alignment horizontal="center"/>
    </xf>
    <xf numFmtId="10" fontId="1" fillId="0" borderId="34" xfId="2" applyFont="1" applyFill="1" applyBorder="1" applyAlignment="1">
      <alignment horizontal="center"/>
    </xf>
    <xf numFmtId="1" fontId="1" fillId="0" borderId="85" xfId="0" applyNumberFormat="1" applyFont="1" applyFill="1" applyBorder="1" applyAlignment="1">
      <alignment horizontal="center"/>
    </xf>
    <xf numFmtId="0" fontId="3" fillId="0" borderId="37" xfId="3" applyFont="1" applyFill="1" applyBorder="1"/>
    <xf numFmtId="0" fontId="0" fillId="0" borderId="13" xfId="0" applyFill="1" applyBorder="1" applyAlignment="1">
      <alignment horizontal="center"/>
    </xf>
    <xf numFmtId="164" fontId="1" fillId="0" borderId="52" xfId="4" applyNumberFormat="1" applyFont="1" applyFill="1" applyBorder="1"/>
    <xf numFmtId="164" fontId="1" fillId="0" borderId="53" xfId="4" applyNumberFormat="1" applyFont="1" applyFill="1" applyBorder="1"/>
    <xf numFmtId="164" fontId="1" fillId="0" borderId="40" xfId="4" applyNumberFormat="1" applyFont="1" applyFill="1" applyBorder="1"/>
    <xf numFmtId="164" fontId="1" fillId="0" borderId="43" xfId="4" applyNumberFormat="1" applyFont="1" applyFill="1" applyBorder="1"/>
    <xf numFmtId="164" fontId="1" fillId="0" borderId="13" xfId="3" applyNumberFormat="1" applyFont="1" applyFill="1" applyBorder="1"/>
    <xf numFmtId="1" fontId="1" fillId="0" borderId="47" xfId="0" applyNumberFormat="1" applyFont="1" applyFill="1" applyBorder="1"/>
    <xf numFmtId="164" fontId="1" fillId="0" borderId="43" xfId="0" applyNumberFormat="1" applyFont="1" applyFill="1" applyBorder="1"/>
    <xf numFmtId="164" fontId="1" fillId="0" borderId="44" xfId="4" applyNumberFormat="1" applyFont="1" applyFill="1" applyBorder="1"/>
    <xf numFmtId="164" fontId="1" fillId="0" borderId="28" xfId="4" applyNumberFormat="1" applyFont="1" applyFill="1" applyBorder="1"/>
    <xf numFmtId="1" fontId="1" fillId="0" borderId="55" xfId="0" applyNumberFormat="1" applyFont="1" applyFill="1" applyBorder="1"/>
    <xf numFmtId="164" fontId="1" fillId="0" borderId="56" xfId="0" applyNumberFormat="1" applyFont="1" applyFill="1" applyBorder="1"/>
    <xf numFmtId="0" fontId="1" fillId="0" borderId="30" xfId="3" applyFont="1" applyFill="1" applyBorder="1"/>
    <xf numFmtId="0" fontId="1" fillId="0" borderId="26" xfId="0" applyFont="1" applyFill="1" applyBorder="1" applyAlignment="1">
      <alignment horizontal="right"/>
    </xf>
    <xf numFmtId="0" fontId="8" fillId="0" borderId="0" xfId="0" applyFont="1"/>
    <xf numFmtId="0" fontId="3" fillId="3" borderId="52" xfId="0" applyFont="1" applyFill="1" applyBorder="1" applyAlignment="1">
      <alignment horizontal="center"/>
    </xf>
    <xf numFmtId="10" fontId="3" fillId="3" borderId="53" xfId="2" applyFont="1" applyFill="1" applyBorder="1" applyAlignment="1">
      <alignment horizontal="center"/>
    </xf>
    <xf numFmtId="10" fontId="3" fillId="3" borderId="25" xfId="2" applyFont="1" applyFill="1" applyBorder="1" applyAlignment="1">
      <alignment horizontal="center"/>
    </xf>
    <xf numFmtId="0" fontId="1" fillId="0" borderId="29" xfId="0" applyFont="1" applyBorder="1"/>
    <xf numFmtId="0" fontId="3" fillId="0" borderId="79" xfId="0" applyFont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3" fillId="0" borderId="42" xfId="0" applyFont="1" applyBorder="1" applyAlignment="1">
      <alignment horizontal="right"/>
    </xf>
    <xf numFmtId="0" fontId="1" fillId="0" borderId="42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63" xfId="0" applyFont="1" applyBorder="1" applyAlignment="1">
      <alignment horizontal="right"/>
    </xf>
    <xf numFmtId="0" fontId="1" fillId="0" borderId="63" xfId="0" applyFont="1" applyBorder="1" applyAlignment="1">
      <alignment horizontal="center"/>
    </xf>
    <xf numFmtId="0" fontId="3" fillId="0" borderId="63" xfId="0" applyFont="1" applyBorder="1" applyAlignment="1">
      <alignment horizontal="right"/>
    </xf>
    <xf numFmtId="0" fontId="1" fillId="3" borderId="102" xfId="0" applyFont="1" applyFill="1" applyBorder="1" applyAlignment="1">
      <alignment horizontal="right"/>
    </xf>
    <xf numFmtId="0" fontId="1" fillId="3" borderId="103" xfId="0" applyFont="1" applyFill="1" applyBorder="1" applyAlignment="1">
      <alignment horizontal="center"/>
    </xf>
    <xf numFmtId="0" fontId="1" fillId="3" borderId="95" xfId="0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left"/>
    </xf>
    <xf numFmtId="0" fontId="3" fillId="3" borderId="40" xfId="0" applyFont="1" applyFill="1" applyBorder="1" applyAlignment="1">
      <alignment horizontal="center"/>
    </xf>
    <xf numFmtId="10" fontId="3" fillId="3" borderId="41" xfId="2" applyFont="1" applyFill="1" applyBorder="1" applyAlignment="1">
      <alignment horizontal="center"/>
    </xf>
    <xf numFmtId="10" fontId="3" fillId="3" borderId="43" xfId="2" applyFont="1" applyFill="1" applyBorder="1" applyAlignment="1">
      <alignment horizontal="center"/>
    </xf>
    <xf numFmtId="164" fontId="1" fillId="0" borderId="40" xfId="0" applyNumberFormat="1" applyFont="1" applyBorder="1" applyAlignment="1">
      <alignment horizontal="right"/>
    </xf>
    <xf numFmtId="164" fontId="1" fillId="0" borderId="41" xfId="2" applyNumberFormat="1" applyFont="1" applyBorder="1" applyAlignment="1">
      <alignment horizontal="right"/>
    </xf>
    <xf numFmtId="164" fontId="6" fillId="0" borderId="44" xfId="2" applyNumberFormat="1" applyFont="1" applyFill="1" applyBorder="1" applyAlignment="1">
      <alignment horizontal="right"/>
    </xf>
    <xf numFmtId="164" fontId="6" fillId="0" borderId="63" xfId="2" applyNumberFormat="1" applyFont="1" applyFill="1" applyBorder="1" applyAlignment="1">
      <alignment horizontal="right"/>
    </xf>
    <xf numFmtId="164" fontId="4" fillId="0" borderId="87" xfId="2" applyNumberFormat="1" applyFont="1" applyFill="1" applyBorder="1" applyAlignment="1">
      <alignment horizontal="center"/>
    </xf>
    <xf numFmtId="3" fontId="1" fillId="0" borderId="104" xfId="1" applyNumberFormat="1" applyFont="1" applyFill="1" applyBorder="1" applyAlignment="1">
      <alignment horizontal="center"/>
    </xf>
    <xf numFmtId="0" fontId="1" fillId="0" borderId="94" xfId="0" applyFont="1" applyFill="1" applyBorder="1" applyAlignment="1">
      <alignment horizontal="right"/>
    </xf>
    <xf numFmtId="1" fontId="1" fillId="0" borderId="67" xfId="2" applyNumberFormat="1" applyFont="1" applyFill="1" applyBorder="1" applyAlignment="1">
      <alignment horizontal="center"/>
    </xf>
    <xf numFmtId="10" fontId="1" fillId="0" borderId="68" xfId="2" applyFont="1" applyFill="1" applyBorder="1" applyAlignment="1">
      <alignment horizontal="center"/>
    </xf>
    <xf numFmtId="10" fontId="1" fillId="0" borderId="69" xfId="2" applyFont="1" applyFill="1" applyBorder="1" applyAlignment="1">
      <alignment horizontal="center"/>
    </xf>
    <xf numFmtId="1" fontId="1" fillId="0" borderId="11" xfId="2" applyNumberFormat="1" applyFont="1" applyFill="1" applyBorder="1" applyAlignment="1">
      <alignment horizontal="center"/>
    </xf>
    <xf numFmtId="10" fontId="1" fillId="0" borderId="9" xfId="2" applyFont="1" applyFill="1" applyBorder="1" applyAlignment="1">
      <alignment horizontal="center"/>
    </xf>
    <xf numFmtId="10" fontId="1" fillId="0" borderId="12" xfId="2" applyFont="1" applyFill="1" applyBorder="1" applyAlignment="1">
      <alignment horizontal="center"/>
    </xf>
    <xf numFmtId="0" fontId="1" fillId="0" borderId="97" xfId="0" applyFont="1" applyBorder="1"/>
    <xf numFmtId="164" fontId="1" fillId="0" borderId="106" xfId="0" applyNumberFormat="1" applyFont="1" applyBorder="1" applyAlignment="1">
      <alignment horizontal="right"/>
    </xf>
    <xf numFmtId="164" fontId="1" fillId="0" borderId="107" xfId="2" applyNumberFormat="1" applyFont="1" applyBorder="1" applyAlignment="1">
      <alignment horizontal="right"/>
    </xf>
    <xf numFmtId="164" fontId="6" fillId="0" borderId="108" xfId="2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3" borderId="40" xfId="0" applyFont="1" applyFill="1" applyBorder="1" applyAlignment="1">
      <alignment horizontal="right"/>
    </xf>
    <xf numFmtId="0" fontId="1" fillId="3" borderId="41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164" fontId="6" fillId="0" borderId="110" xfId="2" applyNumberFormat="1" applyFont="1" applyFill="1" applyBorder="1" applyAlignment="1">
      <alignment horizontal="right"/>
    </xf>
    <xf numFmtId="0" fontId="0" fillId="0" borderId="0" xfId="0" applyAlignment="1"/>
    <xf numFmtId="164" fontId="1" fillId="0" borderId="24" xfId="2" applyNumberFormat="1" applyFont="1" applyFill="1" applyBorder="1" applyAlignment="1">
      <alignment horizontal="center"/>
    </xf>
    <xf numFmtId="0" fontId="3" fillId="0" borderId="113" xfId="0" applyFont="1" applyFill="1" applyBorder="1" applyAlignment="1">
      <alignment horizontal="center"/>
    </xf>
    <xf numFmtId="0" fontId="1" fillId="0" borderId="112" xfId="0" applyFont="1" applyBorder="1"/>
    <xf numFmtId="3" fontId="1" fillId="0" borderId="14" xfId="0" applyNumberFormat="1" applyFont="1" applyBorder="1"/>
    <xf numFmtId="3" fontId="3" fillId="0" borderId="83" xfId="0" applyNumberFormat="1" applyFont="1" applyBorder="1"/>
    <xf numFmtId="3" fontId="3" fillId="0" borderId="96" xfId="1" applyNumberFormat="1" applyFont="1" applyFill="1" applyBorder="1" applyAlignment="1">
      <alignment horizontal="center"/>
    </xf>
    <xf numFmtId="0" fontId="3" fillId="0" borderId="111" xfId="0" applyFon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3" fontId="3" fillId="0" borderId="27" xfId="1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7" xfId="0" applyFont="1" applyBorder="1"/>
    <xf numFmtId="0" fontId="1" fillId="0" borderId="8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9" xfId="0" applyFont="1" applyFill="1" applyBorder="1"/>
    <xf numFmtId="0" fontId="1" fillId="0" borderId="12" xfId="0" applyFont="1" applyFill="1" applyBorder="1"/>
    <xf numFmtId="1" fontId="1" fillId="0" borderId="27" xfId="0" applyNumberFormat="1" applyFont="1" applyBorder="1"/>
    <xf numFmtId="1" fontId="1" fillId="0" borderId="28" xfId="0" applyNumberFormat="1" applyFont="1" applyBorder="1"/>
    <xf numFmtId="1" fontId="1" fillId="0" borderId="26" xfId="0" applyNumberFormat="1" applyFont="1" applyFill="1" applyBorder="1" applyAlignment="1">
      <alignment horizontal="right"/>
    </xf>
    <xf numFmtId="1" fontId="1" fillId="0" borderId="8" xfId="0" applyNumberFormat="1" applyFont="1" applyFill="1" applyBorder="1" applyAlignment="1">
      <alignment horizontal="right"/>
    </xf>
    <xf numFmtId="1" fontId="1" fillId="2" borderId="10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  <xf numFmtId="1" fontId="1" fillId="2" borderId="9" xfId="0" applyNumberFormat="1" applyFont="1" applyFill="1" applyBorder="1" applyAlignment="1">
      <alignment horizontal="right"/>
    </xf>
    <xf numFmtId="3" fontId="6" fillId="2" borderId="41" xfId="6" applyNumberFormat="1" applyFont="1" applyFill="1" applyBorder="1" applyAlignment="1">
      <alignment horizontal="right"/>
    </xf>
    <xf numFmtId="1" fontId="1" fillId="4" borderId="8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1" fontId="0" fillId="0" borderId="0" xfId="0" applyNumberFormat="1"/>
    <xf numFmtId="1" fontId="1" fillId="0" borderId="28" xfId="0" applyNumberFormat="1" applyFont="1" applyFill="1" applyBorder="1"/>
    <xf numFmtId="1" fontId="1" fillId="0" borderId="29" xfId="0" applyNumberFormat="1" applyFont="1" applyFill="1" applyBorder="1" applyAlignment="1">
      <alignment horizontal="right"/>
    </xf>
    <xf numFmtId="1" fontId="1" fillId="0" borderId="115" xfId="0" applyNumberFormat="1" applyFont="1" applyFill="1" applyBorder="1" applyAlignment="1">
      <alignment horizontal="right"/>
    </xf>
    <xf numFmtId="1" fontId="1" fillId="2" borderId="116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1" fillId="2" borderId="16" xfId="0" applyNumberFormat="1" applyFont="1" applyFill="1" applyBorder="1" applyAlignment="1">
      <alignment horizontal="right"/>
    </xf>
    <xf numFmtId="3" fontId="6" fillId="2" borderId="45" xfId="6" applyNumberFormat="1" applyFont="1" applyFill="1" applyBorder="1" applyAlignment="1">
      <alignment horizontal="right"/>
    </xf>
    <xf numFmtId="1" fontId="1" fillId="2" borderId="18" xfId="0" applyNumberFormat="1" applyFont="1" applyFill="1" applyBorder="1" applyAlignment="1">
      <alignment horizontal="right"/>
    </xf>
    <xf numFmtId="1" fontId="3" fillId="0" borderId="117" xfId="0" applyNumberFormat="1" applyFont="1" applyFill="1" applyBorder="1" applyAlignment="1">
      <alignment horizontal="right"/>
    </xf>
    <xf numFmtId="1" fontId="3" fillId="0" borderId="118" xfId="0" applyNumberFormat="1" applyFont="1" applyBorder="1" applyAlignment="1">
      <alignment horizontal="right"/>
    </xf>
    <xf numFmtId="1" fontId="3" fillId="0" borderId="87" xfId="0" applyNumberFormat="1" applyFont="1" applyBorder="1" applyAlignment="1">
      <alignment horizontal="right"/>
    </xf>
    <xf numFmtId="0" fontId="3" fillId="0" borderId="52" xfId="0" applyFont="1" applyFill="1" applyBorder="1" applyAlignment="1">
      <alignment horizontal="center"/>
    </xf>
    <xf numFmtId="1" fontId="1" fillId="0" borderId="44" xfId="0" applyNumberFormat="1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45" xfId="0" applyNumberFormat="1" applyFont="1" applyFill="1" applyBorder="1"/>
    <xf numFmtId="0" fontId="1" fillId="0" borderId="55" xfId="0" applyFont="1" applyBorder="1"/>
    <xf numFmtId="3" fontId="1" fillId="0" borderId="46" xfId="0" applyNumberFormat="1" applyFont="1" applyFill="1" applyBorder="1"/>
    <xf numFmtId="0" fontId="1" fillId="4" borderId="63" xfId="0" applyFont="1" applyFill="1" applyBorder="1"/>
    <xf numFmtId="3" fontId="1" fillId="0" borderId="11" xfId="1" applyNumberFormat="1" applyFont="1" applyFill="1" applyBorder="1" applyAlignment="1">
      <alignment horizontal="right"/>
    </xf>
    <xf numFmtId="3" fontId="1" fillId="0" borderId="8" xfId="1" applyNumberFormat="1" applyFont="1" applyFill="1" applyBorder="1" applyAlignment="1">
      <alignment horizontal="right"/>
    </xf>
    <xf numFmtId="3" fontId="1" fillId="0" borderId="33" xfId="1" applyNumberFormat="1" applyFont="1" applyFill="1" applyBorder="1" applyAlignment="1">
      <alignment horizontal="right"/>
    </xf>
    <xf numFmtId="3" fontId="1" fillId="0" borderId="31" xfId="1" applyNumberFormat="1" applyFont="1" applyFill="1" applyBorder="1" applyAlignment="1">
      <alignment horizontal="right"/>
    </xf>
    <xf numFmtId="0" fontId="10" fillId="0" borderId="26" xfId="0" applyFont="1" applyFill="1" applyBorder="1"/>
    <xf numFmtId="1" fontId="3" fillId="0" borderId="122" xfId="0" applyNumberFormat="1" applyFont="1" applyBorder="1" applyAlignment="1">
      <alignment horizontal="right"/>
    </xf>
    <xf numFmtId="1" fontId="1" fillId="0" borderId="94" xfId="0" applyNumberFormat="1" applyFont="1" applyFill="1" applyBorder="1" applyAlignment="1">
      <alignment horizontal="right"/>
    </xf>
    <xf numFmtId="0" fontId="1" fillId="0" borderId="67" xfId="0" applyFont="1" applyFill="1" applyBorder="1"/>
    <xf numFmtId="0" fontId="1" fillId="0" borderId="66" xfId="0" applyFont="1" applyFill="1" applyBorder="1"/>
    <xf numFmtId="0" fontId="1" fillId="0" borderId="68" xfId="0" applyFont="1" applyFill="1" applyBorder="1"/>
    <xf numFmtId="0" fontId="1" fillId="0" borderId="65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15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1" fillId="0" borderId="12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10" fontId="3" fillId="0" borderId="53" xfId="2" applyFont="1" applyFill="1" applyBorder="1" applyAlignment="1">
      <alignment horizontal="center"/>
    </xf>
    <xf numFmtId="10" fontId="3" fillId="0" borderId="52" xfId="2" applyFont="1" applyFill="1" applyBorder="1" applyAlignment="1">
      <alignment horizontal="center"/>
    </xf>
    <xf numFmtId="10" fontId="3" fillId="0" borderId="25" xfId="2" applyFont="1" applyFill="1" applyBorder="1" applyAlignment="1">
      <alignment horizontal="center"/>
    </xf>
    <xf numFmtId="10" fontId="0" fillId="0" borderId="0" xfId="2" applyFont="1"/>
    <xf numFmtId="10" fontId="1" fillId="0" borderId="40" xfId="2" applyFont="1" applyBorder="1" applyAlignment="1">
      <alignment horizontal="right"/>
    </xf>
    <xf numFmtId="10" fontId="1" fillId="0" borderId="41" xfId="2" applyFont="1" applyBorder="1" applyAlignment="1">
      <alignment horizontal="right"/>
    </xf>
    <xf numFmtId="10" fontId="1" fillId="0" borderId="44" xfId="2" applyFont="1" applyBorder="1" applyAlignment="1">
      <alignment horizontal="right"/>
    </xf>
    <xf numFmtId="10" fontId="1" fillId="0" borderId="45" xfId="2" applyFont="1" applyBorder="1" applyAlignment="1">
      <alignment horizontal="right"/>
    </xf>
    <xf numFmtId="0" fontId="1" fillId="5" borderId="8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9" xfId="0" applyFont="1" applyFill="1" applyBorder="1"/>
    <xf numFmtId="0" fontId="10" fillId="0" borderId="26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6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5" borderId="33" xfId="0" applyFont="1" applyFill="1" applyBorder="1"/>
    <xf numFmtId="0" fontId="1" fillId="5" borderId="32" xfId="0" applyFont="1" applyFill="1" applyBorder="1" applyAlignment="1">
      <alignment horizontal="right"/>
    </xf>
    <xf numFmtId="0" fontId="1" fillId="5" borderId="31" xfId="0" applyFont="1" applyFill="1" applyBorder="1"/>
    <xf numFmtId="0" fontId="1" fillId="7" borderId="32" xfId="0" applyFont="1" applyFill="1" applyBorder="1" applyAlignment="1">
      <alignment horizontal="right"/>
    </xf>
    <xf numFmtId="0" fontId="1" fillId="0" borderId="31" xfId="0" applyFont="1" applyFill="1" applyBorder="1"/>
    <xf numFmtId="1" fontId="1" fillId="0" borderId="33" xfId="0" applyNumberFormat="1" applyFont="1" applyFill="1" applyBorder="1" applyAlignment="1">
      <alignment horizontal="right"/>
    </xf>
    <xf numFmtId="1" fontId="3" fillId="5" borderId="18" xfId="0" applyNumberFormat="1" applyFont="1" applyFill="1" applyBorder="1" applyAlignment="1">
      <alignment horizontal="right"/>
    </xf>
    <xf numFmtId="0" fontId="1" fillId="0" borderId="67" xfId="0" applyFont="1" applyFill="1" applyBorder="1" applyAlignment="1">
      <alignment horizontal="right"/>
    </xf>
    <xf numFmtId="0" fontId="1" fillId="0" borderId="66" xfId="0" applyFont="1" applyFill="1" applyBorder="1" applyAlignment="1">
      <alignment horizontal="right"/>
    </xf>
    <xf numFmtId="0" fontId="1" fillId="0" borderId="65" xfId="0" applyFont="1" applyFill="1" applyBorder="1" applyAlignment="1">
      <alignment horizontal="right"/>
    </xf>
    <xf numFmtId="0" fontId="1" fillId="5" borderId="67" xfId="0" applyFont="1" applyFill="1" applyBorder="1" applyAlignment="1">
      <alignment horizontal="right"/>
    </xf>
    <xf numFmtId="0" fontId="1" fillId="5" borderId="68" xfId="0" applyFont="1" applyFill="1" applyBorder="1" applyAlignment="1">
      <alignment horizontal="right"/>
    </xf>
    <xf numFmtId="0" fontId="1" fillId="5" borderId="65" xfId="0" applyFont="1" applyFill="1" applyBorder="1" applyAlignment="1">
      <alignment horizontal="right"/>
    </xf>
    <xf numFmtId="0" fontId="1" fillId="7" borderId="67" xfId="0" applyFont="1" applyFill="1" applyBorder="1" applyAlignment="1">
      <alignment horizontal="right"/>
    </xf>
    <xf numFmtId="0" fontId="1" fillId="7" borderId="66" xfId="0" applyFont="1" applyFill="1" applyBorder="1" applyAlignment="1">
      <alignment horizontal="right"/>
    </xf>
    <xf numFmtId="0" fontId="1" fillId="7" borderId="68" xfId="0" applyFont="1" applyFill="1" applyBorder="1" applyAlignment="1">
      <alignment horizontal="right"/>
    </xf>
    <xf numFmtId="1" fontId="3" fillId="0" borderId="126" xfId="0" applyNumberFormat="1" applyFont="1" applyBorder="1" applyAlignment="1">
      <alignment horizontal="right"/>
    </xf>
    <xf numFmtId="0" fontId="1" fillId="6" borderId="17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left"/>
    </xf>
    <xf numFmtId="0" fontId="1" fillId="0" borderId="71" xfId="0" applyFont="1" applyFill="1" applyBorder="1" applyAlignment="1">
      <alignment horizontal="right"/>
    </xf>
    <xf numFmtId="1" fontId="1" fillId="0" borderId="26" xfId="0" applyNumberFormat="1" applyFont="1" applyFill="1" applyBorder="1" applyAlignment="1">
      <alignment horizontal="right" wrapText="1"/>
    </xf>
    <xf numFmtId="0" fontId="1" fillId="7" borderId="33" xfId="0" applyFont="1" applyFill="1" applyBorder="1"/>
    <xf numFmtId="0" fontId="1" fillId="7" borderId="32" xfId="0" applyFont="1" applyFill="1" applyBorder="1"/>
    <xf numFmtId="0" fontId="1" fillId="7" borderId="31" xfId="0" applyFont="1" applyFill="1" applyBorder="1"/>
    <xf numFmtId="0" fontId="1" fillId="0" borderId="32" xfId="0" applyFont="1" applyFill="1" applyBorder="1"/>
    <xf numFmtId="0" fontId="1" fillId="0" borderId="29" xfId="0" applyFont="1" applyFill="1" applyBorder="1" applyAlignment="1">
      <alignment horizontal="right"/>
    </xf>
    <xf numFmtId="0" fontId="1" fillId="0" borderId="89" xfId="0" applyFont="1" applyFill="1" applyBorder="1" applyAlignment="1">
      <alignment horizontal="right"/>
    </xf>
    <xf numFmtId="0" fontId="1" fillId="0" borderId="127" xfId="0" applyFont="1" applyFill="1" applyBorder="1" applyAlignment="1">
      <alignment horizontal="right"/>
    </xf>
    <xf numFmtId="0" fontId="1" fillId="0" borderId="73" xfId="0" applyFont="1" applyFill="1" applyBorder="1" applyAlignment="1">
      <alignment horizontal="right"/>
    </xf>
    <xf numFmtId="0" fontId="1" fillId="0" borderId="128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left"/>
    </xf>
    <xf numFmtId="0" fontId="1" fillId="4" borderId="0" xfId="0" applyFont="1" applyFill="1"/>
    <xf numFmtId="0" fontId="3" fillId="4" borderId="67" xfId="0" applyFont="1" applyFill="1" applyBorder="1" applyAlignment="1">
      <alignment horizontal="center"/>
    </xf>
    <xf numFmtId="0" fontId="3" fillId="4" borderId="66" xfId="0" applyFont="1" applyFill="1" applyBorder="1" applyAlignment="1">
      <alignment horizontal="center"/>
    </xf>
    <xf numFmtId="0" fontId="3" fillId="4" borderId="68" xfId="0" applyFont="1" applyFill="1" applyBorder="1" applyAlignment="1">
      <alignment horizontal="center"/>
    </xf>
    <xf numFmtId="0" fontId="3" fillId="4" borderId="65" xfId="0" applyFont="1" applyFill="1" applyBorder="1" applyAlignment="1">
      <alignment horizontal="center"/>
    </xf>
    <xf numFmtId="0" fontId="3" fillId="4" borderId="69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164" fontId="1" fillId="4" borderId="10" xfId="2" applyNumberFormat="1" applyFont="1" applyFill="1" applyBorder="1" applyAlignment="1">
      <alignment horizontal="right"/>
    </xf>
    <xf numFmtId="164" fontId="1" fillId="4" borderId="9" xfId="2" applyNumberFormat="1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1" fillId="4" borderId="46" xfId="0" applyFont="1" applyFill="1" applyBorder="1" applyAlignment="1">
      <alignment horizontal="right"/>
    </xf>
    <xf numFmtId="164" fontId="1" fillId="4" borderId="12" xfId="2" applyNumberFormat="1" applyFont="1" applyFill="1" applyBorder="1" applyAlignment="1">
      <alignment horizontal="right"/>
    </xf>
    <xf numFmtId="0" fontId="1" fillId="4" borderId="58" xfId="0" applyFont="1" applyFill="1" applyBorder="1"/>
    <xf numFmtId="1" fontId="1" fillId="4" borderId="70" xfId="0" applyNumberFormat="1" applyFont="1" applyFill="1" applyBorder="1"/>
    <xf numFmtId="164" fontId="1" fillId="4" borderId="12" xfId="0" applyNumberFormat="1" applyFont="1" applyFill="1" applyBorder="1"/>
    <xf numFmtId="0" fontId="1" fillId="4" borderId="29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0" fontId="1" fillId="4" borderId="115" xfId="0" applyFont="1" applyFill="1" applyBorder="1" applyAlignment="1">
      <alignment horizontal="right"/>
    </xf>
    <xf numFmtId="0" fontId="1" fillId="4" borderId="63" xfId="0" applyFont="1" applyFill="1" applyBorder="1" applyAlignment="1">
      <alignment horizontal="right"/>
    </xf>
    <xf numFmtId="3" fontId="1" fillId="4" borderId="44" xfId="1" applyNumberFormat="1" applyFont="1" applyFill="1" applyBorder="1" applyAlignment="1">
      <alignment horizontal="right"/>
    </xf>
    <xf numFmtId="3" fontId="1" fillId="4" borderId="11" xfId="1" applyNumberFormat="1" applyFont="1" applyFill="1" applyBorder="1" applyAlignment="1">
      <alignment horizontal="right"/>
    </xf>
    <xf numFmtId="3" fontId="1" fillId="4" borderId="8" xfId="1" applyNumberFormat="1" applyFont="1" applyFill="1" applyBorder="1" applyAlignment="1">
      <alignment horizontal="right"/>
    </xf>
    <xf numFmtId="3" fontId="1" fillId="4" borderId="46" xfId="1" applyNumberFormat="1" applyFont="1" applyFill="1" applyBorder="1" applyAlignment="1">
      <alignment horizontal="right"/>
    </xf>
    <xf numFmtId="0" fontId="1" fillId="4" borderId="71" xfId="0" applyFont="1" applyFill="1" applyBorder="1" applyAlignment="1">
      <alignment horizontal="right"/>
    </xf>
    <xf numFmtId="3" fontId="1" fillId="4" borderId="33" xfId="1" applyNumberFormat="1" applyFont="1" applyFill="1" applyBorder="1" applyAlignment="1">
      <alignment horizontal="right"/>
    </xf>
    <xf numFmtId="164" fontId="1" fillId="4" borderId="121" xfId="2" applyNumberFormat="1" applyFont="1" applyFill="1" applyBorder="1" applyAlignment="1">
      <alignment horizontal="right"/>
    </xf>
    <xf numFmtId="164" fontId="1" fillId="4" borderId="32" xfId="2" applyNumberFormat="1" applyFont="1" applyFill="1" applyBorder="1" applyAlignment="1">
      <alignment horizontal="right"/>
    </xf>
    <xf numFmtId="3" fontId="1" fillId="4" borderId="31" xfId="1" applyNumberFormat="1" applyFont="1" applyFill="1" applyBorder="1" applyAlignment="1">
      <alignment horizontal="right"/>
    </xf>
    <xf numFmtId="164" fontId="1" fillId="4" borderId="34" xfId="2" applyNumberFormat="1" applyFont="1" applyFill="1" applyBorder="1" applyAlignment="1">
      <alignment horizontal="right"/>
    </xf>
    <xf numFmtId="1" fontId="1" fillId="4" borderId="85" xfId="0" applyNumberFormat="1" applyFont="1" applyFill="1" applyBorder="1"/>
    <xf numFmtId="164" fontId="1" fillId="4" borderId="34" xfId="0" applyNumberFormat="1" applyFont="1" applyFill="1" applyBorder="1"/>
    <xf numFmtId="0" fontId="3" fillId="4" borderId="37" xfId="3" applyFont="1" applyFill="1" applyBorder="1"/>
    <xf numFmtId="0" fontId="0" fillId="4" borderId="13" xfId="0" applyFill="1" applyBorder="1" applyAlignment="1">
      <alignment horizontal="center"/>
    </xf>
    <xf numFmtId="0" fontId="1" fillId="4" borderId="51" xfId="3" applyFont="1" applyFill="1" applyBorder="1"/>
    <xf numFmtId="164" fontId="1" fillId="4" borderId="52" xfId="4" applyNumberFormat="1" applyFont="1" applyFill="1" applyBorder="1"/>
    <xf numFmtId="164" fontId="1" fillId="4" borderId="53" xfId="4" applyNumberFormat="1" applyFont="1" applyFill="1" applyBorder="1"/>
    <xf numFmtId="164" fontId="1" fillId="4" borderId="40" xfId="4" applyNumberFormat="1" applyFont="1" applyFill="1" applyBorder="1"/>
    <xf numFmtId="164" fontId="1" fillId="4" borderId="41" xfId="4" applyNumberFormat="1" applyFont="1" applyFill="1" applyBorder="1"/>
    <xf numFmtId="164" fontId="1" fillId="4" borderId="42" xfId="4" applyNumberFormat="1" applyFont="1" applyFill="1" applyBorder="1"/>
    <xf numFmtId="164" fontId="1" fillId="4" borderId="43" xfId="4" applyNumberFormat="1" applyFont="1" applyFill="1" applyBorder="1"/>
    <xf numFmtId="164" fontId="1" fillId="4" borderId="13" xfId="3" applyNumberFormat="1" applyFont="1" applyFill="1" applyBorder="1"/>
    <xf numFmtId="1" fontId="1" fillId="4" borderId="47" xfId="0" applyNumberFormat="1" applyFont="1" applyFill="1" applyBorder="1"/>
    <xf numFmtId="164" fontId="1" fillId="4" borderId="43" xfId="0" applyNumberFormat="1" applyFont="1" applyFill="1" applyBorder="1"/>
    <xf numFmtId="0" fontId="1" fillId="4" borderId="54" xfId="3" applyFont="1" applyFill="1" applyBorder="1"/>
    <xf numFmtId="164" fontId="1" fillId="4" borderId="44" xfId="4" applyNumberFormat="1" applyFont="1" applyFill="1" applyBorder="1"/>
    <xf numFmtId="164" fontId="1" fillId="4" borderId="45" xfId="4" applyNumberFormat="1" applyFont="1" applyFill="1" applyBorder="1"/>
    <xf numFmtId="164" fontId="1" fillId="4" borderId="46" xfId="4" applyNumberFormat="1" applyFont="1" applyFill="1" applyBorder="1"/>
    <xf numFmtId="164" fontId="1" fillId="4" borderId="28" xfId="4" applyNumberFormat="1" applyFont="1" applyFill="1" applyBorder="1"/>
    <xf numFmtId="1" fontId="1" fillId="4" borderId="55" xfId="0" applyNumberFormat="1" applyFont="1" applyFill="1" applyBorder="1"/>
    <xf numFmtId="164" fontId="1" fillId="4" borderId="56" xfId="0" applyNumberFormat="1" applyFont="1" applyFill="1" applyBorder="1"/>
    <xf numFmtId="0" fontId="1" fillId="4" borderId="30" xfId="3" applyFont="1" applyFill="1" applyBorder="1"/>
    <xf numFmtId="0" fontId="0" fillId="4" borderId="0" xfId="0" applyFill="1"/>
    <xf numFmtId="3" fontId="3" fillId="4" borderId="76" xfId="1" applyNumberFormat="1" applyFont="1" applyFill="1" applyBorder="1" applyAlignment="1">
      <alignment horizontal="center"/>
    </xf>
    <xf numFmtId="164" fontId="3" fillId="4" borderId="77" xfId="2" applyNumberFormat="1" applyFont="1" applyFill="1" applyBorder="1" applyAlignment="1">
      <alignment horizontal="center"/>
    </xf>
    <xf numFmtId="164" fontId="3" fillId="4" borderId="86" xfId="2" applyNumberFormat="1" applyFont="1" applyFill="1" applyBorder="1" applyAlignment="1">
      <alignment horizontal="center"/>
    </xf>
    <xf numFmtId="0" fontId="2" fillId="4" borderId="0" xfId="0" applyFont="1" applyFill="1"/>
    <xf numFmtId="164" fontId="3" fillId="4" borderId="14" xfId="2" applyNumberFormat="1" applyFont="1" applyFill="1" applyBorder="1" applyAlignment="1">
      <alignment horizontal="center"/>
    </xf>
    <xf numFmtId="0" fontId="1" fillId="4" borderId="59" xfId="0" applyFont="1" applyFill="1" applyBorder="1" applyAlignment="1">
      <alignment horizontal="right"/>
    </xf>
    <xf numFmtId="1" fontId="1" fillId="4" borderId="23" xfId="2" applyNumberFormat="1" applyFont="1" applyFill="1" applyBorder="1" applyAlignment="1">
      <alignment horizontal="center"/>
    </xf>
    <xf numFmtId="10" fontId="1" fillId="4" borderId="22" xfId="2" applyFont="1" applyFill="1" applyBorder="1" applyAlignment="1">
      <alignment horizontal="center"/>
    </xf>
    <xf numFmtId="10" fontId="1" fillId="4" borderId="24" xfId="2" applyFont="1" applyFill="1" applyBorder="1" applyAlignment="1">
      <alignment horizontal="center"/>
    </xf>
    <xf numFmtId="1" fontId="1" fillId="4" borderId="70" xfId="0" applyNumberFormat="1" applyFont="1" applyFill="1" applyBorder="1" applyAlignment="1">
      <alignment horizontal="center"/>
    </xf>
    <xf numFmtId="0" fontId="1" fillId="4" borderId="30" xfId="0" applyFont="1" applyFill="1" applyBorder="1" applyAlignment="1">
      <alignment horizontal="right"/>
    </xf>
    <xf numFmtId="1" fontId="1" fillId="4" borderId="33" xfId="2" applyNumberFormat="1" applyFont="1" applyFill="1" applyBorder="1" applyAlignment="1">
      <alignment horizontal="center"/>
    </xf>
    <xf numFmtId="10" fontId="1" fillId="4" borderId="32" xfId="2" applyFont="1" applyFill="1" applyBorder="1" applyAlignment="1">
      <alignment horizontal="center"/>
    </xf>
    <xf numFmtId="10" fontId="1" fillId="4" borderId="34" xfId="2" applyFont="1" applyFill="1" applyBorder="1" applyAlignment="1">
      <alignment horizontal="center"/>
    </xf>
    <xf numFmtId="1" fontId="1" fillId="4" borderId="85" xfId="0" applyNumberFormat="1" applyFont="1" applyFill="1" applyBorder="1" applyAlignment="1">
      <alignment horizontal="center"/>
    </xf>
    <xf numFmtId="165" fontId="1" fillId="4" borderId="34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" fontId="3" fillId="4" borderId="37" xfId="0" applyNumberFormat="1" applyFont="1" applyFill="1" applyBorder="1" applyAlignment="1">
      <alignment horizontal="left"/>
    </xf>
    <xf numFmtId="0" fontId="3" fillId="4" borderId="52" xfId="0" applyFont="1" applyFill="1" applyBorder="1" applyAlignment="1">
      <alignment horizontal="center"/>
    </xf>
    <xf numFmtId="0" fontId="1" fillId="4" borderId="21" xfId="0" applyFont="1" applyFill="1" applyBorder="1"/>
    <xf numFmtId="1" fontId="1" fillId="4" borderId="40" xfId="0" applyNumberFormat="1" applyFont="1" applyFill="1" applyBorder="1" applyAlignment="1">
      <alignment horizontal="right"/>
    </xf>
    <xf numFmtId="0" fontId="1" fillId="4" borderId="26" xfId="0" applyFont="1" applyFill="1" applyBorder="1"/>
    <xf numFmtId="0" fontId="1" fillId="4" borderId="30" xfId="0" applyFont="1" applyFill="1" applyBorder="1" applyAlignment="1">
      <alignment horizontal="left"/>
    </xf>
    <xf numFmtId="0" fontId="1" fillId="4" borderId="48" xfId="0" applyFont="1" applyFill="1" applyBorder="1" applyAlignment="1">
      <alignment horizontal="right"/>
    </xf>
    <xf numFmtId="0" fontId="1" fillId="4" borderId="49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left"/>
    </xf>
    <xf numFmtId="0" fontId="1" fillId="4" borderId="81" xfId="0" applyFont="1" applyFill="1" applyBorder="1" applyAlignment="1">
      <alignment horizontal="right"/>
    </xf>
    <xf numFmtId="0" fontId="1" fillId="4" borderId="82" xfId="0" applyFont="1" applyFill="1" applyBorder="1" applyAlignment="1">
      <alignment horizontal="center"/>
    </xf>
    <xf numFmtId="3" fontId="3" fillId="4" borderId="120" xfId="1" applyNumberFormat="1" applyFont="1" applyFill="1" applyBorder="1" applyAlignment="1">
      <alignment horizontal="center"/>
    </xf>
    <xf numFmtId="10" fontId="3" fillId="4" borderId="53" xfId="2" applyFont="1" applyFill="1" applyBorder="1" applyAlignment="1">
      <alignment horizontal="center"/>
    </xf>
    <xf numFmtId="10" fontId="3" fillId="4" borderId="52" xfId="2" applyFont="1" applyFill="1" applyBorder="1" applyAlignment="1">
      <alignment horizontal="center"/>
    </xf>
    <xf numFmtId="10" fontId="3" fillId="4" borderId="25" xfId="2" applyFont="1" applyFill="1" applyBorder="1" applyAlignment="1">
      <alignment horizontal="center"/>
    </xf>
    <xf numFmtId="10" fontId="0" fillId="4" borderId="0" xfId="2" applyFont="1" applyFill="1"/>
    <xf numFmtId="10" fontId="1" fillId="4" borderId="12" xfId="2" applyFont="1" applyFill="1" applyBorder="1" applyAlignment="1">
      <alignment horizontal="center"/>
    </xf>
    <xf numFmtId="0" fontId="1" fillId="5" borderId="127" xfId="0" applyFont="1" applyFill="1" applyBorder="1" applyAlignment="1">
      <alignment horizontal="right"/>
    </xf>
    <xf numFmtId="0" fontId="1" fillId="0" borderId="88" xfId="0" applyFont="1" applyFill="1" applyBorder="1" applyAlignment="1">
      <alignment horizontal="right"/>
    </xf>
    <xf numFmtId="0" fontId="1" fillId="8" borderId="130" xfId="0" applyFont="1" applyFill="1" applyBorder="1" applyAlignment="1">
      <alignment horizontal="right"/>
    </xf>
    <xf numFmtId="0" fontId="1" fillId="0" borderId="131" xfId="0" applyFont="1" applyFill="1" applyBorder="1" applyAlignment="1">
      <alignment horizontal="right"/>
    </xf>
    <xf numFmtId="0" fontId="1" fillId="0" borderId="74" xfId="0" applyFont="1" applyFill="1" applyBorder="1" applyAlignment="1">
      <alignment horizontal="right"/>
    </xf>
    <xf numFmtId="0" fontId="1" fillId="5" borderId="89" xfId="0" applyFont="1" applyFill="1" applyBorder="1" applyAlignment="1">
      <alignment horizontal="right"/>
    </xf>
    <xf numFmtId="0" fontId="1" fillId="5" borderId="128" xfId="0" applyFont="1" applyFill="1" applyBorder="1" applyAlignment="1">
      <alignment horizontal="right"/>
    </xf>
    <xf numFmtId="0" fontId="3" fillId="4" borderId="37" xfId="0" applyFont="1" applyFill="1" applyBorder="1"/>
    <xf numFmtId="0" fontId="1" fillId="4" borderId="46" xfId="0" applyFont="1" applyFill="1" applyBorder="1"/>
    <xf numFmtId="0" fontId="1" fillId="4" borderId="44" xfId="0" applyFont="1" applyFill="1" applyBorder="1"/>
    <xf numFmtId="3" fontId="1" fillId="4" borderId="45" xfId="1" applyNumberFormat="1" applyFont="1" applyFill="1" applyBorder="1" applyAlignment="1">
      <alignment horizontal="right"/>
    </xf>
    <xf numFmtId="3" fontId="1" fillId="4" borderId="28" xfId="1" applyNumberFormat="1" applyFont="1" applyFill="1" applyBorder="1" applyAlignment="1">
      <alignment horizontal="right"/>
    </xf>
    <xf numFmtId="0" fontId="1" fillId="4" borderId="47" xfId="0" applyFont="1" applyFill="1" applyBorder="1"/>
    <xf numFmtId="3" fontId="1" fillId="4" borderId="43" xfId="0" applyNumberFormat="1" applyFont="1" applyFill="1" applyBorder="1"/>
    <xf numFmtId="0" fontId="1" fillId="4" borderId="27" xfId="0" applyFont="1" applyFill="1" applyBorder="1"/>
    <xf numFmtId="3" fontId="1" fillId="4" borderId="46" xfId="0" applyNumberFormat="1" applyFont="1" applyFill="1" applyBorder="1"/>
    <xf numFmtId="3" fontId="1" fillId="4" borderId="45" xfId="0" applyNumberFormat="1" applyFont="1" applyFill="1" applyBorder="1"/>
    <xf numFmtId="3" fontId="1" fillId="4" borderId="56" xfId="0" applyNumberFormat="1" applyFont="1" applyFill="1" applyBorder="1"/>
    <xf numFmtId="0" fontId="3" fillId="4" borderId="80" xfId="0" applyFont="1" applyFill="1" applyBorder="1"/>
    <xf numFmtId="3" fontId="3" fillId="4" borderId="80" xfId="0" applyNumberFormat="1" applyFont="1" applyFill="1" applyBorder="1"/>
    <xf numFmtId="0" fontId="3" fillId="4" borderId="81" xfId="0" applyFont="1" applyFill="1" applyBorder="1"/>
    <xf numFmtId="3" fontId="3" fillId="4" borderId="82" xfId="0" applyNumberFormat="1" applyFont="1" applyFill="1" applyBorder="1"/>
    <xf numFmtId="3" fontId="3" fillId="4" borderId="83" xfId="0" applyNumberFormat="1" applyFont="1" applyFill="1" applyBorder="1"/>
    <xf numFmtId="0" fontId="1" fillId="4" borderId="55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/>
    <xf numFmtId="3" fontId="3" fillId="4" borderId="84" xfId="0" applyNumberFormat="1" applyFont="1" applyFill="1" applyBorder="1"/>
    <xf numFmtId="0" fontId="0" fillId="4" borderId="0" xfId="0" applyFill="1" applyBorder="1"/>
    <xf numFmtId="0" fontId="1" fillId="4" borderId="84" xfId="0" applyFont="1" applyFill="1" applyBorder="1"/>
    <xf numFmtId="0" fontId="1" fillId="4" borderId="41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3" fillId="4" borderId="26" xfId="0" applyFont="1" applyFill="1" applyBorder="1"/>
    <xf numFmtId="1" fontId="1" fillId="4" borderId="43" xfId="0" applyNumberFormat="1" applyFont="1" applyFill="1" applyBorder="1" applyAlignment="1">
      <alignment horizontal="right"/>
    </xf>
    <xf numFmtId="3" fontId="1" fillId="4" borderId="28" xfId="0" applyNumberFormat="1" applyFont="1" applyFill="1" applyBorder="1"/>
    <xf numFmtId="0" fontId="1" fillId="4" borderId="7" xfId="0" applyFont="1" applyFill="1" applyBorder="1" applyAlignment="1">
      <alignment horizontal="right"/>
    </xf>
    <xf numFmtId="1" fontId="1" fillId="5" borderId="8" xfId="0" applyNumberFormat="1" applyFont="1" applyFill="1" applyBorder="1" applyAlignment="1">
      <alignment horizontal="right"/>
    </xf>
    <xf numFmtId="1" fontId="1" fillId="5" borderId="10" xfId="0" applyNumberFormat="1" applyFont="1" applyFill="1" applyBorder="1" applyAlignment="1">
      <alignment horizontal="right"/>
    </xf>
    <xf numFmtId="1" fontId="1" fillId="5" borderId="11" xfId="0" applyNumberFormat="1" applyFont="1" applyFill="1" applyBorder="1" applyAlignment="1">
      <alignment horizontal="right"/>
    </xf>
    <xf numFmtId="1" fontId="1" fillId="5" borderId="115" xfId="0" applyNumberFormat="1" applyFont="1" applyFill="1" applyBorder="1" applyAlignment="1">
      <alignment horizontal="right"/>
    </xf>
    <xf numFmtId="1" fontId="1" fillId="5" borderId="116" xfId="0" applyNumberFormat="1" applyFont="1" applyFill="1" applyBorder="1" applyAlignment="1">
      <alignment horizontal="right"/>
    </xf>
    <xf numFmtId="1" fontId="1" fillId="5" borderId="17" xfId="0" applyNumberFormat="1" applyFont="1" applyFill="1" applyBorder="1" applyAlignment="1">
      <alignment horizontal="right"/>
    </xf>
    <xf numFmtId="1" fontId="1" fillId="0" borderId="55" xfId="0" applyNumberFormat="1" applyFont="1" applyBorder="1"/>
    <xf numFmtId="1" fontId="1" fillId="0" borderId="47" xfId="0" applyNumberFormat="1" applyFont="1" applyBorder="1"/>
    <xf numFmtId="1" fontId="1" fillId="0" borderId="43" xfId="0" applyNumberFormat="1" applyFont="1" applyFill="1" applyBorder="1"/>
    <xf numFmtId="1" fontId="1" fillId="0" borderId="132" xfId="0" applyNumberFormat="1" applyFont="1" applyBorder="1"/>
    <xf numFmtId="1" fontId="1" fillId="0" borderId="86" xfId="0" applyNumberFormat="1" applyFont="1" applyFill="1" applyBorder="1"/>
    <xf numFmtId="3" fontId="3" fillId="4" borderId="113" xfId="1" applyNumberFormat="1" applyFont="1" applyFill="1" applyBorder="1" applyAlignment="1">
      <alignment horizontal="center"/>
    </xf>
    <xf numFmtId="3" fontId="3" fillId="4" borderId="96" xfId="1" applyNumberFormat="1" applyFont="1" applyFill="1" applyBorder="1" applyAlignment="1">
      <alignment horizontal="center"/>
    </xf>
    <xf numFmtId="3" fontId="3" fillId="4" borderId="27" xfId="1" applyNumberFormat="1" applyFont="1" applyFill="1" applyBorder="1" applyAlignment="1">
      <alignment horizontal="center"/>
    </xf>
    <xf numFmtId="0" fontId="1" fillId="4" borderId="135" xfId="0" applyFont="1" applyFill="1" applyBorder="1" applyAlignment="1">
      <alignment horizontal="right"/>
    </xf>
    <xf numFmtId="0" fontId="1" fillId="4" borderId="136" xfId="0" applyFont="1" applyFill="1" applyBorder="1" applyAlignment="1">
      <alignment horizontal="center"/>
    </xf>
    <xf numFmtId="0" fontId="1" fillId="4" borderId="114" xfId="0" applyFont="1" applyFill="1" applyBorder="1" applyAlignment="1">
      <alignment horizontal="center"/>
    </xf>
    <xf numFmtId="0" fontId="1" fillId="4" borderId="102" xfId="0" applyFont="1" applyFill="1" applyBorder="1" applyAlignment="1">
      <alignment horizontal="right"/>
    </xf>
    <xf numFmtId="0" fontId="1" fillId="4" borderId="103" xfId="0" applyFont="1" applyFill="1" applyBorder="1" applyAlignment="1">
      <alignment horizontal="center"/>
    </xf>
    <xf numFmtId="0" fontId="1" fillId="4" borderId="95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right"/>
    </xf>
    <xf numFmtId="0" fontId="1" fillId="4" borderId="45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5" borderId="102" xfId="0" applyFont="1" applyFill="1" applyBorder="1" applyAlignment="1">
      <alignment horizontal="right"/>
    </xf>
    <xf numFmtId="0" fontId="1" fillId="5" borderId="10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0" fontId="1" fillId="0" borderId="42" xfId="2" applyFont="1" applyFill="1" applyBorder="1" applyAlignment="1">
      <alignment horizontal="center"/>
    </xf>
    <xf numFmtId="10" fontId="1" fillId="0" borderId="40" xfId="2" applyFont="1" applyFill="1" applyBorder="1" applyAlignment="1">
      <alignment horizontal="center"/>
    </xf>
    <xf numFmtId="10" fontId="1" fillId="0" borderId="41" xfId="2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10" fontId="1" fillId="5" borderId="42" xfId="2" applyFont="1" applyFill="1" applyBorder="1" applyAlignment="1">
      <alignment horizontal="center"/>
    </xf>
    <xf numFmtId="10" fontId="1" fillId="5" borderId="40" xfId="2" applyFont="1" applyFill="1" applyBorder="1" applyAlignment="1">
      <alignment horizontal="center"/>
    </xf>
    <xf numFmtId="0" fontId="1" fillId="0" borderId="120" xfId="0" applyFont="1" applyBorder="1"/>
    <xf numFmtId="1" fontId="1" fillId="5" borderId="28" xfId="0" applyNumberFormat="1" applyFont="1" applyFill="1" applyBorder="1"/>
    <xf numFmtId="1" fontId="1" fillId="5" borderId="56" xfId="0" applyNumberFormat="1" applyFont="1" applyFill="1" applyBorder="1"/>
    <xf numFmtId="1" fontId="1" fillId="4" borderId="27" xfId="0" applyNumberFormat="1" applyFont="1" applyFill="1" applyBorder="1"/>
    <xf numFmtId="1" fontId="1" fillId="0" borderId="35" xfId="0" applyNumberFormat="1" applyFont="1" applyBorder="1"/>
    <xf numFmtId="1" fontId="1" fillId="0" borderId="36" xfId="0" applyNumberFormat="1" applyFont="1" applyFill="1" applyBorder="1"/>
    <xf numFmtId="0" fontId="3" fillId="4" borderId="4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10" fontId="1" fillId="4" borderId="53" xfId="2" applyFont="1" applyFill="1" applyBorder="1" applyAlignment="1">
      <alignment horizontal="center"/>
    </xf>
    <xf numFmtId="10" fontId="1" fillId="4" borderId="52" xfId="2" applyFont="1" applyFill="1" applyBorder="1" applyAlignment="1">
      <alignment horizontal="center"/>
    </xf>
    <xf numFmtId="10" fontId="1" fillId="4" borderId="25" xfId="2" applyFont="1" applyFill="1" applyBorder="1" applyAlignment="1">
      <alignment horizontal="center"/>
    </xf>
    <xf numFmtId="10" fontId="1" fillId="4" borderId="42" xfId="2" applyFont="1" applyFill="1" applyBorder="1" applyAlignment="1">
      <alignment horizontal="center"/>
    </xf>
    <xf numFmtId="10" fontId="1" fillId="4" borderId="40" xfId="2" applyFont="1" applyFill="1" applyBorder="1" applyAlignment="1">
      <alignment horizontal="center"/>
    </xf>
    <xf numFmtId="165" fontId="1" fillId="4" borderId="53" xfId="2" applyNumberFormat="1" applyFont="1" applyFill="1" applyBorder="1" applyAlignment="1">
      <alignment horizontal="center"/>
    </xf>
    <xf numFmtId="165" fontId="1" fillId="4" borderId="52" xfId="2" applyNumberFormat="1" applyFont="1" applyFill="1" applyBorder="1" applyAlignment="1">
      <alignment horizontal="center"/>
    </xf>
    <xf numFmtId="165" fontId="1" fillId="4" borderId="25" xfId="2" applyNumberFormat="1" applyFont="1" applyFill="1" applyBorder="1" applyAlignment="1">
      <alignment horizontal="center"/>
    </xf>
    <xf numFmtId="165" fontId="1" fillId="4" borderId="42" xfId="2" applyNumberFormat="1" applyFont="1" applyFill="1" applyBorder="1" applyAlignment="1">
      <alignment horizontal="center"/>
    </xf>
    <xf numFmtId="165" fontId="1" fillId="4" borderId="40" xfId="2" applyNumberFormat="1" applyFont="1" applyFill="1" applyBorder="1" applyAlignment="1">
      <alignment horizontal="center"/>
    </xf>
    <xf numFmtId="165" fontId="1" fillId="4" borderId="43" xfId="2" applyNumberFormat="1" applyFont="1" applyFill="1" applyBorder="1" applyAlignment="1">
      <alignment horizontal="center"/>
    </xf>
    <xf numFmtId="165" fontId="1" fillId="4" borderId="49" xfId="0" applyNumberFormat="1" applyFont="1" applyFill="1" applyBorder="1" applyAlignment="1">
      <alignment horizontal="center"/>
    </xf>
    <xf numFmtId="165" fontId="1" fillId="4" borderId="48" xfId="0" applyNumberFormat="1" applyFont="1" applyFill="1" applyBorder="1" applyAlignment="1">
      <alignment horizontal="right"/>
    </xf>
    <xf numFmtId="165" fontId="1" fillId="4" borderId="36" xfId="0" applyNumberFormat="1" applyFont="1" applyFill="1" applyBorder="1" applyAlignment="1">
      <alignment horizontal="center"/>
    </xf>
    <xf numFmtId="166" fontId="0" fillId="4" borderId="0" xfId="0" applyNumberFormat="1" applyFill="1"/>
    <xf numFmtId="166" fontId="3" fillId="4" borderId="113" xfId="1" applyNumberFormat="1" applyFont="1" applyFill="1" applyBorder="1" applyAlignment="1">
      <alignment horizontal="center"/>
    </xf>
    <xf numFmtId="166" fontId="3" fillId="4" borderId="96" xfId="1" applyNumberFormat="1" applyFont="1" applyFill="1" applyBorder="1" applyAlignment="1">
      <alignment horizontal="center"/>
    </xf>
    <xf numFmtId="166" fontId="3" fillId="4" borderId="27" xfId="1" applyNumberFormat="1" applyFont="1" applyFill="1" applyBorder="1" applyAlignment="1">
      <alignment horizontal="center"/>
    </xf>
    <xf numFmtId="3" fontId="1" fillId="4" borderId="14" xfId="0" applyNumberFormat="1" applyFont="1" applyFill="1" applyBorder="1"/>
    <xf numFmtId="0" fontId="1" fillId="4" borderId="120" xfId="0" applyFont="1" applyFill="1" applyBorder="1"/>
    <xf numFmtId="0" fontId="4" fillId="4" borderId="30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1" fontId="1" fillId="5" borderId="16" xfId="0" applyNumberFormat="1" applyFont="1" applyFill="1" applyBorder="1" applyAlignment="1">
      <alignment horizontal="right"/>
    </xf>
    <xf numFmtId="1" fontId="1" fillId="5" borderId="9" xfId="0" applyNumberFormat="1" applyFont="1" applyFill="1" applyBorder="1" applyAlignment="1">
      <alignment horizontal="right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3" fillId="4" borderId="111" xfId="0" applyFont="1" applyFill="1" applyBorder="1" applyAlignment="1">
      <alignment horizontal="center"/>
    </xf>
    <xf numFmtId="0" fontId="1" fillId="5" borderId="66" xfId="0" applyFont="1" applyFill="1" applyBorder="1" applyAlignment="1">
      <alignment horizontal="right"/>
    </xf>
    <xf numFmtId="10" fontId="5" fillId="4" borderId="0" xfId="2" applyFont="1" applyFill="1"/>
    <xf numFmtId="0" fontId="1" fillId="4" borderId="61" xfId="0" applyFont="1" applyFill="1" applyBorder="1" applyAlignment="1">
      <alignment horizontal="right"/>
    </xf>
    <xf numFmtId="1" fontId="3" fillId="4" borderId="118" xfId="0" applyNumberFormat="1" applyFont="1" applyFill="1" applyBorder="1" applyAlignment="1">
      <alignment horizontal="right"/>
    </xf>
    <xf numFmtId="0" fontId="1" fillId="4" borderId="40" xfId="0" applyFont="1" applyFill="1" applyBorder="1" applyAlignment="1">
      <alignment horizontal="center"/>
    </xf>
    <xf numFmtId="1" fontId="1" fillId="0" borderId="70" xfId="0" applyNumberFormat="1" applyFont="1" applyBorder="1"/>
    <xf numFmtId="1" fontId="1" fillId="5" borderId="12" xfId="0" applyNumberFormat="1" applyFont="1" applyFill="1" applyBorder="1"/>
    <xf numFmtId="1" fontId="1" fillId="5" borderId="18" xfId="0" applyNumberFormat="1" applyFont="1" applyFill="1" applyBorder="1"/>
    <xf numFmtId="1" fontId="1" fillId="0" borderId="69" xfId="0" applyNumberFormat="1" applyFont="1" applyFill="1" applyBorder="1"/>
    <xf numFmtId="1" fontId="1" fillId="0" borderId="12" xfId="0" applyNumberFormat="1" applyFont="1" applyFill="1" applyBorder="1"/>
    <xf numFmtId="1" fontId="1" fillId="0" borderId="34" xfId="0" applyNumberFormat="1" applyFont="1" applyFill="1" applyBorder="1"/>
    <xf numFmtId="0" fontId="1" fillId="4" borderId="52" xfId="0" applyFont="1" applyFill="1" applyBorder="1" applyAlignment="1">
      <alignment horizontal="right"/>
    </xf>
    <xf numFmtId="3" fontId="3" fillId="4" borderId="111" xfId="1" applyNumberFormat="1" applyFont="1" applyFill="1" applyBorder="1" applyAlignment="1">
      <alignment horizontal="center"/>
    </xf>
    <xf numFmtId="165" fontId="1" fillId="4" borderId="25" xfId="0" applyNumberFormat="1" applyFont="1" applyFill="1" applyBorder="1" applyAlignment="1">
      <alignment horizontal="center"/>
    </xf>
    <xf numFmtId="3" fontId="3" fillId="4" borderId="35" xfId="1" applyNumberFormat="1" applyFont="1" applyFill="1" applyBorder="1" applyAlignment="1">
      <alignment horizontal="center"/>
    </xf>
    <xf numFmtId="10" fontId="5" fillId="0" borderId="45" xfId="2" applyFill="1" applyBorder="1" applyAlignment="1">
      <alignment horizontal="right"/>
    </xf>
    <xf numFmtId="0" fontId="1" fillId="0" borderId="93" xfId="0" applyFont="1" applyFill="1" applyBorder="1" applyAlignment="1">
      <alignment horizontal="right"/>
    </xf>
    <xf numFmtId="3" fontId="3" fillId="4" borderId="114" xfId="0" applyNumberFormat="1" applyFont="1" applyFill="1" applyBorder="1"/>
    <xf numFmtId="0" fontId="1" fillId="4" borderId="113" xfId="0" applyFont="1" applyFill="1" applyBorder="1"/>
    <xf numFmtId="1" fontId="1" fillId="4" borderId="140" xfId="2" applyNumberFormat="1" applyFont="1" applyFill="1" applyBorder="1" applyAlignment="1">
      <alignment horizontal="center"/>
    </xf>
    <xf numFmtId="10" fontId="1" fillId="4" borderId="141" xfId="2" applyFont="1" applyFill="1" applyBorder="1" applyAlignment="1">
      <alignment horizontal="center"/>
    </xf>
    <xf numFmtId="10" fontId="1" fillId="4" borderId="119" xfId="2" applyFont="1" applyFill="1" applyBorder="1" applyAlignment="1">
      <alignment horizontal="center"/>
    </xf>
    <xf numFmtId="0" fontId="3" fillId="4" borderId="48" xfId="0" applyFont="1" applyFill="1" applyBorder="1" applyAlignment="1">
      <alignment horizontal="center"/>
    </xf>
    <xf numFmtId="1" fontId="1" fillId="0" borderId="23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1" fontId="1" fillId="0" borderId="93" xfId="0" applyNumberFormat="1" applyFont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1" fontId="1" fillId="0" borderId="12" xfId="0" applyNumberFormat="1" applyFont="1" applyBorder="1"/>
    <xf numFmtId="1" fontId="3" fillId="0" borderId="87" xfId="0" applyNumberFormat="1" applyFont="1" applyFill="1" applyBorder="1" applyAlignment="1">
      <alignment horizontal="right"/>
    </xf>
    <xf numFmtId="1" fontId="3" fillId="0" borderId="118" xfId="0" applyNumberFormat="1" applyFont="1" applyFill="1" applyBorder="1" applyAlignment="1">
      <alignment horizontal="right"/>
    </xf>
    <xf numFmtId="164" fontId="1" fillId="0" borderId="52" xfId="4" applyNumberFormat="1" applyFont="1" applyBorder="1"/>
    <xf numFmtId="164" fontId="1" fillId="0" borderId="53" xfId="4" applyNumberFormat="1" applyFont="1" applyBorder="1"/>
    <xf numFmtId="164" fontId="1" fillId="0" borderId="40" xfId="4" applyNumberFormat="1" applyFont="1" applyBorder="1"/>
    <xf numFmtId="164" fontId="1" fillId="0" borderId="44" xfId="4" applyNumberFormat="1" applyFont="1" applyBorder="1"/>
    <xf numFmtId="164" fontId="1" fillId="0" borderId="45" xfId="4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3" fontId="3" fillId="4" borderId="0" xfId="0" applyNumberFormat="1" applyFont="1" applyFill="1" applyBorder="1"/>
    <xf numFmtId="0" fontId="1" fillId="4" borderId="45" xfId="4" applyNumberFormat="1" applyFont="1" applyFill="1" applyBorder="1"/>
    <xf numFmtId="0" fontId="3" fillId="4" borderId="44" xfId="0" applyFont="1" applyFill="1" applyBorder="1"/>
    <xf numFmtId="0" fontId="1" fillId="4" borderId="0" xfId="3" applyFont="1" applyFill="1" applyBorder="1"/>
    <xf numFmtId="164" fontId="1" fillId="4" borderId="0" xfId="3" applyNumberFormat="1" applyFont="1" applyFill="1" applyBorder="1" applyAlignment="1"/>
    <xf numFmtId="164" fontId="1" fillId="4" borderId="0" xfId="3" applyNumberFormat="1" applyFont="1" applyFill="1" applyBorder="1"/>
    <xf numFmtId="0" fontId="1" fillId="4" borderId="0" xfId="0" applyFont="1" applyFill="1" applyBorder="1"/>
    <xf numFmtId="0" fontId="1" fillId="0" borderId="0" xfId="0" applyFont="1" applyBorder="1"/>
    <xf numFmtId="164" fontId="1" fillId="4" borderId="35" xfId="3" applyNumberFormat="1" applyFont="1" applyFill="1" applyBorder="1" applyAlignment="1"/>
    <xf numFmtId="2" fontId="1" fillId="4" borderId="28" xfId="0" applyNumberFormat="1" applyFont="1" applyFill="1" applyBorder="1"/>
    <xf numFmtId="2" fontId="1" fillId="4" borderId="56" xfId="0" applyNumberFormat="1" applyFont="1" applyFill="1" applyBorder="1"/>
    <xf numFmtId="1" fontId="1" fillId="4" borderId="56" xfId="0" applyNumberFormat="1" applyFont="1" applyFill="1" applyBorder="1"/>
    <xf numFmtId="1" fontId="1" fillId="4" borderId="43" xfId="0" applyNumberFormat="1" applyFont="1" applyFill="1" applyBorder="1"/>
    <xf numFmtId="4" fontId="1" fillId="4" borderId="56" xfId="0" applyNumberFormat="1" applyFont="1" applyFill="1" applyBorder="1"/>
    <xf numFmtId="10" fontId="1" fillId="4" borderId="43" xfId="2" applyFont="1" applyFill="1" applyBorder="1"/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2" xfId="0" applyFont="1" applyBorder="1" applyAlignment="1">
      <alignment horizontal="center" wrapText="1"/>
    </xf>
    <xf numFmtId="164" fontId="3" fillId="4" borderId="87" xfId="2" applyNumberFormat="1" applyFont="1" applyFill="1" applyBorder="1" applyAlignment="1">
      <alignment horizontal="center"/>
    </xf>
    <xf numFmtId="3" fontId="3" fillId="4" borderId="104" xfId="1" applyNumberFormat="1" applyFont="1" applyFill="1" applyBorder="1" applyAlignment="1">
      <alignment horizontal="center"/>
    </xf>
    <xf numFmtId="164" fontId="3" fillId="4" borderId="126" xfId="2" applyNumberFormat="1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right"/>
    </xf>
    <xf numFmtId="0" fontId="1" fillId="0" borderId="115" xfId="0" applyFont="1" applyFill="1" applyBorder="1"/>
    <xf numFmtId="0" fontId="1" fillId="0" borderId="116" xfId="0" applyFont="1" applyFill="1" applyBorder="1"/>
    <xf numFmtId="0" fontId="1" fillId="0" borderId="17" xfId="0" applyFont="1" applyFill="1" applyBorder="1"/>
    <xf numFmtId="0" fontId="1" fillId="0" borderId="16" xfId="0" applyFont="1" applyFill="1" applyBorder="1"/>
    <xf numFmtId="1" fontId="1" fillId="4" borderId="129" xfId="0" applyNumberFormat="1" applyFont="1" applyFill="1" applyBorder="1" applyAlignment="1">
      <alignment horizontal="right"/>
    </xf>
    <xf numFmtId="0" fontId="1" fillId="4" borderId="26" xfId="0" applyFont="1" applyFill="1" applyBorder="1" applyAlignment="1">
      <alignment horizontal="left" indent="2"/>
    </xf>
    <xf numFmtId="0" fontId="3" fillId="4" borderId="1" xfId="0" applyFont="1" applyFill="1" applyBorder="1"/>
    <xf numFmtId="0" fontId="1" fillId="4" borderId="64" xfId="4" applyNumberFormat="1" applyFont="1" applyFill="1" applyBorder="1"/>
    <xf numFmtId="0" fontId="1" fillId="0" borderId="7" xfId="0" applyFont="1" applyBorder="1" applyAlignment="1">
      <alignment horizontal="left" wrapText="1" indent="3"/>
    </xf>
    <xf numFmtId="0" fontId="3" fillId="4" borderId="44" xfId="3" applyFont="1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1" fontId="1" fillId="4" borderId="13" xfId="0" applyNumberFormat="1" applyFont="1" applyFill="1" applyBorder="1"/>
    <xf numFmtId="164" fontId="1" fillId="4" borderId="0" xfId="4" applyNumberFormat="1" applyFont="1" applyFill="1" applyBorder="1"/>
    <xf numFmtId="0" fontId="3" fillId="4" borderId="92" xfId="0" applyFont="1" applyFill="1" applyBorder="1"/>
    <xf numFmtId="0" fontId="1" fillId="0" borderId="26" xfId="0" applyFont="1" applyBorder="1" applyAlignment="1">
      <alignment horizontal="left" wrapText="1" indent="3"/>
    </xf>
    <xf numFmtId="1" fontId="1" fillId="0" borderId="45" xfId="0" applyNumberFormat="1" applyFont="1" applyFill="1" applyBorder="1"/>
    <xf numFmtId="165" fontId="1" fillId="4" borderId="27" xfId="3" applyNumberFormat="1" applyFont="1" applyFill="1" applyBorder="1" applyAlignment="1"/>
    <xf numFmtId="1" fontId="1" fillId="4" borderId="28" xfId="0" applyNumberFormat="1" applyFont="1" applyFill="1" applyBorder="1"/>
    <xf numFmtId="3" fontId="1" fillId="4" borderId="10" xfId="1" applyNumberFormat="1" applyFont="1" applyFill="1" applyBorder="1" applyAlignment="1">
      <alignment horizontal="right"/>
    </xf>
    <xf numFmtId="0" fontId="1" fillId="4" borderId="11" xfId="0" applyFont="1" applyFill="1" applyBorder="1"/>
    <xf numFmtId="3" fontId="1" fillId="4" borderId="10" xfId="0" applyNumberFormat="1" applyFont="1" applyFill="1" applyBorder="1"/>
    <xf numFmtId="3" fontId="1" fillId="4" borderId="9" xfId="1" applyNumberFormat="1" applyFont="1" applyFill="1" applyBorder="1" applyAlignment="1">
      <alignment horizontal="right"/>
    </xf>
    <xf numFmtId="0" fontId="1" fillId="4" borderId="8" xfId="0" applyFont="1" applyFill="1" applyBorder="1"/>
    <xf numFmtId="3" fontId="1" fillId="4" borderId="9" xfId="0" applyNumberFormat="1" applyFont="1" applyFill="1" applyBorder="1"/>
    <xf numFmtId="3" fontId="1" fillId="4" borderId="12" xfId="1" applyNumberFormat="1" applyFont="1" applyFill="1" applyBorder="1" applyAlignment="1">
      <alignment horizontal="right"/>
    </xf>
    <xf numFmtId="3" fontId="1" fillId="4" borderId="12" xfId="0" applyNumberFormat="1" applyFont="1" applyFill="1" applyBorder="1"/>
    <xf numFmtId="3" fontId="1" fillId="4" borderId="18" xfId="0" applyNumberFormat="1" applyFont="1" applyFill="1" applyBorder="1"/>
    <xf numFmtId="0" fontId="3" fillId="4" borderId="143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left" indent="3"/>
    </xf>
    <xf numFmtId="0" fontId="1" fillId="4" borderId="26" xfId="0" applyFont="1" applyFill="1" applyBorder="1" applyAlignment="1">
      <alignment horizontal="left" indent="5"/>
    </xf>
    <xf numFmtId="0" fontId="1" fillId="4" borderId="7" xfId="0" applyFont="1" applyFill="1" applyBorder="1" applyAlignment="1">
      <alignment horizontal="left" indent="5"/>
    </xf>
    <xf numFmtId="3" fontId="3" fillId="4" borderId="123" xfId="0" applyNumberFormat="1" applyFont="1" applyFill="1" applyBorder="1" applyAlignment="1">
      <alignment horizontal="right"/>
    </xf>
    <xf numFmtId="3" fontId="3" fillId="4" borderId="136" xfId="0" applyNumberFormat="1" applyFont="1" applyFill="1" applyBorder="1" applyAlignment="1">
      <alignment horizontal="right"/>
    </xf>
    <xf numFmtId="3" fontId="3" fillId="4" borderId="124" xfId="0" applyNumberFormat="1" applyFont="1" applyFill="1" applyBorder="1" applyAlignment="1">
      <alignment horizontal="right"/>
    </xf>
    <xf numFmtId="3" fontId="3" fillId="4" borderId="133" xfId="0" applyNumberFormat="1" applyFont="1" applyFill="1" applyBorder="1" applyAlignment="1">
      <alignment horizontal="right"/>
    </xf>
    <xf numFmtId="1" fontId="3" fillId="4" borderId="114" xfId="0" applyNumberFormat="1" applyFont="1" applyFill="1" applyBorder="1" applyAlignment="1">
      <alignment horizontal="right"/>
    </xf>
    <xf numFmtId="0" fontId="2" fillId="4" borderId="0" xfId="0" applyFont="1" applyFill="1" applyBorder="1"/>
    <xf numFmtId="0" fontId="3" fillId="4" borderId="59" xfId="3" applyFont="1" applyFill="1" applyBorder="1" applyAlignment="1">
      <alignment horizontal="left" wrapText="1" indent="1"/>
    </xf>
    <xf numFmtId="0" fontId="3" fillId="4" borderId="145" xfId="0" applyFont="1" applyFill="1" applyBorder="1" applyAlignment="1">
      <alignment horizontal="center"/>
    </xf>
    <xf numFmtId="0" fontId="3" fillId="4" borderId="59" xfId="0" applyFont="1" applyFill="1" applyBorder="1" applyAlignment="1">
      <alignment horizontal="left" indent="3"/>
    </xf>
    <xf numFmtId="0" fontId="1" fillId="4" borderId="60" xfId="0" applyFont="1" applyFill="1" applyBorder="1"/>
    <xf numFmtId="3" fontId="1" fillId="4" borderId="146" xfId="1" applyNumberFormat="1" applyFont="1" applyFill="1" applyBorder="1" applyAlignment="1">
      <alignment horizontal="right"/>
    </xf>
    <xf numFmtId="0" fontId="1" fillId="4" borderId="23" xfId="0" applyFont="1" applyFill="1" applyBorder="1"/>
    <xf numFmtId="3" fontId="1" fillId="4" borderId="53" xfId="1" applyNumberFormat="1" applyFont="1" applyFill="1" applyBorder="1" applyAlignment="1">
      <alignment horizontal="right"/>
    </xf>
    <xf numFmtId="3" fontId="1" fillId="4" borderId="22" xfId="1" applyNumberFormat="1" applyFont="1" applyFill="1" applyBorder="1" applyAlignment="1">
      <alignment horizontal="right"/>
    </xf>
    <xf numFmtId="0" fontId="1" fillId="4" borderId="93" xfId="0" applyFont="1" applyFill="1" applyBorder="1"/>
    <xf numFmtId="3" fontId="1" fillId="4" borderId="24" xfId="1" applyNumberFormat="1" applyFont="1" applyFill="1" applyBorder="1" applyAlignment="1">
      <alignment horizontal="right"/>
    </xf>
    <xf numFmtId="0" fontId="1" fillId="4" borderId="137" xfId="0" applyFont="1" applyFill="1" applyBorder="1"/>
    <xf numFmtId="0" fontId="1" fillId="4" borderId="25" xfId="0" applyFont="1" applyFill="1" applyBorder="1"/>
    <xf numFmtId="0" fontId="3" fillId="4" borderId="25" xfId="0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left" indent="2"/>
    </xf>
    <xf numFmtId="10" fontId="3" fillId="0" borderId="136" xfId="2" applyFont="1" applyFill="1" applyBorder="1" applyAlignment="1">
      <alignment horizontal="center"/>
    </xf>
    <xf numFmtId="10" fontId="3" fillId="0" borderId="135" xfId="2" applyFont="1" applyFill="1" applyBorder="1" applyAlignment="1">
      <alignment horizontal="center"/>
    </xf>
    <xf numFmtId="10" fontId="3" fillId="0" borderId="114" xfId="2" applyFont="1" applyFill="1" applyBorder="1" applyAlignment="1">
      <alignment horizontal="center"/>
    </xf>
    <xf numFmtId="10" fontId="1" fillId="0" borderId="105" xfId="2" applyFont="1" applyBorder="1" applyAlignment="1">
      <alignment horizontal="center"/>
    </xf>
    <xf numFmtId="10" fontId="1" fillId="0" borderId="18" xfId="2" applyFont="1" applyBorder="1" applyAlignment="1">
      <alignment horizontal="center"/>
    </xf>
    <xf numFmtId="0" fontId="1" fillId="4" borderId="30" xfId="0" applyFont="1" applyFill="1" applyBorder="1" applyAlignment="1">
      <alignment horizontal="left" indent="2"/>
    </xf>
    <xf numFmtId="0" fontId="1" fillId="4" borderId="21" xfId="3" applyFont="1" applyFill="1" applyBorder="1" applyAlignment="1">
      <alignment horizontal="left" indent="2"/>
    </xf>
    <xf numFmtId="0" fontId="1" fillId="4" borderId="26" xfId="3" applyFont="1" applyFill="1" applyBorder="1" applyAlignment="1">
      <alignment horizontal="left" indent="2"/>
    </xf>
    <xf numFmtId="0" fontId="1" fillId="4" borderId="30" xfId="3" applyFont="1" applyFill="1" applyBorder="1" applyAlignment="1">
      <alignment horizontal="left" indent="2"/>
    </xf>
    <xf numFmtId="0" fontId="4" fillId="0" borderId="0" xfId="0" applyFont="1"/>
    <xf numFmtId="0" fontId="8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1" fontId="1" fillId="4" borderId="92" xfId="2" applyNumberFormat="1" applyFont="1" applyFill="1" applyBorder="1" applyAlignment="1" applyProtection="1">
      <alignment horizontal="center"/>
    </xf>
    <xf numFmtId="10" fontId="1" fillId="4" borderId="0" xfId="2" applyFont="1" applyFill="1" applyBorder="1" applyAlignment="1" applyProtection="1">
      <alignment horizontal="center"/>
    </xf>
    <xf numFmtId="0" fontId="0" fillId="4" borderId="0" xfId="0" applyFill="1" applyBorder="1" applyProtection="1"/>
    <xf numFmtId="1" fontId="1" fillId="4" borderId="0" xfId="2" applyNumberFormat="1" applyFont="1" applyFill="1" applyBorder="1" applyAlignment="1" applyProtection="1">
      <alignment horizontal="center"/>
    </xf>
    <xf numFmtId="1" fontId="1" fillId="4" borderId="0" xfId="0" applyNumberFormat="1" applyFont="1" applyFill="1" applyBorder="1" applyAlignment="1" applyProtection="1">
      <alignment horizontal="center"/>
    </xf>
    <xf numFmtId="165" fontId="1" fillId="4" borderId="0" xfId="0" applyNumberFormat="1" applyFont="1" applyFill="1" applyBorder="1" applyAlignment="1" applyProtection="1">
      <alignment horizontal="center"/>
    </xf>
    <xf numFmtId="0" fontId="3" fillId="0" borderId="126" xfId="0" applyFont="1" applyBorder="1" applyAlignment="1">
      <alignment horizontal="center" wrapText="1"/>
    </xf>
    <xf numFmtId="0" fontId="3" fillId="0" borderId="147" xfId="0" applyFont="1" applyBorder="1" applyAlignment="1">
      <alignment horizontal="center" wrapText="1"/>
    </xf>
    <xf numFmtId="0" fontId="3" fillId="4" borderId="148" xfId="0" applyFont="1" applyFill="1" applyBorder="1" applyAlignment="1">
      <alignment horizontal="center"/>
    </xf>
    <xf numFmtId="0" fontId="3" fillId="4" borderId="149" xfId="0" applyFont="1" applyFill="1" applyBorder="1" applyAlignment="1">
      <alignment horizontal="center"/>
    </xf>
    <xf numFmtId="0" fontId="3" fillId="4" borderId="150" xfId="0" applyFont="1" applyFill="1" applyBorder="1" applyAlignment="1">
      <alignment horizontal="center"/>
    </xf>
    <xf numFmtId="0" fontId="3" fillId="4" borderId="151" xfId="0" applyFont="1" applyFill="1" applyBorder="1" applyAlignment="1">
      <alignment horizontal="center"/>
    </xf>
    <xf numFmtId="0" fontId="3" fillId="4" borderId="152" xfId="0" applyFont="1" applyFill="1" applyBorder="1" applyAlignment="1">
      <alignment horizontal="center"/>
    </xf>
    <xf numFmtId="0" fontId="3" fillId="4" borderId="153" xfId="0" applyFont="1" applyFill="1" applyBorder="1" applyAlignment="1">
      <alignment horizontal="center"/>
    </xf>
    <xf numFmtId="0" fontId="3" fillId="4" borderId="154" xfId="0" applyFont="1" applyFill="1" applyBorder="1" applyAlignment="1">
      <alignment horizontal="center"/>
    </xf>
    <xf numFmtId="164" fontId="1" fillId="4" borderId="146" xfId="2" applyNumberFormat="1" applyFont="1" applyFill="1" applyBorder="1" applyAlignment="1">
      <alignment horizontal="right"/>
    </xf>
    <xf numFmtId="164" fontId="1" fillId="4" borderId="22" xfId="2" applyNumberFormat="1" applyFont="1" applyFill="1" applyBorder="1" applyAlignment="1">
      <alignment horizontal="right"/>
    </xf>
    <xf numFmtId="164" fontId="1" fillId="4" borderId="24" xfId="2" applyNumberFormat="1" applyFont="1" applyFill="1" applyBorder="1" applyAlignment="1">
      <alignment horizontal="right"/>
    </xf>
    <xf numFmtId="1" fontId="1" fillId="4" borderId="137" xfId="0" applyNumberFormat="1" applyFont="1" applyFill="1" applyBorder="1"/>
    <xf numFmtId="164" fontId="1" fillId="4" borderId="24" xfId="0" applyNumberFormat="1" applyFont="1" applyFill="1" applyBorder="1"/>
    <xf numFmtId="164" fontId="1" fillId="4" borderId="116" xfId="2" applyNumberFormat="1" applyFont="1" applyFill="1" applyBorder="1" applyAlignment="1">
      <alignment horizontal="right"/>
    </xf>
    <xf numFmtId="164" fontId="1" fillId="4" borderId="16" xfId="2" applyNumberFormat="1" applyFont="1" applyFill="1" applyBorder="1" applyAlignment="1">
      <alignment horizontal="right"/>
    </xf>
    <xf numFmtId="164" fontId="1" fillId="4" borderId="18" xfId="2" applyNumberFormat="1" applyFont="1" applyFill="1" applyBorder="1" applyAlignment="1">
      <alignment horizontal="right"/>
    </xf>
    <xf numFmtId="1" fontId="1" fillId="4" borderId="105" xfId="0" applyNumberFormat="1" applyFont="1" applyFill="1" applyBorder="1"/>
    <xf numFmtId="164" fontId="1" fillId="4" borderId="18" xfId="0" applyNumberFormat="1" applyFont="1" applyFill="1" applyBorder="1"/>
    <xf numFmtId="0" fontId="3" fillId="4" borderId="23" xfId="0" applyFont="1" applyFill="1" applyBorder="1" applyAlignment="1">
      <alignment horizontal="right"/>
    </xf>
    <xf numFmtId="164" fontId="3" fillId="4" borderId="146" xfId="2" applyNumberFormat="1" applyFont="1" applyFill="1" applyBorder="1" applyAlignment="1">
      <alignment horizontal="right"/>
    </xf>
    <xf numFmtId="164" fontId="3" fillId="4" borderId="22" xfId="2" applyNumberFormat="1" applyFont="1" applyFill="1" applyBorder="1" applyAlignment="1">
      <alignment horizontal="right"/>
    </xf>
    <xf numFmtId="0" fontId="3" fillId="4" borderId="93" xfId="0" applyFont="1" applyFill="1" applyBorder="1" applyAlignment="1">
      <alignment horizontal="right"/>
    </xf>
    <xf numFmtId="164" fontId="3" fillId="4" borderId="24" xfId="2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3" fontId="1" fillId="4" borderId="115" xfId="1" applyNumberFormat="1" applyFont="1" applyFill="1" applyBorder="1" applyAlignment="1">
      <alignment horizontal="right"/>
    </xf>
    <xf numFmtId="164" fontId="1" fillId="4" borderId="23" xfId="0" applyNumberFormat="1" applyFont="1" applyFill="1" applyBorder="1" applyAlignment="1">
      <alignment horizontal="right"/>
    </xf>
    <xf numFmtId="164" fontId="1" fillId="4" borderId="93" xfId="0" applyNumberFormat="1" applyFont="1" applyFill="1" applyBorder="1" applyAlignment="1">
      <alignment horizontal="right"/>
    </xf>
    <xf numFmtId="0" fontId="0" fillId="4" borderId="58" xfId="0" applyFill="1" applyBorder="1" applyAlignment="1">
      <alignment horizontal="center"/>
    </xf>
    <xf numFmtId="0" fontId="1" fillId="4" borderId="58" xfId="0" applyFont="1" applyFill="1" applyBorder="1" applyAlignment="1"/>
    <xf numFmtId="0" fontId="3" fillId="4" borderId="58" xfId="0" applyFont="1" applyFill="1" applyBorder="1"/>
    <xf numFmtId="0" fontId="3" fillId="0" borderId="75" xfId="0" applyFont="1" applyBorder="1" applyAlignment="1">
      <alignment horizontal="center" wrapText="1"/>
    </xf>
    <xf numFmtId="0" fontId="3" fillId="0" borderId="9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left" indent="2"/>
    </xf>
    <xf numFmtId="0" fontId="1" fillId="0" borderId="26" xfId="0" applyFont="1" applyBorder="1" applyAlignment="1">
      <alignment horizontal="left" indent="2"/>
    </xf>
    <xf numFmtId="0" fontId="1" fillId="0" borderId="30" xfId="0" applyFont="1" applyBorder="1" applyAlignment="1">
      <alignment horizontal="left" indent="2"/>
    </xf>
    <xf numFmtId="0" fontId="4" fillId="4" borderId="94" xfId="0" applyFont="1" applyFill="1" applyBorder="1" applyAlignment="1">
      <alignment horizontal="left" indent="2"/>
    </xf>
    <xf numFmtId="0" fontId="4" fillId="4" borderId="26" xfId="0" applyFont="1" applyFill="1" applyBorder="1" applyAlignment="1">
      <alignment horizontal="left" indent="2"/>
    </xf>
    <xf numFmtId="0" fontId="4" fillId="4" borderId="71" xfId="0" applyFont="1" applyFill="1" applyBorder="1" applyAlignment="1">
      <alignment horizontal="left" indent="2"/>
    </xf>
    <xf numFmtId="0" fontId="1" fillId="0" borderId="26" xfId="0" applyFont="1" applyBorder="1" applyAlignment="1">
      <alignment horizontal="left" wrapText="1" indent="2"/>
    </xf>
    <xf numFmtId="3" fontId="3" fillId="0" borderId="0" xfId="0" applyNumberFormat="1" applyFont="1" applyBorder="1"/>
    <xf numFmtId="0" fontId="1" fillId="4" borderId="10" xfId="0" applyFont="1" applyFill="1" applyBorder="1"/>
    <xf numFmtId="0" fontId="1" fillId="4" borderId="9" xfId="0" applyFont="1" applyFill="1" applyBorder="1"/>
    <xf numFmtId="0" fontId="1" fillId="4" borderId="12" xfId="0" applyFont="1" applyFill="1" applyBorder="1"/>
    <xf numFmtId="0" fontId="10" fillId="4" borderId="26" xfId="0" applyFont="1" applyFill="1" applyBorder="1"/>
    <xf numFmtId="1" fontId="3" fillId="4" borderId="122" xfId="0" applyNumberFormat="1" applyFont="1" applyFill="1" applyBorder="1" applyAlignment="1">
      <alignment horizontal="right"/>
    </xf>
    <xf numFmtId="1" fontId="3" fillId="4" borderId="124" xfId="0" applyNumberFormat="1" applyFont="1" applyFill="1" applyBorder="1" applyAlignment="1">
      <alignment horizontal="right"/>
    </xf>
    <xf numFmtId="1" fontId="3" fillId="4" borderId="123" xfId="0" applyNumberFormat="1" applyFont="1" applyFill="1" applyBorder="1" applyAlignment="1">
      <alignment horizontal="right"/>
    </xf>
    <xf numFmtId="1" fontId="1" fillId="4" borderId="24" xfId="0" applyNumberFormat="1" applyFont="1" applyFill="1" applyBorder="1"/>
    <xf numFmtId="164" fontId="1" fillId="4" borderId="36" xfId="0" applyNumberFormat="1" applyFont="1" applyFill="1" applyBorder="1"/>
    <xf numFmtId="0" fontId="3" fillId="4" borderId="26" xfId="0" applyFont="1" applyFill="1" applyBorder="1" applyAlignment="1">
      <alignment horizontal="left" indent="2"/>
    </xf>
    <xf numFmtId="0" fontId="1" fillId="4" borderId="26" xfId="0" applyFont="1" applyFill="1" applyBorder="1" applyAlignment="1">
      <alignment horizontal="left" indent="3"/>
    </xf>
    <xf numFmtId="0" fontId="1" fillId="4" borderId="7" xfId="0" applyFont="1" applyFill="1" applyBorder="1" applyAlignment="1">
      <alignment horizontal="left" indent="3"/>
    </xf>
    <xf numFmtId="0" fontId="3" fillId="4" borderId="60" xfId="3" applyFont="1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3" fillId="4" borderId="52" xfId="3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3" fillId="4" borderId="21" xfId="0" applyFont="1" applyFill="1" applyBorder="1" applyAlignment="1">
      <alignment horizontal="left" indent="2"/>
    </xf>
    <xf numFmtId="0" fontId="1" fillId="4" borderId="42" xfId="0" applyFont="1" applyFill="1" applyBorder="1"/>
    <xf numFmtId="3" fontId="1" fillId="4" borderId="41" xfId="1" applyNumberFormat="1" applyFont="1" applyFill="1" applyBorder="1" applyAlignment="1">
      <alignment horizontal="right"/>
    </xf>
    <xf numFmtId="3" fontId="1" fillId="4" borderId="43" xfId="1" applyNumberFormat="1" applyFont="1" applyFill="1" applyBorder="1" applyAlignment="1">
      <alignment horizontal="right"/>
    </xf>
    <xf numFmtId="3" fontId="1" fillId="4" borderId="62" xfId="0" applyNumberFormat="1" applyFont="1" applyFill="1" applyBorder="1"/>
    <xf numFmtId="0" fontId="1" fillId="4" borderId="21" xfId="0" applyFont="1" applyFill="1" applyBorder="1" applyAlignment="1">
      <alignment horizontal="right"/>
    </xf>
    <xf numFmtId="0" fontId="1" fillId="4" borderId="40" xfId="0" applyFont="1" applyFill="1" applyBorder="1" applyAlignment="1">
      <alignment horizontal="right"/>
    </xf>
    <xf numFmtId="164" fontId="1" fillId="4" borderId="66" xfId="2" applyNumberFormat="1" applyFont="1" applyFill="1" applyBorder="1" applyAlignment="1">
      <alignment horizontal="right"/>
    </xf>
    <xf numFmtId="164" fontId="1" fillId="4" borderId="68" xfId="2" applyNumberFormat="1" applyFont="1" applyFill="1" applyBorder="1" applyAlignment="1">
      <alignment horizontal="right"/>
    </xf>
    <xf numFmtId="0" fontId="1" fillId="4" borderId="42" xfId="0" applyFont="1" applyFill="1" applyBorder="1" applyAlignment="1">
      <alignment horizontal="right"/>
    </xf>
    <xf numFmtId="164" fontId="1" fillId="4" borderId="69" xfId="2" applyNumberFormat="1" applyFont="1" applyFill="1" applyBorder="1" applyAlignment="1">
      <alignment horizontal="right"/>
    </xf>
    <xf numFmtId="1" fontId="1" fillId="4" borderId="139" xfId="0" applyNumberFormat="1" applyFont="1" applyFill="1" applyBorder="1"/>
    <xf numFmtId="164" fontId="1" fillId="4" borderId="69" xfId="0" applyNumberFormat="1" applyFont="1" applyFill="1" applyBorder="1"/>
    <xf numFmtId="0" fontId="3" fillId="4" borderId="67" xfId="0" applyFont="1" applyFill="1" applyBorder="1" applyAlignment="1">
      <alignment horizontal="right"/>
    </xf>
    <xf numFmtId="164" fontId="3" fillId="4" borderId="66" xfId="2" applyNumberFormat="1" applyFont="1" applyFill="1" applyBorder="1" applyAlignment="1">
      <alignment horizontal="right"/>
    </xf>
    <xf numFmtId="164" fontId="3" fillId="4" borderId="68" xfId="2" applyNumberFormat="1" applyFont="1" applyFill="1" applyBorder="1" applyAlignment="1">
      <alignment horizontal="right"/>
    </xf>
    <xf numFmtId="0" fontId="3" fillId="4" borderId="65" xfId="0" applyFont="1" applyFill="1" applyBorder="1" applyAlignment="1">
      <alignment horizontal="right"/>
    </xf>
    <xf numFmtId="164" fontId="3" fillId="4" borderId="69" xfId="2" applyNumberFormat="1" applyFont="1" applyFill="1" applyBorder="1" applyAlignment="1">
      <alignment horizontal="right"/>
    </xf>
    <xf numFmtId="164" fontId="1" fillId="4" borderId="67" xfId="0" applyNumberFormat="1" applyFont="1" applyFill="1" applyBorder="1" applyAlignment="1">
      <alignment horizontal="right"/>
    </xf>
    <xf numFmtId="164" fontId="1" fillId="4" borderId="65" xfId="0" applyNumberFormat="1" applyFont="1" applyFill="1" applyBorder="1" applyAlignment="1">
      <alignment horizontal="right"/>
    </xf>
    <xf numFmtId="0" fontId="1" fillId="4" borderId="97" xfId="0" applyFont="1" applyFill="1" applyBorder="1" applyAlignment="1">
      <alignment horizontal="right"/>
    </xf>
    <xf numFmtId="0" fontId="1" fillId="4" borderId="106" xfId="0" applyFont="1" applyFill="1" applyBorder="1" applyAlignment="1">
      <alignment horizontal="right"/>
    </xf>
    <xf numFmtId="164" fontId="1" fillId="4" borderId="108" xfId="2" applyNumberFormat="1" applyFont="1" applyFill="1" applyBorder="1" applyAlignment="1">
      <alignment horizontal="right"/>
    </xf>
    <xf numFmtId="0" fontId="1" fillId="4" borderId="100" xfId="0" applyFont="1" applyFill="1" applyBorder="1" applyAlignment="1">
      <alignment horizontal="right"/>
    </xf>
    <xf numFmtId="164" fontId="1" fillId="4" borderId="156" xfId="2" applyNumberFormat="1" applyFont="1" applyFill="1" applyBorder="1" applyAlignment="1">
      <alignment horizontal="right"/>
    </xf>
    <xf numFmtId="0" fontId="1" fillId="4" borderId="157" xfId="0" applyFont="1" applyFill="1" applyBorder="1" applyAlignment="1">
      <alignment horizontal="right"/>
    </xf>
    <xf numFmtId="0" fontId="1" fillId="4" borderId="110" xfId="0" applyFont="1" applyFill="1" applyBorder="1" applyAlignment="1">
      <alignment horizontal="right"/>
    </xf>
    <xf numFmtId="164" fontId="1" fillId="4" borderId="147" xfId="2" applyNumberFormat="1" applyFont="1" applyFill="1" applyBorder="1" applyAlignment="1">
      <alignment horizontal="right"/>
    </xf>
    <xf numFmtId="1" fontId="1" fillId="4" borderId="158" xfId="0" applyNumberFormat="1" applyFont="1" applyFill="1" applyBorder="1"/>
    <xf numFmtId="164" fontId="1" fillId="4" borderId="147" xfId="0" applyNumberFormat="1" applyFont="1" applyFill="1" applyBorder="1"/>
    <xf numFmtId="3" fontId="1" fillId="4" borderId="100" xfId="1" applyNumberFormat="1" applyFont="1" applyFill="1" applyBorder="1" applyAlignment="1">
      <alignment horizontal="right"/>
    </xf>
    <xf numFmtId="3" fontId="1" fillId="4" borderId="157" xfId="1" applyNumberFormat="1" applyFont="1" applyFill="1" applyBorder="1" applyAlignment="1">
      <alignment horizontal="right"/>
    </xf>
    <xf numFmtId="1" fontId="3" fillId="4" borderId="133" xfId="0" applyNumberFormat="1" applyFont="1" applyFill="1" applyBorder="1" applyAlignment="1">
      <alignment horizontal="right"/>
    </xf>
    <xf numFmtId="0" fontId="1" fillId="4" borderId="24" xfId="0" applyFont="1" applyFill="1" applyBorder="1"/>
    <xf numFmtId="0" fontId="1" fillId="4" borderId="59" xfId="0" applyFont="1" applyFill="1" applyBorder="1" applyAlignment="1">
      <alignment horizontal="left" indent="2"/>
    </xf>
    <xf numFmtId="1" fontId="1" fillId="4" borderId="7" xfId="0" applyNumberFormat="1" applyFont="1" applyFill="1" applyBorder="1" applyAlignment="1">
      <alignment horizontal="left" indent="2"/>
    </xf>
    <xf numFmtId="0" fontId="1" fillId="4" borderId="67" xfId="0" applyFont="1" applyFill="1" applyBorder="1" applyAlignment="1">
      <alignment horizontal="right"/>
    </xf>
    <xf numFmtId="0" fontId="1" fillId="4" borderId="65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left" indent="3"/>
    </xf>
    <xf numFmtId="3" fontId="1" fillId="4" borderId="107" xfId="0" applyNumberFormat="1" applyFont="1" applyFill="1" applyBorder="1"/>
    <xf numFmtId="3" fontId="1" fillId="4" borderId="109" xfId="0" applyNumberFormat="1" applyFont="1" applyFill="1" applyBorder="1"/>
    <xf numFmtId="1" fontId="1" fillId="4" borderId="20" xfId="0" applyNumberFormat="1" applyFont="1" applyFill="1" applyBorder="1" applyAlignment="1">
      <alignment horizontal="right"/>
    </xf>
    <xf numFmtId="0" fontId="3" fillId="4" borderId="75" xfId="0" applyFont="1" applyFill="1" applyBorder="1" applyAlignment="1">
      <alignment horizontal="center"/>
    </xf>
    <xf numFmtId="0" fontId="3" fillId="4" borderId="159" xfId="0" applyFont="1" applyFill="1" applyBorder="1" applyAlignment="1">
      <alignment horizontal="center"/>
    </xf>
    <xf numFmtId="0" fontId="3" fillId="4" borderId="90" xfId="0" applyFont="1" applyFill="1" applyBorder="1" applyAlignment="1">
      <alignment horizontal="center"/>
    </xf>
    <xf numFmtId="0" fontId="3" fillId="4" borderId="98" xfId="0" applyFont="1" applyFill="1" applyBorder="1" applyAlignment="1">
      <alignment horizontal="center"/>
    </xf>
    <xf numFmtId="0" fontId="3" fillId="4" borderId="101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1" fontId="1" fillId="4" borderId="139" xfId="0" applyNumberFormat="1" applyFont="1" applyFill="1" applyBorder="1" applyAlignment="1">
      <alignment horizontal="center"/>
    </xf>
    <xf numFmtId="3" fontId="3" fillId="4" borderId="5" xfId="1" applyNumberFormat="1" applyFont="1" applyFill="1" applyBorder="1" applyAlignment="1">
      <alignment horizontal="center"/>
    </xf>
    <xf numFmtId="3" fontId="1" fillId="0" borderId="0" xfId="0" applyNumberFormat="1" applyFont="1"/>
    <xf numFmtId="10" fontId="1" fillId="4" borderId="69" xfId="0" applyNumberFormat="1" applyFont="1" applyFill="1" applyBorder="1" applyAlignment="1">
      <alignment horizontal="center"/>
    </xf>
    <xf numFmtId="10" fontId="1" fillId="4" borderId="34" xfId="0" applyNumberFormat="1" applyFont="1" applyFill="1" applyBorder="1" applyAlignment="1">
      <alignment horizontal="center"/>
    </xf>
    <xf numFmtId="1" fontId="1" fillId="4" borderId="89" xfId="2" applyNumberFormat="1" applyFont="1" applyFill="1" applyBorder="1" applyAlignment="1">
      <alignment horizontal="center"/>
    </xf>
    <xf numFmtId="10" fontId="1" fillId="4" borderId="127" xfId="2" applyFont="1" applyFill="1" applyBorder="1" applyAlignment="1">
      <alignment horizontal="center"/>
    </xf>
    <xf numFmtId="10" fontId="1" fillId="4" borderId="129" xfId="2" applyFont="1" applyFill="1" applyBorder="1" applyAlignment="1">
      <alignment horizontal="center"/>
    </xf>
    <xf numFmtId="1" fontId="1" fillId="4" borderId="160" xfId="0" applyNumberFormat="1" applyFont="1" applyFill="1" applyBorder="1" applyAlignment="1">
      <alignment horizontal="center"/>
    </xf>
    <xf numFmtId="10" fontId="1" fillId="4" borderId="129" xfId="0" applyNumberFormat="1" applyFont="1" applyFill="1" applyBorder="1" applyAlignment="1">
      <alignment horizontal="center"/>
    </xf>
    <xf numFmtId="3" fontId="3" fillId="4" borderId="161" xfId="1" applyNumberFormat="1" applyFont="1" applyFill="1" applyBorder="1" applyAlignment="1">
      <alignment horizontal="center"/>
    </xf>
    <xf numFmtId="165" fontId="1" fillId="4" borderId="46" xfId="0" applyNumberFormat="1" applyFont="1" applyFill="1" applyBorder="1"/>
    <xf numFmtId="165" fontId="1" fillId="4" borderId="63" xfId="0" applyNumberFormat="1" applyFont="1" applyFill="1" applyBorder="1"/>
    <xf numFmtId="165" fontId="1" fillId="4" borderId="8" xfId="0" applyNumberFormat="1" applyFont="1" applyFill="1" applyBorder="1"/>
    <xf numFmtId="2" fontId="1" fillId="4" borderId="46" xfId="0" applyNumberFormat="1" applyFont="1" applyFill="1" applyBorder="1"/>
    <xf numFmtId="165" fontId="1" fillId="4" borderId="110" xfId="0" applyNumberFormat="1" applyFont="1" applyFill="1" applyBorder="1"/>
    <xf numFmtId="165" fontId="3" fillId="4" borderId="125" xfId="0" applyNumberFormat="1" applyFont="1" applyFill="1" applyBorder="1" applyAlignment="1">
      <alignment horizontal="right"/>
    </xf>
    <xf numFmtId="165" fontId="3" fillId="4" borderId="122" xfId="0" applyNumberFormat="1" applyFont="1" applyFill="1" applyBorder="1" applyAlignment="1">
      <alignment horizontal="right"/>
    </xf>
    <xf numFmtId="1" fontId="1" fillId="4" borderId="69" xfId="0" applyNumberFormat="1" applyFont="1" applyFill="1" applyBorder="1"/>
    <xf numFmtId="0" fontId="2" fillId="0" borderId="0" xfId="0" applyFont="1" applyAlignment="1">
      <alignment wrapText="1"/>
    </xf>
    <xf numFmtId="0" fontId="1" fillId="4" borderId="21" xfId="0" applyFont="1" applyFill="1" applyBorder="1" applyAlignment="1">
      <alignment horizontal="left" wrapText="1" indent="2"/>
    </xf>
    <xf numFmtId="0" fontId="1" fillId="2" borderId="46" xfId="0" applyFont="1" applyFill="1" applyBorder="1"/>
    <xf numFmtId="0" fontId="1" fillId="2" borderId="110" xfId="0" applyFont="1" applyFill="1" applyBorder="1"/>
    <xf numFmtId="0" fontId="3" fillId="2" borderId="155" xfId="0" applyFont="1" applyFill="1" applyBorder="1" applyAlignment="1">
      <alignment horizontal="right"/>
    </xf>
    <xf numFmtId="165" fontId="1" fillId="4" borderId="70" xfId="0" applyNumberFormat="1" applyFont="1" applyFill="1" applyBorder="1" applyAlignment="1">
      <alignment horizontal="right"/>
    </xf>
    <xf numFmtId="165" fontId="1" fillId="4" borderId="139" xfId="0" applyNumberFormat="1" applyFont="1" applyFill="1" applyBorder="1" applyAlignment="1">
      <alignment horizontal="right"/>
    </xf>
    <xf numFmtId="165" fontId="1" fillId="4" borderId="162" xfId="0" applyNumberFormat="1" applyFont="1" applyFill="1" applyBorder="1" applyAlignment="1">
      <alignment horizontal="right"/>
    </xf>
    <xf numFmtId="2" fontId="1" fillId="4" borderId="139" xfId="0" applyNumberFormat="1" applyFont="1" applyFill="1" applyBorder="1" applyAlignment="1">
      <alignment horizontal="right"/>
    </xf>
    <xf numFmtId="165" fontId="3" fillId="4" borderId="163" xfId="0" applyNumberFormat="1" applyFont="1" applyFill="1" applyBorder="1" applyAlignment="1">
      <alignment horizontal="right"/>
    </xf>
    <xf numFmtId="0" fontId="3" fillId="4" borderId="164" xfId="0" applyFont="1" applyFill="1" applyBorder="1" applyAlignment="1">
      <alignment horizontal="center"/>
    </xf>
    <xf numFmtId="1" fontId="1" fillId="0" borderId="24" xfId="0" applyNumberFormat="1" applyFont="1" applyBorder="1"/>
    <xf numFmtId="0" fontId="3" fillId="4" borderId="94" xfId="0" applyFont="1" applyFill="1" applyBorder="1" applyAlignment="1">
      <alignment horizontal="left" indent="3"/>
    </xf>
    <xf numFmtId="0" fontId="3" fillId="4" borderId="144" xfId="0" applyFont="1" applyFill="1" applyBorder="1" applyAlignment="1">
      <alignment horizontal="center"/>
    </xf>
    <xf numFmtId="0" fontId="3" fillId="4" borderId="123" xfId="0" applyFont="1" applyFill="1" applyBorder="1" applyAlignment="1">
      <alignment horizontal="center"/>
    </xf>
    <xf numFmtId="0" fontId="3" fillId="4" borderId="124" xfId="0" applyFont="1" applyFill="1" applyBorder="1" applyAlignment="1">
      <alignment horizontal="center"/>
    </xf>
    <xf numFmtId="0" fontId="3" fillId="4" borderId="122" xfId="0" applyFont="1" applyFill="1" applyBorder="1" applyAlignment="1">
      <alignment horizontal="center"/>
    </xf>
    <xf numFmtId="0" fontId="3" fillId="4" borderId="133" xfId="0" applyFont="1" applyFill="1" applyBorder="1" applyAlignment="1">
      <alignment horizontal="center"/>
    </xf>
    <xf numFmtId="0" fontId="1" fillId="4" borderId="166" xfId="0" applyFont="1" applyFill="1" applyBorder="1"/>
    <xf numFmtId="0" fontId="3" fillId="4" borderId="113" xfId="0" applyFont="1" applyFill="1" applyBorder="1" applyAlignment="1">
      <alignment horizontal="center"/>
    </xf>
    <xf numFmtId="0" fontId="1" fillId="4" borderId="165" xfId="0" applyFont="1" applyFill="1" applyBorder="1"/>
    <xf numFmtId="0" fontId="3" fillId="0" borderId="167" xfId="0" applyFont="1" applyBorder="1" applyAlignment="1">
      <alignment horizontal="left" indent="1"/>
    </xf>
    <xf numFmtId="0" fontId="3" fillId="4" borderId="168" xfId="0" applyFont="1" applyFill="1" applyBorder="1" applyAlignment="1">
      <alignment horizontal="center"/>
    </xf>
    <xf numFmtId="0" fontId="3" fillId="4" borderId="169" xfId="0" applyFont="1" applyFill="1" applyBorder="1" applyAlignment="1">
      <alignment horizontal="center"/>
    </xf>
    <xf numFmtId="0" fontId="3" fillId="4" borderId="170" xfId="0" applyFont="1" applyFill="1" applyBorder="1" applyAlignment="1">
      <alignment horizontal="center"/>
    </xf>
    <xf numFmtId="0" fontId="3" fillId="4" borderId="94" xfId="0" applyFont="1" applyFill="1" applyBorder="1" applyAlignment="1">
      <alignment horizontal="center"/>
    </xf>
    <xf numFmtId="0" fontId="3" fillId="4" borderId="167" xfId="0" applyFont="1" applyFill="1" applyBorder="1" applyAlignment="1">
      <alignment horizontal="left" indent="1"/>
    </xf>
    <xf numFmtId="0" fontId="3" fillId="2" borderId="174" xfId="0" applyFont="1" applyFill="1" applyBorder="1" applyAlignment="1">
      <alignment horizontal="right"/>
    </xf>
    <xf numFmtId="3" fontId="3" fillId="4" borderId="174" xfId="0" applyNumberFormat="1" applyFont="1" applyFill="1" applyBorder="1" applyAlignment="1">
      <alignment horizontal="right"/>
    </xf>
    <xf numFmtId="0" fontId="3" fillId="2" borderId="175" xfId="0" applyFont="1" applyFill="1" applyBorder="1" applyAlignment="1">
      <alignment horizontal="right"/>
    </xf>
    <xf numFmtId="3" fontId="3" fillId="4" borderId="176" xfId="0" applyNumberFormat="1" applyFont="1" applyFill="1" applyBorder="1" applyAlignment="1">
      <alignment horizontal="right"/>
    </xf>
    <xf numFmtId="0" fontId="3" fillId="4" borderId="174" xfId="0" applyFont="1" applyFill="1" applyBorder="1" applyAlignment="1">
      <alignment horizontal="right"/>
    </xf>
    <xf numFmtId="165" fontId="3" fillId="4" borderId="174" xfId="0" applyNumberFormat="1" applyFont="1" applyFill="1" applyBorder="1" applyAlignment="1">
      <alignment horizontal="right"/>
    </xf>
    <xf numFmtId="3" fontId="3" fillId="4" borderId="177" xfId="0" applyNumberFormat="1" applyFont="1" applyFill="1" applyBorder="1" applyAlignment="1">
      <alignment horizontal="right"/>
    </xf>
    <xf numFmtId="1" fontId="3" fillId="4" borderId="177" xfId="0" applyNumberFormat="1" applyFont="1" applyFill="1" applyBorder="1" applyAlignment="1">
      <alignment horizontal="right"/>
    </xf>
    <xf numFmtId="0" fontId="3" fillId="4" borderId="42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3" fillId="4" borderId="171" xfId="0" applyFont="1" applyFill="1" applyBorder="1" applyAlignment="1">
      <alignment horizontal="center"/>
    </xf>
    <xf numFmtId="0" fontId="3" fillId="4" borderId="172" xfId="0" applyFont="1" applyFill="1" applyBorder="1" applyAlignment="1">
      <alignment horizontal="center"/>
    </xf>
    <xf numFmtId="0" fontId="3" fillId="4" borderId="173" xfId="0" applyFont="1" applyFill="1" applyBorder="1" applyAlignment="1">
      <alignment horizontal="center"/>
    </xf>
    <xf numFmtId="0" fontId="3" fillId="4" borderId="178" xfId="0" applyFont="1" applyFill="1" applyBorder="1" applyAlignment="1">
      <alignment horizontal="center"/>
    </xf>
    <xf numFmtId="0" fontId="3" fillId="4" borderId="179" xfId="0" applyFont="1" applyFill="1" applyBorder="1" applyAlignment="1">
      <alignment horizontal="center"/>
    </xf>
    <xf numFmtId="3" fontId="1" fillId="4" borderId="66" xfId="1" applyNumberFormat="1" applyFont="1" applyFill="1" applyBorder="1" applyAlignment="1">
      <alignment horizontal="right"/>
    </xf>
    <xf numFmtId="0" fontId="1" fillId="4" borderId="67" xfId="0" applyFont="1" applyFill="1" applyBorder="1"/>
    <xf numFmtId="0" fontId="1" fillId="2" borderId="11" xfId="0" applyFont="1" applyFill="1" applyBorder="1"/>
    <xf numFmtId="3" fontId="1" fillId="4" borderId="108" xfId="0" applyNumberFormat="1" applyFont="1" applyFill="1" applyBorder="1"/>
    <xf numFmtId="0" fontId="1" fillId="2" borderId="100" xfId="0" applyFont="1" applyFill="1" applyBorder="1"/>
    <xf numFmtId="0" fontId="1" fillId="2" borderId="8" xfId="0" applyFont="1" applyFill="1" applyBorder="1"/>
    <xf numFmtId="3" fontId="1" fillId="4" borderId="156" xfId="0" applyNumberFormat="1" applyFont="1" applyFill="1" applyBorder="1"/>
    <xf numFmtId="0" fontId="1" fillId="2" borderId="157" xfId="0" applyFont="1" applyFill="1" applyBorder="1"/>
    <xf numFmtId="3" fontId="3" fillId="4" borderId="180" xfId="0" applyNumberFormat="1" applyFont="1" applyFill="1" applyBorder="1" applyAlignment="1">
      <alignment horizontal="right"/>
    </xf>
    <xf numFmtId="0" fontId="3" fillId="2" borderId="181" xfId="0" applyFont="1" applyFill="1" applyBorder="1" applyAlignment="1">
      <alignment horizontal="right"/>
    </xf>
    <xf numFmtId="165" fontId="1" fillId="4" borderId="157" xfId="0" applyNumberFormat="1" applyFont="1" applyFill="1" applyBorder="1"/>
    <xf numFmtId="0" fontId="3" fillId="4" borderId="181" xfId="0" applyFont="1" applyFill="1" applyBorder="1" applyAlignment="1">
      <alignment horizontal="right"/>
    </xf>
    <xf numFmtId="3" fontId="1" fillId="4" borderId="68" xfId="1" applyNumberFormat="1" applyFont="1" applyFill="1" applyBorder="1" applyAlignment="1">
      <alignment horizontal="right"/>
    </xf>
    <xf numFmtId="0" fontId="1" fillId="4" borderId="65" xfId="0" applyFont="1" applyFill="1" applyBorder="1"/>
    <xf numFmtId="165" fontId="3" fillId="4" borderId="181" xfId="0" applyNumberFormat="1" applyFont="1" applyFill="1" applyBorder="1" applyAlignment="1">
      <alignment horizontal="right"/>
    </xf>
    <xf numFmtId="165" fontId="1" fillId="4" borderId="11" xfId="0" applyNumberFormat="1" applyFont="1" applyFill="1" applyBorder="1"/>
    <xf numFmtId="165" fontId="1" fillId="4" borderId="100" xfId="0" applyNumberFormat="1" applyFont="1" applyFill="1" applyBorder="1"/>
    <xf numFmtId="165" fontId="3" fillId="4" borderId="182" xfId="0" applyNumberFormat="1" applyFont="1" applyFill="1" applyBorder="1" applyAlignment="1">
      <alignment horizontal="right"/>
    </xf>
    <xf numFmtId="0" fontId="1" fillId="4" borderId="69" xfId="0" applyFont="1" applyFill="1" applyBorder="1"/>
    <xf numFmtId="1" fontId="3" fillId="0" borderId="132" xfId="0" applyNumberFormat="1" applyFont="1" applyBorder="1"/>
    <xf numFmtId="1" fontId="3" fillId="0" borderId="126" xfId="0" applyNumberFormat="1" applyFont="1" applyFill="1" applyBorder="1"/>
    <xf numFmtId="165" fontId="1" fillId="4" borderId="95" xfId="0" applyNumberFormat="1" applyFont="1" applyFill="1" applyBorder="1" applyAlignment="1">
      <alignment horizontal="center"/>
    </xf>
    <xf numFmtId="0" fontId="1" fillId="4" borderId="29" xfId="0" applyFont="1" applyFill="1" applyBorder="1" applyAlignment="1">
      <alignment horizontal="left" indent="2"/>
    </xf>
    <xf numFmtId="0" fontId="3" fillId="4" borderId="79" xfId="0" applyFont="1" applyFill="1" applyBorder="1" applyAlignment="1">
      <alignment horizontal="center"/>
    </xf>
    <xf numFmtId="3" fontId="1" fillId="4" borderId="116" xfId="0" applyNumberFormat="1" applyFont="1" applyFill="1" applyBorder="1"/>
    <xf numFmtId="3" fontId="3" fillId="4" borderId="183" xfId="0" applyNumberFormat="1" applyFont="1" applyFill="1" applyBorder="1" applyAlignment="1">
      <alignment horizontal="right"/>
    </xf>
    <xf numFmtId="0" fontId="3" fillId="4" borderId="78" xfId="0" applyFont="1" applyFill="1" applyBorder="1" applyAlignment="1">
      <alignment horizontal="center"/>
    </xf>
    <xf numFmtId="0" fontId="3" fillId="4" borderId="99" xfId="0" applyFont="1" applyFill="1" applyBorder="1" applyAlignment="1">
      <alignment horizontal="center"/>
    </xf>
    <xf numFmtId="3" fontId="1" fillId="4" borderId="16" xfId="0" applyNumberFormat="1" applyFont="1" applyFill="1" applyBorder="1"/>
    <xf numFmtId="165" fontId="1" fillId="4" borderId="115" xfId="0" applyNumberFormat="1" applyFont="1" applyFill="1" applyBorder="1"/>
    <xf numFmtId="165" fontId="1" fillId="4" borderId="17" xfId="0" applyNumberFormat="1" applyFont="1" applyFill="1" applyBorder="1"/>
    <xf numFmtId="1" fontId="1" fillId="4" borderId="69" xfId="0" applyNumberFormat="1" applyFont="1" applyFill="1" applyBorder="1" applyAlignment="1">
      <alignment horizontal="right"/>
    </xf>
    <xf numFmtId="1" fontId="3" fillId="4" borderId="184" xfId="0" applyNumberFormat="1" applyFont="1" applyFill="1" applyBorder="1" applyAlignment="1">
      <alignment horizontal="right"/>
    </xf>
    <xf numFmtId="164" fontId="3" fillId="4" borderId="185" xfId="2" applyNumberFormat="1" applyFont="1" applyFill="1" applyBorder="1" applyAlignment="1">
      <alignment horizontal="center"/>
    </xf>
    <xf numFmtId="3" fontId="3" fillId="4" borderId="186" xfId="1" applyNumberFormat="1" applyFont="1" applyFill="1" applyBorder="1" applyAlignment="1">
      <alignment horizontal="center"/>
    </xf>
    <xf numFmtId="164" fontId="3" fillId="4" borderId="187" xfId="2" applyNumberFormat="1" applyFont="1" applyFill="1" applyBorder="1" applyAlignment="1">
      <alignment horizontal="center"/>
    </xf>
    <xf numFmtId="10" fontId="1" fillId="4" borderId="27" xfId="2" applyFont="1" applyFill="1" applyBorder="1" applyAlignment="1">
      <alignment horizontal="center"/>
    </xf>
    <xf numFmtId="1" fontId="1" fillId="4" borderId="27" xfId="0" applyNumberFormat="1" applyFont="1" applyFill="1" applyBorder="1" applyAlignment="1">
      <alignment horizontal="center"/>
    </xf>
    <xf numFmtId="1" fontId="3" fillId="0" borderId="138" xfId="0" applyNumberFormat="1" applyFont="1" applyBorder="1"/>
    <xf numFmtId="1" fontId="1" fillId="2" borderId="129" xfId="0" applyNumberFormat="1" applyFont="1" applyFill="1" applyBorder="1" applyAlignment="1">
      <alignment horizontal="right"/>
    </xf>
    <xf numFmtId="1" fontId="1" fillId="2" borderId="23" xfId="2" applyNumberFormat="1" applyFont="1" applyFill="1" applyBorder="1" applyAlignment="1">
      <alignment horizontal="center"/>
    </xf>
    <xf numFmtId="10" fontId="1" fillId="2" borderId="22" xfId="2" applyFont="1" applyFill="1" applyBorder="1" applyAlignment="1">
      <alignment horizontal="center"/>
    </xf>
    <xf numFmtId="1" fontId="1" fillId="2" borderId="89" xfId="2" applyNumberFormat="1" applyFont="1" applyFill="1" applyBorder="1" applyAlignment="1">
      <alignment horizontal="center"/>
    </xf>
    <xf numFmtId="10" fontId="1" fillId="2" borderId="127" xfId="2" applyFont="1" applyFill="1" applyBorder="1" applyAlignment="1">
      <alignment horizontal="center"/>
    </xf>
    <xf numFmtId="1" fontId="1" fillId="2" borderId="33" xfId="2" applyNumberFormat="1" applyFont="1" applyFill="1" applyBorder="1" applyAlignment="1">
      <alignment horizontal="center"/>
    </xf>
    <xf numFmtId="10" fontId="1" fillId="2" borderId="32" xfId="2" applyFont="1" applyFill="1" applyBorder="1" applyAlignment="1">
      <alignment horizontal="center"/>
    </xf>
    <xf numFmtId="1" fontId="1" fillId="2" borderId="140" xfId="2" applyNumberFormat="1" applyFont="1" applyFill="1" applyBorder="1" applyAlignment="1">
      <alignment horizontal="center"/>
    </xf>
    <xf numFmtId="10" fontId="1" fillId="2" borderId="141" xfId="2" applyFont="1" applyFill="1" applyBorder="1" applyAlignment="1">
      <alignment horizontal="center"/>
    </xf>
    <xf numFmtId="1" fontId="1" fillId="4" borderId="59" xfId="0" applyNumberFormat="1" applyFont="1" applyFill="1" applyBorder="1" applyAlignment="1">
      <alignment horizontal="left" wrapText="1" indent="2"/>
    </xf>
    <xf numFmtId="0" fontId="1" fillId="4" borderId="26" xfId="0" applyFont="1" applyFill="1" applyBorder="1" applyAlignment="1">
      <alignment horizontal="left" wrapText="1" indent="2"/>
    </xf>
    <xf numFmtId="0" fontId="1" fillId="4" borderId="30" xfId="0" applyFont="1" applyFill="1" applyBorder="1" applyAlignment="1">
      <alignment horizontal="left" wrapText="1" indent="2"/>
    </xf>
    <xf numFmtId="164" fontId="1" fillId="4" borderId="42" xfId="2" applyNumberFormat="1" applyFont="1" applyFill="1" applyBorder="1" applyAlignment="1">
      <alignment horizontal="center"/>
    </xf>
    <xf numFmtId="164" fontId="1" fillId="4" borderId="40" xfId="2" applyNumberFormat="1" applyFont="1" applyFill="1" applyBorder="1" applyAlignment="1">
      <alignment horizontal="center"/>
    </xf>
    <xf numFmtId="164" fontId="1" fillId="4" borderId="41" xfId="2" applyNumberFormat="1" applyFont="1" applyFill="1" applyBorder="1" applyAlignment="1">
      <alignment horizontal="center"/>
    </xf>
    <xf numFmtId="164" fontId="0" fillId="4" borderId="0" xfId="2" applyNumberFormat="1" applyFont="1" applyFill="1"/>
    <xf numFmtId="164" fontId="1" fillId="4" borderId="50" xfId="2" applyNumberFormat="1" applyFont="1" applyFill="1" applyBorder="1" applyAlignment="1">
      <alignment horizontal="center"/>
    </xf>
    <xf numFmtId="164" fontId="1" fillId="4" borderId="48" xfId="2" applyNumberFormat="1" applyFont="1" applyFill="1" applyBorder="1" applyAlignment="1">
      <alignment horizontal="center"/>
    </xf>
    <xf numFmtId="164" fontId="1" fillId="4" borderId="27" xfId="2" applyNumberFormat="1" applyFont="1" applyFill="1" applyBorder="1" applyAlignment="1">
      <alignment horizontal="center"/>
    </xf>
    <xf numFmtId="164" fontId="1" fillId="4" borderId="28" xfId="2" applyNumberFormat="1" applyFont="1" applyFill="1" applyBorder="1" applyAlignment="1">
      <alignment horizontal="center"/>
    </xf>
    <xf numFmtId="1" fontId="3" fillId="0" borderId="94" xfId="0" applyNumberFormat="1" applyFon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/>
    </xf>
    <xf numFmtId="1" fontId="1" fillId="0" borderId="59" xfId="0" applyNumberFormat="1" applyFont="1" applyFill="1" applyBorder="1" applyAlignment="1">
      <alignment horizontal="right"/>
    </xf>
    <xf numFmtId="1" fontId="1" fillId="0" borderId="71" xfId="0" applyNumberFormat="1" applyFont="1" applyBorder="1" applyAlignment="1">
      <alignment horizontal="right"/>
    </xf>
    <xf numFmtId="0" fontId="1" fillId="0" borderId="144" xfId="0" applyFont="1" applyFill="1" applyBorder="1" applyAlignment="1">
      <alignment horizontal="right"/>
    </xf>
    <xf numFmtId="0" fontId="1" fillId="0" borderId="115" xfId="0" applyFont="1" applyFill="1" applyBorder="1" applyAlignment="1">
      <alignment wrapText="1"/>
    </xf>
    <xf numFmtId="0" fontId="10" fillId="0" borderId="59" xfId="0" applyFont="1" applyFill="1" applyBorder="1" applyAlignment="1">
      <alignment wrapText="1"/>
    </xf>
    <xf numFmtId="0" fontId="1" fillId="4" borderId="146" xfId="0" applyFont="1" applyFill="1" applyBorder="1"/>
    <xf numFmtId="0" fontId="1" fillId="4" borderId="22" xfId="0" applyFont="1" applyFill="1" applyBorder="1"/>
    <xf numFmtId="1" fontId="1" fillId="0" borderId="18" xfId="0" applyNumberFormat="1" applyFont="1" applyFill="1" applyBorder="1"/>
    <xf numFmtId="165" fontId="1" fillId="4" borderId="66" xfId="0" applyNumberFormat="1" applyFont="1" applyFill="1" applyBorder="1"/>
    <xf numFmtId="165" fontId="1" fillId="4" borderId="66" xfId="0" applyNumberFormat="1" applyFont="1" applyFill="1" applyBorder="1" applyAlignment="1">
      <alignment horizontal="right"/>
    </xf>
    <xf numFmtId="165" fontId="1" fillId="4" borderId="128" xfId="0" applyNumberFormat="1" applyFont="1" applyFill="1" applyBorder="1" applyAlignment="1">
      <alignment horizontal="right"/>
    </xf>
    <xf numFmtId="165" fontId="3" fillId="4" borderId="183" xfId="0" applyNumberFormat="1" applyFont="1" applyFill="1" applyBorder="1" applyAlignment="1">
      <alignment horizontal="right"/>
    </xf>
    <xf numFmtId="0" fontId="1" fillId="4" borderId="59" xfId="0" applyFont="1" applyFill="1" applyBorder="1" applyAlignment="1">
      <alignment horizontal="left" wrapText="1" indent="2"/>
    </xf>
    <xf numFmtId="0" fontId="3" fillId="4" borderId="59" xfId="0" applyFont="1" applyFill="1" applyBorder="1" applyAlignment="1">
      <alignment horizontal="left" indent="2"/>
    </xf>
    <xf numFmtId="0" fontId="1" fillId="4" borderId="21" xfId="3" applyFont="1" applyFill="1" applyBorder="1" applyAlignment="1">
      <alignment horizontal="left" indent="1"/>
    </xf>
    <xf numFmtId="0" fontId="1" fillId="4" borderId="26" xfId="3" applyFont="1" applyFill="1" applyBorder="1" applyAlignment="1">
      <alignment horizontal="left" indent="1"/>
    </xf>
    <xf numFmtId="0" fontId="1" fillId="4" borderId="30" xfId="3" applyFont="1" applyFill="1" applyBorder="1" applyAlignment="1">
      <alignment horizontal="left" indent="1"/>
    </xf>
    <xf numFmtId="0" fontId="1" fillId="4" borderId="7" xfId="0" applyFont="1" applyFill="1" applyBorder="1" applyAlignment="1">
      <alignment horizontal="left" indent="2"/>
    </xf>
    <xf numFmtId="0" fontId="1" fillId="4" borderId="79" xfId="0" applyFont="1" applyFill="1" applyBorder="1" applyAlignment="1">
      <alignment horizontal="left" indent="2"/>
    </xf>
    <xf numFmtId="1" fontId="3" fillId="5" borderId="126" xfId="0" applyNumberFormat="1" applyFont="1" applyFill="1" applyBorder="1" applyAlignment="1">
      <alignment horizontal="right"/>
    </xf>
    <xf numFmtId="1" fontId="3" fillId="5" borderId="24" xfId="0" applyNumberFormat="1" applyFont="1" applyFill="1" applyBorder="1" applyAlignment="1">
      <alignment horizontal="right"/>
    </xf>
    <xf numFmtId="1" fontId="1" fillId="5" borderId="34" xfId="0" applyNumberFormat="1" applyFont="1" applyFill="1" applyBorder="1" applyAlignment="1">
      <alignment horizontal="right"/>
    </xf>
    <xf numFmtId="164" fontId="1" fillId="5" borderId="43" xfId="2" applyNumberFormat="1" applyFont="1" applyFill="1" applyBorder="1" applyAlignment="1">
      <alignment horizontal="center"/>
    </xf>
    <xf numFmtId="164" fontId="1" fillId="5" borderId="36" xfId="2" applyNumberFormat="1" applyFont="1" applyFill="1" applyBorder="1" applyAlignment="1">
      <alignment horizontal="center"/>
    </xf>
    <xf numFmtId="1" fontId="3" fillId="5" borderId="12" xfId="0" applyNumberFormat="1" applyFont="1" applyFill="1" applyBorder="1" applyAlignment="1">
      <alignment horizontal="right"/>
    </xf>
    <xf numFmtId="2" fontId="1" fillId="0" borderId="29" xfId="0" applyNumberFormat="1" applyFont="1" applyBorder="1" applyAlignment="1">
      <alignment horizontal="left" wrapText="1" indent="2"/>
    </xf>
    <xf numFmtId="2" fontId="1" fillId="4" borderId="63" xfId="4" applyNumberFormat="1" applyFont="1" applyFill="1" applyBorder="1"/>
    <xf numFmtId="2" fontId="1" fillId="4" borderId="62" xfId="4" applyNumberFormat="1" applyFont="1" applyFill="1" applyBorder="1"/>
    <xf numFmtId="2" fontId="3" fillId="4" borderId="61" xfId="0" applyNumberFormat="1" applyFont="1" applyFill="1" applyBorder="1"/>
    <xf numFmtId="2" fontId="1" fillId="4" borderId="0" xfId="0" applyNumberFormat="1" applyFont="1" applyFill="1"/>
    <xf numFmtId="2" fontId="1" fillId="4" borderId="55" xfId="0" applyNumberFormat="1" applyFont="1" applyFill="1" applyBorder="1"/>
    <xf numFmtId="2" fontId="1" fillId="0" borderId="0" xfId="0" applyNumberFormat="1" applyFont="1"/>
    <xf numFmtId="2" fontId="1" fillId="0" borderId="7" xfId="0" applyNumberFormat="1" applyFont="1" applyBorder="1" applyAlignment="1">
      <alignment horizontal="left" wrapText="1" indent="3"/>
    </xf>
    <xf numFmtId="2" fontId="1" fillId="4" borderId="92" xfId="4" applyNumberFormat="1" applyFont="1" applyFill="1" applyBorder="1"/>
    <xf numFmtId="2" fontId="1" fillId="4" borderId="64" xfId="4" applyNumberFormat="1" applyFont="1" applyFill="1" applyBorder="1"/>
    <xf numFmtId="2" fontId="1" fillId="4" borderId="0" xfId="4" applyNumberFormat="1" applyFont="1" applyFill="1" applyBorder="1"/>
    <xf numFmtId="2" fontId="3" fillId="4" borderId="92" xfId="0" applyNumberFormat="1" applyFont="1" applyFill="1" applyBorder="1"/>
    <xf numFmtId="2" fontId="1" fillId="4" borderId="14" xfId="0" applyNumberFormat="1" applyFont="1" applyFill="1" applyBorder="1"/>
    <xf numFmtId="2" fontId="1" fillId="4" borderId="58" xfId="0" applyNumberFormat="1" applyFont="1" applyFill="1" applyBorder="1"/>
    <xf numFmtId="2" fontId="1" fillId="4" borderId="13" xfId="0" applyNumberFormat="1" applyFont="1" applyFill="1" applyBorder="1"/>
    <xf numFmtId="164" fontId="1" fillId="4" borderId="35" xfId="2" applyNumberFormat="1" applyFont="1" applyFill="1" applyBorder="1" applyAlignment="1">
      <alignment horizontal="center"/>
    </xf>
    <xf numFmtId="164" fontId="1" fillId="4" borderId="36" xfId="2" applyNumberFormat="1" applyFont="1" applyFill="1" applyBorder="1" applyAlignment="1">
      <alignment horizontal="center"/>
    </xf>
    <xf numFmtId="3" fontId="3" fillId="4" borderId="188" xfId="1" applyNumberFormat="1" applyFont="1" applyFill="1" applyBorder="1" applyAlignment="1">
      <alignment horizontal="center"/>
    </xf>
    <xf numFmtId="1" fontId="1" fillId="4" borderId="189" xfId="0" applyNumberFormat="1" applyFont="1" applyFill="1" applyBorder="1" applyAlignment="1">
      <alignment horizontal="center"/>
    </xf>
    <xf numFmtId="10" fontId="0" fillId="0" borderId="14" xfId="2" applyFont="1" applyBorder="1"/>
    <xf numFmtId="0" fontId="0" fillId="4" borderId="0" xfId="0" applyFill="1" applyBorder="1" applyAlignment="1">
      <alignment horizontal="center"/>
    </xf>
    <xf numFmtId="3" fontId="3" fillId="4" borderId="14" xfId="0" applyNumberFormat="1" applyFont="1" applyFill="1" applyBorder="1"/>
    <xf numFmtId="0" fontId="3" fillId="4" borderId="190" xfId="0" applyFont="1" applyFill="1" applyBorder="1" applyAlignment="1">
      <alignment horizontal="center"/>
    </xf>
    <xf numFmtId="0" fontId="1" fillId="4" borderId="52" xfId="0" applyFont="1" applyFill="1" applyBorder="1"/>
    <xf numFmtId="165" fontId="1" fillId="4" borderId="44" xfId="0" applyNumberFormat="1" applyFont="1" applyFill="1" applyBorder="1"/>
    <xf numFmtId="165" fontId="1" fillId="4" borderId="61" xfId="0" applyNumberFormat="1" applyFont="1" applyFill="1" applyBorder="1"/>
    <xf numFmtId="165" fontId="3" fillId="4" borderId="135" xfId="0" applyNumberFormat="1" applyFont="1" applyFill="1" applyBorder="1" applyAlignment="1">
      <alignment horizontal="right"/>
    </xf>
    <xf numFmtId="0" fontId="3" fillId="4" borderId="135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right"/>
    </xf>
    <xf numFmtId="0" fontId="3" fillId="0" borderId="78" xfId="0" applyFont="1" applyBorder="1" applyAlignment="1">
      <alignment horizontal="center" wrapText="1"/>
    </xf>
    <xf numFmtId="0" fontId="3" fillId="0" borderId="192" xfId="0" applyFont="1" applyFill="1" applyBorder="1" applyAlignment="1">
      <alignment horizontal="center"/>
    </xf>
    <xf numFmtId="0" fontId="3" fillId="0" borderId="125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right"/>
    </xf>
    <xf numFmtId="164" fontId="1" fillId="4" borderId="60" xfId="4" applyNumberFormat="1" applyFont="1" applyFill="1" applyBorder="1"/>
    <xf numFmtId="3" fontId="3" fillId="4" borderId="193" xfId="1" applyNumberFormat="1" applyFont="1" applyFill="1" applyBorder="1" applyAlignment="1">
      <alignment horizontal="center"/>
    </xf>
    <xf numFmtId="1" fontId="1" fillId="2" borderId="93" xfId="2" applyNumberFormat="1" applyFont="1" applyFill="1" applyBorder="1" applyAlignment="1">
      <alignment horizontal="center"/>
    </xf>
    <xf numFmtId="1" fontId="1" fillId="2" borderId="31" xfId="2" applyNumberFormat="1" applyFont="1" applyFill="1" applyBorder="1" applyAlignment="1">
      <alignment horizontal="center"/>
    </xf>
    <xf numFmtId="0" fontId="3" fillId="4" borderId="64" xfId="0" applyFont="1" applyFill="1" applyBorder="1" applyAlignment="1">
      <alignment horizontal="center"/>
    </xf>
    <xf numFmtId="0" fontId="4" fillId="4" borderId="79" xfId="0" applyFont="1" applyFill="1" applyBorder="1" applyAlignment="1">
      <alignment horizontal="left" indent="2"/>
    </xf>
    <xf numFmtId="0" fontId="1" fillId="4" borderId="51" xfId="3" applyFont="1" applyFill="1" applyBorder="1" applyAlignment="1">
      <alignment horizontal="left" indent="1"/>
    </xf>
    <xf numFmtId="0" fontId="1" fillId="4" borderId="54" xfId="3" applyFont="1" applyFill="1" applyBorder="1" applyAlignment="1">
      <alignment horizontal="left" indent="1"/>
    </xf>
    <xf numFmtId="0" fontId="2" fillId="4" borderId="58" xfId="0" applyFont="1" applyFill="1" applyBorder="1"/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3" fillId="4" borderId="1" xfId="3" applyFont="1" applyFill="1" applyBorder="1"/>
    <xf numFmtId="0" fontId="1" fillId="0" borderId="29" xfId="0" applyFont="1" applyBorder="1" applyAlignment="1">
      <alignment horizontal="left" wrapText="1" indent="2"/>
    </xf>
    <xf numFmtId="0" fontId="3" fillId="4" borderId="0" xfId="0" applyFont="1" applyFill="1"/>
    <xf numFmtId="0" fontId="3" fillId="4" borderId="194" xfId="0" applyFont="1" applyFill="1" applyBorder="1" applyAlignment="1">
      <alignment horizontal="center"/>
    </xf>
    <xf numFmtId="0" fontId="1" fillId="5" borderId="115" xfId="0" applyFont="1" applyFill="1" applyBorder="1"/>
    <xf numFmtId="3" fontId="1" fillId="4" borderId="69" xfId="1" applyNumberFormat="1" applyFont="1" applyFill="1" applyBorder="1" applyAlignment="1">
      <alignment horizontal="right"/>
    </xf>
    <xf numFmtId="0" fontId="1" fillId="4" borderId="115" xfId="0" applyFont="1" applyFill="1" applyBorder="1"/>
    <xf numFmtId="0" fontId="1" fillId="4" borderId="139" xfId="0" applyFont="1" applyFill="1" applyBorder="1"/>
    <xf numFmtId="165" fontId="1" fillId="4" borderId="70" xfId="0" applyNumberFormat="1" applyFont="1" applyFill="1" applyBorder="1"/>
    <xf numFmtId="165" fontId="1" fillId="4" borderId="105" xfId="0" applyNumberFormat="1" applyFont="1" applyFill="1" applyBorder="1"/>
    <xf numFmtId="165" fontId="1" fillId="4" borderId="55" xfId="3" applyNumberFormat="1" applyFont="1" applyFill="1" applyBorder="1" applyAlignment="1"/>
    <xf numFmtId="1" fontId="1" fillId="4" borderId="195" xfId="0" applyNumberFormat="1" applyFont="1" applyFill="1" applyBorder="1"/>
    <xf numFmtId="0" fontId="3" fillId="4" borderId="7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1" fontId="3" fillId="0" borderId="86" xfId="0" applyNumberFormat="1" applyFont="1" applyFill="1" applyBorder="1"/>
    <xf numFmtId="10" fontId="1" fillId="0" borderId="28" xfId="2" applyFont="1" applyBorder="1" applyAlignment="1">
      <alignment horizontal="center"/>
    </xf>
    <xf numFmtId="165" fontId="1" fillId="0" borderId="36" xfId="0" applyNumberFormat="1" applyFont="1" applyBorder="1" applyAlignment="1">
      <alignment horizontal="center"/>
    </xf>
    <xf numFmtId="10" fontId="1" fillId="0" borderId="111" xfId="2" applyFont="1" applyBorder="1" applyAlignment="1">
      <alignment horizontal="center"/>
    </xf>
    <xf numFmtId="10" fontId="1" fillId="0" borderId="27" xfId="2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6" fillId="2" borderId="9" xfId="6" applyNumberFormat="1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1" fontId="3" fillId="4" borderId="17" xfId="0" applyNumberFormat="1" applyFont="1" applyFill="1" applyBorder="1" applyAlignment="1">
      <alignment horizontal="right"/>
    </xf>
    <xf numFmtId="1" fontId="2" fillId="4" borderId="0" xfId="0" applyNumberFormat="1" applyFont="1" applyFill="1"/>
    <xf numFmtId="0" fontId="1" fillId="4" borderId="89" xfId="0" applyFont="1" applyFill="1" applyBorder="1" applyAlignment="1">
      <alignment horizontal="right"/>
    </xf>
    <xf numFmtId="0" fontId="1" fillId="4" borderId="128" xfId="0" applyFont="1" applyFill="1" applyBorder="1" applyAlignment="1">
      <alignment horizontal="right"/>
    </xf>
    <xf numFmtId="0" fontId="1" fillId="4" borderId="127" xfId="0" applyFont="1" applyFill="1" applyBorder="1" applyAlignment="1">
      <alignment horizontal="right"/>
    </xf>
    <xf numFmtId="0" fontId="1" fillId="4" borderId="73" xfId="0" applyFont="1" applyFill="1" applyBorder="1" applyAlignment="1">
      <alignment horizontal="right"/>
    </xf>
    <xf numFmtId="1" fontId="3" fillId="4" borderId="116" xfId="0" applyNumberFormat="1" applyFont="1" applyFill="1" applyBorder="1" applyAlignment="1">
      <alignment horizontal="right"/>
    </xf>
    <xf numFmtId="1" fontId="3" fillId="4" borderId="115" xfId="0" applyNumberFormat="1" applyFont="1" applyFill="1" applyBorder="1" applyAlignment="1">
      <alignment horizontal="right"/>
    </xf>
    <xf numFmtId="1" fontId="3" fillId="4" borderId="16" xfId="0" applyNumberFormat="1" applyFont="1" applyFill="1" applyBorder="1" applyAlignment="1">
      <alignment horizontal="right"/>
    </xf>
    <xf numFmtId="1" fontId="1" fillId="4" borderId="59" xfId="0" applyNumberFormat="1" applyFont="1" applyFill="1" applyBorder="1" applyAlignment="1">
      <alignment horizontal="left" indent="2"/>
    </xf>
    <xf numFmtId="10" fontId="1" fillId="4" borderId="28" xfId="2" applyFont="1" applyFill="1" applyBorder="1" applyAlignment="1">
      <alignment horizontal="center"/>
    </xf>
    <xf numFmtId="10" fontId="1" fillId="4" borderId="111" xfId="2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3" fontId="3" fillId="4" borderId="38" xfId="1" applyNumberFormat="1" applyFont="1" applyFill="1" applyBorder="1" applyAlignment="1">
      <alignment horizontal="center"/>
    </xf>
    <xf numFmtId="164" fontId="3" fillId="4" borderId="39" xfId="2" applyNumberFormat="1" applyFont="1" applyFill="1" applyBorder="1" applyAlignment="1">
      <alignment horizontal="center"/>
    </xf>
    <xf numFmtId="3" fontId="3" fillId="4" borderId="196" xfId="1" applyNumberFormat="1" applyFont="1" applyFill="1" applyBorder="1" applyAlignment="1">
      <alignment horizontal="center"/>
    </xf>
    <xf numFmtId="0" fontId="3" fillId="4" borderId="21" xfId="3" applyFont="1" applyFill="1" applyBorder="1" applyAlignment="1">
      <alignment horizontal="left" wrapText="1" indent="1"/>
    </xf>
    <xf numFmtId="0" fontId="1" fillId="5" borderId="17" xfId="0" applyFont="1" applyFill="1" applyBorder="1"/>
    <xf numFmtId="0" fontId="3" fillId="4" borderId="182" xfId="0" applyFont="1" applyFill="1" applyBorder="1" applyAlignment="1">
      <alignment horizontal="right"/>
    </xf>
    <xf numFmtId="3" fontId="3" fillId="4" borderId="184" xfId="0" applyNumberFormat="1" applyFont="1" applyFill="1" applyBorder="1" applyAlignment="1">
      <alignment horizontal="right"/>
    </xf>
    <xf numFmtId="0" fontId="3" fillId="4" borderId="197" xfId="0" applyFont="1" applyFill="1" applyBorder="1" applyAlignment="1">
      <alignment horizontal="center"/>
    </xf>
    <xf numFmtId="165" fontId="3" fillId="4" borderId="163" xfId="0" applyNumberFormat="1" applyFont="1" applyFill="1" applyBorder="1"/>
    <xf numFmtId="0" fontId="3" fillId="4" borderId="139" xfId="0" applyFont="1" applyFill="1" applyBorder="1" applyAlignment="1">
      <alignment horizontal="center"/>
    </xf>
    <xf numFmtId="164" fontId="1" fillId="4" borderId="63" xfId="4" applyNumberFormat="1" applyFont="1" applyFill="1" applyBorder="1"/>
    <xf numFmtId="0" fontId="1" fillId="4" borderId="62" xfId="4" applyNumberFormat="1" applyFont="1" applyFill="1" applyBorder="1"/>
    <xf numFmtId="0" fontId="3" fillId="4" borderId="61" xfId="0" applyFont="1" applyFill="1" applyBorder="1"/>
    <xf numFmtId="0" fontId="1" fillId="4" borderId="179" xfId="0" applyFont="1" applyFill="1" applyBorder="1" applyAlignment="1">
      <alignment horizontal="center"/>
    </xf>
    <xf numFmtId="0" fontId="1" fillId="4" borderId="178" xfId="0" applyFont="1" applyFill="1" applyBorder="1" applyAlignment="1">
      <alignment horizontal="center"/>
    </xf>
    <xf numFmtId="0" fontId="1" fillId="4" borderId="164" xfId="0" applyFont="1" applyFill="1" applyBorder="1" applyAlignment="1">
      <alignment horizontal="center"/>
    </xf>
    <xf numFmtId="0" fontId="1" fillId="4" borderId="194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left" indent="1"/>
    </xf>
    <xf numFmtId="0" fontId="1" fillId="4" borderId="71" xfId="0" applyFont="1" applyFill="1" applyBorder="1" applyAlignment="1">
      <alignment horizontal="left" indent="2"/>
    </xf>
    <xf numFmtId="164" fontId="1" fillId="4" borderId="202" xfId="4" applyNumberFormat="1" applyFont="1" applyFill="1" applyBorder="1"/>
    <xf numFmtId="0" fontId="1" fillId="4" borderId="203" xfId="4" applyNumberFormat="1" applyFont="1" applyFill="1" applyBorder="1"/>
    <xf numFmtId="0" fontId="3" fillId="4" borderId="204" xfId="0" applyFont="1" applyFill="1" applyBorder="1"/>
    <xf numFmtId="0" fontId="3" fillId="0" borderId="21" xfId="0" applyFont="1" applyBorder="1" applyAlignment="1">
      <alignment horizontal="left" indent="2"/>
    </xf>
    <xf numFmtId="0" fontId="3" fillId="0" borderId="26" xfId="0" applyFont="1" applyBorder="1" applyAlignment="1">
      <alignment horizontal="left" indent="2"/>
    </xf>
    <xf numFmtId="0" fontId="1" fillId="0" borderId="26" xfId="0" applyFont="1" applyBorder="1" applyAlignment="1">
      <alignment horizontal="left" indent="3"/>
    </xf>
    <xf numFmtId="0" fontId="1" fillId="0" borderId="7" xfId="0" applyFont="1" applyBorder="1" applyAlignment="1">
      <alignment horizontal="left" indent="3"/>
    </xf>
    <xf numFmtId="0" fontId="3" fillId="4" borderId="59" xfId="0" applyFont="1" applyFill="1" applyBorder="1" applyAlignment="1">
      <alignment horizontal="left" indent="1"/>
    </xf>
    <xf numFmtId="0" fontId="3" fillId="0" borderId="179" xfId="0" applyFont="1" applyFill="1" applyBorder="1" applyAlignment="1">
      <alignment horizontal="center"/>
    </xf>
    <xf numFmtId="0" fontId="3" fillId="0" borderId="178" xfId="0" applyFont="1" applyFill="1" applyBorder="1" applyAlignment="1">
      <alignment horizontal="center"/>
    </xf>
    <xf numFmtId="3" fontId="1" fillId="0" borderId="66" xfId="1" applyNumberFormat="1" applyFont="1" applyFill="1" applyBorder="1" applyAlignment="1">
      <alignment horizontal="right"/>
    </xf>
    <xf numFmtId="3" fontId="1" fillId="0" borderId="10" xfId="1" applyNumberFormat="1" applyFont="1" applyFill="1" applyBorder="1" applyAlignment="1">
      <alignment horizontal="right"/>
    </xf>
    <xf numFmtId="3" fontId="1" fillId="0" borderId="10" xfId="0" applyNumberFormat="1" applyFont="1" applyFill="1" applyBorder="1"/>
    <xf numFmtId="0" fontId="3" fillId="0" borderId="181" xfId="0" applyFont="1" applyFill="1" applyBorder="1" applyAlignment="1">
      <alignment horizontal="right"/>
    </xf>
    <xf numFmtId="3" fontId="3" fillId="0" borderId="183" xfId="0" applyNumberFormat="1" applyFont="1" applyFill="1" applyBorder="1" applyAlignment="1">
      <alignment horizontal="right"/>
    </xf>
    <xf numFmtId="3" fontId="1" fillId="0" borderId="68" xfId="1" applyNumberFormat="1" applyFont="1" applyFill="1" applyBorder="1" applyAlignment="1">
      <alignment horizontal="right"/>
    </xf>
    <xf numFmtId="3" fontId="1" fillId="0" borderId="9" xfId="1" applyNumberFormat="1" applyFont="1" applyFill="1" applyBorder="1" applyAlignment="1">
      <alignment horizontal="right"/>
    </xf>
    <xf numFmtId="3" fontId="1" fillId="0" borderId="9" xfId="0" applyNumberFormat="1" applyFont="1" applyFill="1" applyBorder="1"/>
    <xf numFmtId="0" fontId="3" fillId="0" borderId="182" xfId="0" applyFont="1" applyFill="1" applyBorder="1" applyAlignment="1">
      <alignment horizontal="right"/>
    </xf>
    <xf numFmtId="3" fontId="3" fillId="0" borderId="180" xfId="0" applyNumberFormat="1" applyFont="1" applyFill="1" applyBorder="1" applyAlignment="1">
      <alignment horizontal="right"/>
    </xf>
    <xf numFmtId="165" fontId="1" fillId="0" borderId="8" xfId="0" applyNumberFormat="1" applyFont="1" applyFill="1" applyBorder="1"/>
    <xf numFmtId="165" fontId="3" fillId="0" borderId="181" xfId="0" applyNumberFormat="1" applyFont="1" applyFill="1" applyBorder="1" applyAlignment="1">
      <alignment horizontal="right"/>
    </xf>
    <xf numFmtId="0" fontId="3" fillId="0" borderId="164" xfId="0" applyFont="1" applyFill="1" applyBorder="1" applyAlignment="1">
      <alignment horizontal="center"/>
    </xf>
    <xf numFmtId="3" fontId="1" fillId="0" borderId="69" xfId="1" applyNumberFormat="1" applyFont="1" applyFill="1" applyBorder="1" applyAlignment="1">
      <alignment horizontal="right"/>
    </xf>
    <xf numFmtId="3" fontId="1" fillId="0" borderId="12" xfId="1" applyNumberFormat="1" applyFont="1" applyFill="1" applyBorder="1" applyAlignment="1">
      <alignment horizontal="right"/>
    </xf>
    <xf numFmtId="3" fontId="1" fillId="0" borderId="12" xfId="0" applyNumberFormat="1" applyFont="1" applyFill="1" applyBorder="1"/>
    <xf numFmtId="3" fontId="1" fillId="0" borderId="18" xfId="0" applyNumberFormat="1" applyFont="1" applyFill="1" applyBorder="1"/>
    <xf numFmtId="3" fontId="3" fillId="0" borderId="184" xfId="0" applyNumberFormat="1" applyFont="1" applyFill="1" applyBorder="1" applyAlignment="1">
      <alignment horizontal="right"/>
    </xf>
    <xf numFmtId="0" fontId="1" fillId="0" borderId="139" xfId="0" applyFont="1" applyBorder="1"/>
    <xf numFmtId="0" fontId="1" fillId="0" borderId="69" xfId="0" applyFont="1" applyBorder="1"/>
    <xf numFmtId="1" fontId="1" fillId="0" borderId="69" xfId="0" applyNumberFormat="1" applyFont="1" applyBorder="1" applyAlignment="1">
      <alignment horizontal="right"/>
    </xf>
    <xf numFmtId="1" fontId="1" fillId="0" borderId="129" xfId="0" applyNumberFormat="1" applyFont="1" applyBorder="1" applyAlignment="1">
      <alignment horizontal="right"/>
    </xf>
    <xf numFmtId="1" fontId="3" fillId="0" borderId="184" xfId="0" applyNumberFormat="1" applyFont="1" applyBorder="1" applyAlignment="1">
      <alignment horizontal="right"/>
    </xf>
    <xf numFmtId="3" fontId="1" fillId="0" borderId="156" xfId="0" applyNumberFormat="1" applyFont="1" applyFill="1" applyBorder="1"/>
    <xf numFmtId="2" fontId="1" fillId="4" borderId="114" xfId="0" applyNumberFormat="1" applyFont="1" applyFill="1" applyBorder="1" applyAlignment="1">
      <alignment horizontal="center"/>
    </xf>
    <xf numFmtId="2" fontId="1" fillId="4" borderId="28" xfId="0" applyNumberFormat="1" applyFont="1" applyFill="1" applyBorder="1" applyAlignment="1">
      <alignment horizontal="center"/>
    </xf>
    <xf numFmtId="2" fontId="1" fillId="4" borderId="95" xfId="0" applyNumberFormat="1" applyFont="1" applyFill="1" applyBorder="1" applyAlignment="1">
      <alignment horizontal="center"/>
    </xf>
    <xf numFmtId="0" fontId="1" fillId="0" borderId="201" xfId="0" applyFont="1" applyBorder="1" applyAlignment="1">
      <alignment horizontal="left" wrapText="1" indent="2"/>
    </xf>
    <xf numFmtId="0" fontId="3" fillId="4" borderId="42" xfId="3" applyFont="1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3" fillId="4" borderId="40" xfId="3" applyFont="1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3" fontId="1" fillId="0" borderId="17" xfId="1" applyNumberFormat="1" applyFont="1" applyFill="1" applyBorder="1" applyAlignment="1">
      <alignment horizontal="right"/>
    </xf>
    <xf numFmtId="3" fontId="1" fillId="0" borderId="115" xfId="1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93" xfId="0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 horizontal="right"/>
    </xf>
    <xf numFmtId="164" fontId="1" fillId="0" borderId="93" xfId="0" applyNumberFormat="1" applyFont="1" applyFill="1" applyBorder="1" applyAlignment="1">
      <alignment horizontal="right"/>
    </xf>
    <xf numFmtId="0" fontId="1" fillId="4" borderId="59" xfId="3" applyFont="1" applyFill="1" applyBorder="1" applyAlignment="1">
      <alignment horizontal="left" indent="1"/>
    </xf>
    <xf numFmtId="1" fontId="1" fillId="0" borderId="65" xfId="0" applyNumberFormat="1" applyFont="1" applyFill="1" applyBorder="1" applyAlignment="1">
      <alignment horizontal="right"/>
    </xf>
    <xf numFmtId="1" fontId="1" fillId="2" borderId="66" xfId="0" applyNumberFormat="1" applyFont="1" applyFill="1" applyBorder="1" applyAlignment="1">
      <alignment horizontal="right"/>
    </xf>
    <xf numFmtId="1" fontId="1" fillId="0" borderId="67" xfId="0" applyNumberFormat="1" applyFont="1" applyFill="1" applyBorder="1" applyAlignment="1">
      <alignment horizontal="right"/>
    </xf>
    <xf numFmtId="1" fontId="1" fillId="2" borderId="68" xfId="0" applyNumberFormat="1" applyFont="1" applyFill="1" applyBorder="1" applyAlignment="1">
      <alignment horizontal="right"/>
    </xf>
    <xf numFmtId="1" fontId="1" fillId="4" borderId="65" xfId="0" applyNumberFormat="1" applyFont="1" applyFill="1" applyBorder="1" applyAlignment="1">
      <alignment horizontal="right"/>
    </xf>
    <xf numFmtId="1" fontId="3" fillId="4" borderId="11" xfId="0" applyNumberFormat="1" applyFont="1" applyFill="1" applyBorder="1" applyAlignment="1">
      <alignment horizontal="right"/>
    </xf>
    <xf numFmtId="1" fontId="3" fillId="4" borderId="9" xfId="0" applyNumberFormat="1" applyFont="1" applyFill="1" applyBorder="1" applyAlignment="1">
      <alignment horizontal="right"/>
    </xf>
    <xf numFmtId="1" fontId="3" fillId="4" borderId="8" xfId="0" applyNumberFormat="1" applyFont="1" applyFill="1" applyBorder="1" applyAlignment="1">
      <alignment horizontal="right"/>
    </xf>
    <xf numFmtId="0" fontId="1" fillId="7" borderId="11" xfId="0" applyFont="1" applyFill="1" applyBorder="1"/>
    <xf numFmtId="0" fontId="1" fillId="7" borderId="10" xfId="0" applyFont="1" applyFill="1" applyBorder="1"/>
    <xf numFmtId="0" fontId="1" fillId="7" borderId="9" xfId="0" applyFont="1" applyFill="1" applyBorder="1"/>
    <xf numFmtId="0" fontId="1" fillId="7" borderId="8" xfId="0" applyFont="1" applyFill="1" applyBorder="1"/>
    <xf numFmtId="1" fontId="3" fillId="4" borderId="10" xfId="0" applyNumberFormat="1" applyFont="1" applyFill="1" applyBorder="1" applyAlignment="1">
      <alignment horizontal="right"/>
    </xf>
    <xf numFmtId="3" fontId="6" fillId="2" borderId="68" xfId="6" applyNumberFormat="1" applyFont="1" applyFill="1" applyBorder="1" applyAlignment="1">
      <alignment horizontal="right"/>
    </xf>
    <xf numFmtId="0" fontId="10" fillId="0" borderId="26" xfId="0" applyFont="1" applyFill="1" applyBorder="1" applyAlignment="1">
      <alignment horizontal="left" wrapText="1"/>
    </xf>
    <xf numFmtId="165" fontId="1" fillId="4" borderId="114" xfId="0" applyNumberFormat="1" applyFont="1" applyFill="1" applyBorder="1" applyAlignment="1">
      <alignment horizontal="center"/>
    </xf>
    <xf numFmtId="165" fontId="1" fillId="4" borderId="28" xfId="0" applyNumberFormat="1" applyFont="1" applyFill="1" applyBorder="1" applyAlignment="1">
      <alignment horizontal="center"/>
    </xf>
    <xf numFmtId="164" fontId="1" fillId="4" borderId="204" xfId="4" applyNumberFormat="1" applyFont="1" applyFill="1" applyBorder="1"/>
    <xf numFmtId="4" fontId="1" fillId="4" borderId="205" xfId="0" applyNumberFormat="1" applyFont="1" applyFill="1" applyBorder="1"/>
    <xf numFmtId="0" fontId="3" fillId="0" borderId="98" xfId="0" applyFont="1" applyFill="1" applyBorder="1" applyAlignment="1">
      <alignment horizontal="center"/>
    </xf>
    <xf numFmtId="0" fontId="3" fillId="0" borderId="90" xfId="0" applyFont="1" applyFill="1" applyBorder="1" applyAlignment="1">
      <alignment horizontal="center"/>
    </xf>
    <xf numFmtId="0" fontId="3" fillId="0" borderId="101" xfId="0" applyFont="1" applyFill="1" applyBorder="1" applyAlignment="1">
      <alignment horizontal="center"/>
    </xf>
    <xf numFmtId="165" fontId="1" fillId="0" borderId="115" xfId="0" applyNumberFormat="1" applyFont="1" applyFill="1" applyBorder="1"/>
    <xf numFmtId="0" fontId="3" fillId="4" borderId="162" xfId="0" applyFont="1" applyFill="1" applyBorder="1" applyAlignment="1">
      <alignment horizontal="center"/>
    </xf>
    <xf numFmtId="0" fontId="3" fillId="2" borderId="206" xfId="0" applyFont="1" applyFill="1" applyBorder="1" applyAlignment="1">
      <alignment horizontal="right"/>
    </xf>
    <xf numFmtId="1" fontId="1" fillId="4" borderId="59" xfId="0" applyNumberFormat="1" applyFont="1" applyFill="1" applyBorder="1" applyAlignment="1">
      <alignment horizontal="left"/>
    </xf>
    <xf numFmtId="0" fontId="1" fillId="0" borderId="59" xfId="0" applyFont="1" applyFill="1" applyBorder="1" applyAlignment="1">
      <alignment horizontal="right"/>
    </xf>
    <xf numFmtId="0" fontId="0" fillId="0" borderId="46" xfId="0" applyBorder="1"/>
    <xf numFmtId="1" fontId="1" fillId="0" borderId="59" xfId="0" applyNumberFormat="1" applyFont="1" applyFill="1" applyBorder="1" applyAlignment="1">
      <alignment horizontal="left" indent="2"/>
    </xf>
    <xf numFmtId="0" fontId="0" fillId="0" borderId="59" xfId="0" applyBorder="1" applyAlignment="1">
      <alignment horizontal="left" indent="1"/>
    </xf>
    <xf numFmtId="0" fontId="0" fillId="0" borderId="14" xfId="0" applyBorder="1"/>
    <xf numFmtId="0" fontId="0" fillId="0" borderId="23" xfId="0" applyBorder="1"/>
    <xf numFmtId="0" fontId="0" fillId="0" borderId="11" xfId="0" applyBorder="1"/>
    <xf numFmtId="0" fontId="0" fillId="0" borderId="12" xfId="0" applyBorder="1"/>
    <xf numFmtId="0" fontId="0" fillId="0" borderId="33" xfId="0" applyBorder="1"/>
    <xf numFmtId="0" fontId="0" fillId="0" borderId="9" xfId="0" applyBorder="1"/>
    <xf numFmtId="0" fontId="3" fillId="0" borderId="90" xfId="0" applyFont="1" applyBorder="1" applyAlignment="1">
      <alignment horizontal="center" wrapText="1"/>
    </xf>
    <xf numFmtId="0" fontId="0" fillId="0" borderId="17" xfId="0" applyBorder="1"/>
    <xf numFmtId="0" fontId="0" fillId="0" borderId="16" xfId="0" applyBorder="1"/>
    <xf numFmtId="0" fontId="0" fillId="0" borderId="18" xfId="0" applyBorder="1"/>
    <xf numFmtId="0" fontId="0" fillId="0" borderId="67" xfId="0" applyBorder="1"/>
    <xf numFmtId="0" fontId="0" fillId="0" borderId="68" xfId="0" applyBorder="1"/>
    <xf numFmtId="0" fontId="0" fillId="0" borderId="65" xfId="0" applyBorder="1"/>
    <xf numFmtId="0" fontId="0" fillId="0" borderId="69" xfId="0" applyBorder="1"/>
    <xf numFmtId="0" fontId="0" fillId="0" borderId="44" xfId="0" applyBorder="1"/>
    <xf numFmtId="0" fontId="0" fillId="0" borderId="28" xfId="0" applyBorder="1"/>
    <xf numFmtId="0" fontId="0" fillId="0" borderId="48" xfId="0" applyBorder="1"/>
    <xf numFmtId="0" fontId="0" fillId="0" borderId="61" xfId="0" applyBorder="1"/>
    <xf numFmtId="0" fontId="0" fillId="0" borderId="38" xfId="0" applyBorder="1"/>
    <xf numFmtId="0" fontId="0" fillId="0" borderId="6" xfId="0" applyBorder="1"/>
    <xf numFmtId="0" fontId="0" fillId="0" borderId="39" xfId="0" applyBorder="1"/>
    <xf numFmtId="0" fontId="0" fillId="0" borderId="45" xfId="0" applyBorder="1"/>
    <xf numFmtId="0" fontId="0" fillId="0" borderId="62" xfId="0" applyBorder="1"/>
    <xf numFmtId="0" fontId="0" fillId="0" borderId="49" xfId="0" applyBorder="1"/>
    <xf numFmtId="0" fontId="0" fillId="0" borderId="26" xfId="0" applyBorder="1" applyAlignment="1">
      <alignment horizontal="left" indent="1"/>
    </xf>
    <xf numFmtId="0" fontId="0" fillId="0" borderId="30" xfId="0" applyBorder="1" applyAlignment="1">
      <alignment horizontal="left" indent="1"/>
    </xf>
    <xf numFmtId="0" fontId="1" fillId="0" borderId="26" xfId="0" applyFont="1" applyBorder="1" applyAlignment="1">
      <alignment horizontal="left" indent="1"/>
    </xf>
    <xf numFmtId="0" fontId="1" fillId="4" borderId="59" xfId="0" applyFont="1" applyFill="1" applyBorder="1" applyAlignment="1">
      <alignment horizontal="left" indent="1"/>
    </xf>
    <xf numFmtId="0" fontId="1" fillId="4" borderId="30" xfId="0" applyFont="1" applyFill="1" applyBorder="1" applyAlignment="1">
      <alignment horizontal="left" indent="1"/>
    </xf>
    <xf numFmtId="1" fontId="0" fillId="0" borderId="52" xfId="0" applyNumberFormat="1" applyBorder="1"/>
    <xf numFmtId="1" fontId="0" fillId="0" borderId="22" xfId="0" applyNumberFormat="1" applyBorder="1"/>
    <xf numFmtId="1" fontId="0" fillId="0" borderId="40" xfId="0" applyNumberFormat="1" applyBorder="1"/>
    <xf numFmtId="1" fontId="0" fillId="0" borderId="68" xfId="0" applyNumberFormat="1" applyBorder="1"/>
    <xf numFmtId="10" fontId="0" fillId="0" borderId="9" xfId="2" applyFont="1" applyBorder="1"/>
    <xf numFmtId="3" fontId="0" fillId="0" borderId="66" xfId="0" applyNumberFormat="1" applyBorder="1"/>
    <xf numFmtId="3" fontId="0" fillId="0" borderId="41" xfId="0" applyNumberFormat="1" applyBorder="1"/>
    <xf numFmtId="3" fontId="0" fillId="0" borderId="23" xfId="0" applyNumberFormat="1" applyBorder="1"/>
    <xf numFmtId="10" fontId="0" fillId="0" borderId="22" xfId="2" applyFont="1" applyBorder="1"/>
    <xf numFmtId="10" fontId="0" fillId="0" borderId="22" xfId="2" applyNumberFormat="1" applyFont="1" applyBorder="1"/>
    <xf numFmtId="10" fontId="0" fillId="0" borderId="24" xfId="2" applyFont="1" applyBorder="1"/>
    <xf numFmtId="10" fontId="0" fillId="0" borderId="36" xfId="2" applyFont="1" applyBorder="1"/>
    <xf numFmtId="10" fontId="0" fillId="0" borderId="32" xfId="2" applyFont="1" applyBorder="1"/>
    <xf numFmtId="1" fontId="0" fillId="0" borderId="33" xfId="0" applyNumberFormat="1" applyBorder="1"/>
    <xf numFmtId="0" fontId="0" fillId="0" borderId="53" xfId="0" applyBorder="1"/>
    <xf numFmtId="10" fontId="0" fillId="0" borderId="45" xfId="2" applyFont="1" applyBorder="1"/>
    <xf numFmtId="0" fontId="0" fillId="0" borderId="52" xfId="0" applyBorder="1"/>
    <xf numFmtId="0" fontId="0" fillId="0" borderId="204" xfId="0" applyBorder="1"/>
    <xf numFmtId="10" fontId="0" fillId="0" borderId="12" xfId="2" applyFont="1" applyBorder="1"/>
    <xf numFmtId="10" fontId="0" fillId="0" borderId="34" xfId="2" applyFont="1" applyBorder="1"/>
    <xf numFmtId="0" fontId="2" fillId="0" borderId="180" xfId="0" applyFont="1" applyBorder="1"/>
    <xf numFmtId="0" fontId="2" fillId="0" borderId="184" xfId="0" applyFont="1" applyBorder="1"/>
    <xf numFmtId="10" fontId="0" fillId="0" borderId="16" xfId="2" applyFont="1" applyBorder="1"/>
    <xf numFmtId="10" fontId="0" fillId="0" borderId="18" xfId="2" applyFont="1" applyBorder="1"/>
    <xf numFmtId="0" fontId="0" fillId="0" borderId="60" xfId="0" applyBorder="1"/>
    <xf numFmtId="0" fontId="0" fillId="0" borderId="25" xfId="0" applyBorder="1"/>
    <xf numFmtId="0" fontId="0" fillId="0" borderId="203" xfId="0" applyBorder="1"/>
    <xf numFmtId="0" fontId="0" fillId="0" borderId="202" xfId="0" applyBorder="1"/>
    <xf numFmtId="0" fontId="0" fillId="0" borderId="205" xfId="0" applyBorder="1"/>
    <xf numFmtId="3" fontId="0" fillId="0" borderId="53" xfId="0" applyNumberFormat="1" applyBorder="1"/>
    <xf numFmtId="10" fontId="0" fillId="0" borderId="52" xfId="0" applyNumberFormat="1" applyBorder="1"/>
    <xf numFmtId="10" fontId="0" fillId="0" borderId="53" xfId="0" applyNumberFormat="1" applyBorder="1"/>
    <xf numFmtId="10" fontId="0" fillId="0" borderId="45" xfId="0" applyNumberFormat="1" applyBorder="1"/>
    <xf numFmtId="3" fontId="0" fillId="0" borderId="64" xfId="0" applyNumberFormat="1" applyBorder="1"/>
    <xf numFmtId="0" fontId="1" fillId="0" borderId="29" xfId="0" applyFont="1" applyBorder="1" applyAlignment="1">
      <alignment horizontal="left" indent="1"/>
    </xf>
    <xf numFmtId="0" fontId="1" fillId="0" borderId="79" xfId="0" applyFont="1" applyBorder="1" applyAlignment="1">
      <alignment horizontal="center"/>
    </xf>
    <xf numFmtId="0" fontId="5" fillId="0" borderId="81" xfId="0" applyFont="1" applyBorder="1"/>
    <xf numFmtId="3" fontId="5" fillId="0" borderId="82" xfId="0" applyNumberFormat="1" applyFont="1" applyBorder="1"/>
    <xf numFmtId="0" fontId="5" fillId="0" borderId="0" xfId="0" applyFont="1" applyBorder="1"/>
    <xf numFmtId="165" fontId="0" fillId="0" borderId="11" xfId="0" applyNumberFormat="1" applyBorder="1"/>
    <xf numFmtId="165" fontId="0" fillId="0" borderId="17" xfId="0" applyNumberFormat="1" applyBorder="1"/>
    <xf numFmtId="165" fontId="2" fillId="0" borderId="182" xfId="0" applyNumberFormat="1" applyFont="1" applyBorder="1"/>
    <xf numFmtId="165" fontId="0" fillId="0" borderId="44" xfId="0" applyNumberFormat="1" applyBorder="1"/>
    <xf numFmtId="165" fontId="0" fillId="0" borderId="61" xfId="0" applyNumberFormat="1" applyBorder="1"/>
    <xf numFmtId="165" fontId="2" fillId="0" borderId="175" xfId="0" applyNumberFormat="1" applyFont="1" applyBorder="1"/>
    <xf numFmtId="0" fontId="0" fillId="0" borderId="21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3" fontId="0" fillId="0" borderId="52" xfId="0" applyNumberFormat="1" applyBorder="1"/>
    <xf numFmtId="0" fontId="0" fillId="0" borderId="106" xfId="0" applyBorder="1"/>
    <xf numFmtId="1" fontId="2" fillId="0" borderId="15" xfId="0" applyNumberFormat="1" applyFont="1" applyFill="1" applyBorder="1" applyAlignment="1">
      <alignment horizontal="right"/>
    </xf>
    <xf numFmtId="1" fontId="3" fillId="0" borderId="98" xfId="0" applyNumberFormat="1" applyFont="1" applyBorder="1" applyAlignment="1">
      <alignment horizontal="right"/>
    </xf>
    <xf numFmtId="1" fontId="3" fillId="0" borderId="90" xfId="0" applyNumberFormat="1" applyFont="1" applyBorder="1" applyAlignment="1">
      <alignment horizontal="right"/>
    </xf>
    <xf numFmtId="1" fontId="3" fillId="0" borderId="12" xfId="0" applyNumberFormat="1" applyFont="1" applyBorder="1"/>
    <xf numFmtId="1" fontId="3" fillId="0" borderId="70" xfId="0" applyNumberFormat="1" applyFont="1" applyBorder="1"/>
    <xf numFmtId="0" fontId="1" fillId="2" borderId="101" xfId="0" applyFont="1" applyFill="1" applyBorder="1" applyAlignment="1">
      <alignment horizontal="center"/>
    </xf>
    <xf numFmtId="165" fontId="1" fillId="0" borderId="114" xfId="0" applyNumberFormat="1" applyFont="1" applyFill="1" applyBorder="1" applyAlignment="1">
      <alignment horizontal="center"/>
    </xf>
    <xf numFmtId="1" fontId="1" fillId="2" borderId="11" xfId="2" applyNumberFormat="1" applyFont="1" applyFill="1" applyBorder="1" applyAlignment="1">
      <alignment horizontal="center"/>
    </xf>
    <xf numFmtId="10" fontId="1" fillId="2" borderId="9" xfId="2" applyFont="1" applyFill="1" applyBorder="1" applyAlignment="1">
      <alignment horizontal="center"/>
    </xf>
    <xf numFmtId="1" fontId="1" fillId="2" borderId="67" xfId="2" applyNumberFormat="1" applyFont="1" applyFill="1" applyBorder="1" applyAlignment="1">
      <alignment horizontal="center"/>
    </xf>
    <xf numFmtId="10" fontId="1" fillId="2" borderId="68" xfId="2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center"/>
    </xf>
    <xf numFmtId="0" fontId="1" fillId="0" borderId="21" xfId="3" applyFont="1" applyFill="1" applyBorder="1"/>
    <xf numFmtId="0" fontId="1" fillId="0" borderId="26" xfId="3" applyFont="1" applyFill="1" applyBorder="1"/>
    <xf numFmtId="0" fontId="1" fillId="2" borderId="67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2" fillId="4" borderId="148" xfId="0" applyFont="1" applyFill="1" applyBorder="1" applyAlignment="1">
      <alignment horizontal="center"/>
    </xf>
    <xf numFmtId="0" fontId="0" fillId="2" borderId="65" xfId="0" applyFill="1" applyBorder="1"/>
    <xf numFmtId="3" fontId="0" fillId="2" borderId="68" xfId="0" applyNumberFormat="1" applyFill="1" applyBorder="1"/>
    <xf numFmtId="3" fontId="0" fillId="2" borderId="66" xfId="0" applyNumberFormat="1" applyFill="1" applyBorder="1"/>
    <xf numFmtId="3" fontId="0" fillId="2" borderId="22" xfId="0" applyNumberFormat="1" applyFill="1" applyBorder="1"/>
    <xf numFmtId="0" fontId="0" fillId="2" borderId="33" xfId="0" applyFill="1" applyBorder="1"/>
    <xf numFmtId="10" fontId="0" fillId="2" borderId="32" xfId="2" applyFont="1" applyFill="1" applyBorder="1"/>
    <xf numFmtId="1" fontId="0" fillId="2" borderId="24" xfId="0" applyNumberFormat="1" applyFill="1" applyBorder="1"/>
    <xf numFmtId="1" fontId="0" fillId="2" borderId="69" xfId="0" applyNumberFormat="1" applyFill="1" applyBorder="1"/>
    <xf numFmtId="10" fontId="0" fillId="2" borderId="25" xfId="0" applyNumberFormat="1" applyFill="1" applyBorder="1"/>
    <xf numFmtId="0" fontId="0" fillId="2" borderId="28" xfId="0" applyFill="1" applyBorder="1"/>
    <xf numFmtId="0" fontId="0" fillId="2" borderId="36" xfId="0" applyFill="1" applyBorder="1"/>
    <xf numFmtId="0" fontId="0" fillId="2" borderId="11" xfId="0" applyFill="1" applyBorder="1"/>
    <xf numFmtId="0" fontId="0" fillId="2" borderId="17" xfId="0" applyFill="1" applyBorder="1"/>
    <xf numFmtId="0" fontId="2" fillId="2" borderId="182" xfId="0" applyFont="1" applyFill="1" applyBorder="1"/>
    <xf numFmtId="0" fontId="0" fillId="0" borderId="67" xfId="0" applyFill="1" applyBorder="1"/>
    <xf numFmtId="1" fontId="3" fillId="2" borderId="126" xfId="0" applyNumberFormat="1" applyFont="1" applyFill="1" applyBorder="1" applyAlignment="1">
      <alignment horizontal="right"/>
    </xf>
    <xf numFmtId="1" fontId="3" fillId="2" borderId="24" xfId="0" applyNumberFormat="1" applyFont="1" applyFill="1" applyBorder="1" applyAlignment="1">
      <alignment horizontal="right"/>
    </xf>
    <xf numFmtId="1" fontId="3" fillId="2" borderId="12" xfId="0" applyNumberFormat="1" applyFont="1" applyFill="1" applyBorder="1" applyAlignment="1">
      <alignment horizontal="right"/>
    </xf>
    <xf numFmtId="1" fontId="3" fillId="2" borderId="18" xfId="0" applyNumberFormat="1" applyFont="1" applyFill="1" applyBorder="1" applyAlignment="1">
      <alignment horizontal="right"/>
    </xf>
    <xf numFmtId="1" fontId="1" fillId="2" borderId="34" xfId="0" applyNumberFormat="1" applyFont="1" applyFill="1" applyBorder="1" applyAlignment="1">
      <alignment horizontal="right"/>
    </xf>
    <xf numFmtId="1" fontId="6" fillId="0" borderId="0" xfId="0" applyNumberFormat="1" applyFont="1" applyFill="1" applyBorder="1"/>
    <xf numFmtId="0" fontId="6" fillId="0" borderId="0" xfId="0" applyFont="1" applyFill="1" applyBorder="1"/>
    <xf numFmtId="165" fontId="1" fillId="0" borderId="46" xfId="0" applyNumberFormat="1" applyFont="1" applyFill="1" applyBorder="1"/>
    <xf numFmtId="165" fontId="1" fillId="0" borderId="11" xfId="0" applyNumberFormat="1" applyFont="1" applyFill="1" applyBorder="1"/>
    <xf numFmtId="165" fontId="1" fillId="0" borderId="63" xfId="0" applyNumberFormat="1" applyFont="1" applyFill="1" applyBorder="1"/>
    <xf numFmtId="3" fontId="1" fillId="0" borderId="16" xfId="0" applyNumberFormat="1" applyFont="1" applyFill="1" applyBorder="1"/>
    <xf numFmtId="165" fontId="1" fillId="0" borderId="17" xfId="0" applyNumberFormat="1" applyFont="1" applyFill="1" applyBorder="1"/>
    <xf numFmtId="3" fontId="3" fillId="0" borderId="176" xfId="0" applyNumberFormat="1" applyFont="1" applyFill="1" applyBorder="1" applyAlignment="1">
      <alignment horizontal="right"/>
    </xf>
    <xf numFmtId="165" fontId="3" fillId="0" borderId="174" xfId="0" applyNumberFormat="1" applyFont="1" applyFill="1" applyBorder="1" applyAlignment="1">
      <alignment horizontal="right"/>
    </xf>
    <xf numFmtId="165" fontId="3" fillId="0" borderId="182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164" fontId="1" fillId="2" borderId="9" xfId="2" applyNumberFormat="1" applyFont="1" applyFill="1" applyBorder="1" applyAlignment="1">
      <alignment horizontal="right"/>
    </xf>
    <xf numFmtId="0" fontId="1" fillId="2" borderId="115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4" borderId="71" xfId="0" applyFont="1" applyFill="1" applyBorder="1" applyAlignment="1">
      <alignment horizontal="center"/>
    </xf>
    <xf numFmtId="0" fontId="1" fillId="4" borderId="97" xfId="0" applyFont="1" applyFill="1" applyBorder="1" applyAlignment="1">
      <alignment horizontal="left" indent="2"/>
    </xf>
    <xf numFmtId="0" fontId="3" fillId="0" borderId="101" xfId="0" applyFont="1" applyBorder="1" applyAlignment="1">
      <alignment horizontal="center"/>
    </xf>
    <xf numFmtId="0" fontId="1" fillId="4" borderId="97" xfId="0" applyFont="1" applyFill="1" applyBorder="1"/>
    <xf numFmtId="0" fontId="3" fillId="0" borderId="71" xfId="0" applyFont="1" applyBorder="1" applyAlignment="1">
      <alignment horizontal="center"/>
    </xf>
    <xf numFmtId="0" fontId="1" fillId="0" borderId="97" xfId="0" applyFont="1" applyBorder="1" applyAlignment="1">
      <alignment horizontal="left" indent="2"/>
    </xf>
    <xf numFmtId="0" fontId="1" fillId="0" borderId="29" xfId="0" applyFont="1" applyBorder="1" applyAlignment="1">
      <alignment horizontal="left" indent="2"/>
    </xf>
    <xf numFmtId="1" fontId="1" fillId="4" borderId="12" xfId="0" applyNumberFormat="1" applyFont="1" applyFill="1" applyBorder="1" applyAlignment="1">
      <alignment horizontal="right"/>
    </xf>
    <xf numFmtId="1" fontId="1" fillId="4" borderId="147" xfId="0" applyNumberFormat="1" applyFont="1" applyFill="1" applyBorder="1" applyAlignment="1">
      <alignment horizontal="right"/>
    </xf>
    <xf numFmtId="0" fontId="1" fillId="4" borderId="112" xfId="0" applyFont="1" applyFill="1" applyBorder="1"/>
    <xf numFmtId="1" fontId="1" fillId="0" borderId="109" xfId="0" applyNumberFormat="1" applyFont="1" applyFill="1" applyBorder="1"/>
    <xf numFmtId="165" fontId="1" fillId="4" borderId="27" xfId="0" applyNumberFormat="1" applyFont="1" applyFill="1" applyBorder="1" applyAlignment="1">
      <alignment horizontal="right"/>
    </xf>
    <xf numFmtId="165" fontId="1" fillId="4" borderId="96" xfId="0" applyNumberFormat="1" applyFont="1" applyFill="1" applyBorder="1" applyAlignment="1">
      <alignment horizontal="right"/>
    </xf>
    <xf numFmtId="164" fontId="1" fillId="4" borderId="134" xfId="0" applyNumberFormat="1" applyFont="1" applyFill="1" applyBorder="1"/>
    <xf numFmtId="165" fontId="1" fillId="4" borderId="163" xfId="0" applyNumberFormat="1" applyFont="1" applyFill="1" applyBorder="1" applyAlignment="1">
      <alignment horizontal="right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1" fontId="3" fillId="2" borderId="20" xfId="0" applyNumberFormat="1" applyFont="1" applyFill="1" applyBorder="1" applyAlignment="1">
      <alignment horizontal="right"/>
    </xf>
    <xf numFmtId="0" fontId="1" fillId="2" borderId="2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right"/>
    </xf>
    <xf numFmtId="0" fontId="1" fillId="2" borderId="43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1" fontId="1" fillId="2" borderId="25" xfId="0" applyNumberFormat="1" applyFont="1" applyFill="1" applyBorder="1" applyAlignment="1">
      <alignment horizontal="right"/>
    </xf>
    <xf numFmtId="0" fontId="1" fillId="2" borderId="20" xfId="0" applyFont="1" applyFill="1" applyBorder="1" applyAlignment="1">
      <alignment horizontal="center"/>
    </xf>
    <xf numFmtId="0" fontId="1" fillId="0" borderId="42" xfId="0" applyFont="1" applyFill="1" applyBorder="1"/>
    <xf numFmtId="3" fontId="1" fillId="0" borderId="43" xfId="1" applyNumberFormat="1" applyFont="1" applyFill="1" applyBorder="1" applyAlignment="1">
      <alignment horizontal="right"/>
    </xf>
    <xf numFmtId="164" fontId="1" fillId="2" borderId="43" xfId="2" applyNumberFormat="1" applyFont="1" applyFill="1" applyBorder="1" applyAlignment="1">
      <alignment horizontal="right"/>
    </xf>
    <xf numFmtId="164" fontId="1" fillId="2" borderId="109" xfId="2" applyNumberFormat="1" applyFont="1" applyFill="1" applyBorder="1" applyAlignment="1">
      <alignment horizontal="right"/>
    </xf>
    <xf numFmtId="1" fontId="3" fillId="0" borderId="193" xfId="0" applyNumberFormat="1" applyFont="1" applyBorder="1" applyAlignment="1">
      <alignment horizontal="right"/>
    </xf>
    <xf numFmtId="1" fontId="3" fillId="0" borderId="104" xfId="0" applyNumberFormat="1" applyFont="1" applyBorder="1" applyAlignment="1">
      <alignment horizontal="right"/>
    </xf>
    <xf numFmtId="10" fontId="1" fillId="5" borderId="43" xfId="2" applyFont="1" applyFill="1" applyBorder="1" applyAlignment="1">
      <alignment horizontal="right"/>
    </xf>
    <xf numFmtId="10" fontId="1" fillId="5" borderId="28" xfId="2" applyFont="1" applyFill="1" applyBorder="1" applyAlignment="1">
      <alignment horizontal="right"/>
    </xf>
    <xf numFmtId="165" fontId="1" fillId="4" borderId="83" xfId="0" applyNumberFormat="1" applyFont="1" applyFill="1" applyBorder="1" applyAlignment="1">
      <alignment horizontal="right"/>
    </xf>
    <xf numFmtId="0" fontId="1" fillId="4" borderId="82" xfId="0" applyFont="1" applyFill="1" applyBorder="1" applyAlignment="1">
      <alignment horizontal="right"/>
    </xf>
    <xf numFmtId="0" fontId="1" fillId="4" borderId="83" xfId="0" applyFont="1" applyFill="1" applyBorder="1" applyAlignment="1">
      <alignment horizontal="right"/>
    </xf>
    <xf numFmtId="0" fontId="1" fillId="5" borderId="69" xfId="0" applyFont="1" applyFill="1" applyBorder="1" applyAlignment="1">
      <alignment horizontal="right"/>
    </xf>
    <xf numFmtId="0" fontId="1" fillId="5" borderId="129" xfId="0" applyFont="1" applyFill="1" applyBorder="1" applyAlignment="1">
      <alignment horizontal="right"/>
    </xf>
    <xf numFmtId="0" fontId="1" fillId="5" borderId="34" xfId="0" applyFont="1" applyFill="1" applyBorder="1" applyAlignment="1">
      <alignment horizontal="right"/>
    </xf>
    <xf numFmtId="1" fontId="3" fillId="2" borderId="25" xfId="0" applyNumberFormat="1" applyFont="1" applyFill="1" applyBorder="1" applyAlignment="1">
      <alignment horizontal="right"/>
    </xf>
    <xf numFmtId="0" fontId="1" fillId="2" borderId="69" xfId="0" applyFont="1" applyFill="1" applyBorder="1" applyAlignment="1">
      <alignment horizontal="right"/>
    </xf>
    <xf numFmtId="0" fontId="1" fillId="2" borderId="129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" fillId="2" borderId="34" xfId="0" applyFont="1" applyFill="1" applyBorder="1" applyAlignment="1">
      <alignment horizontal="right"/>
    </xf>
    <xf numFmtId="0" fontId="1" fillId="2" borderId="65" xfId="0" applyFont="1" applyFill="1" applyBorder="1" applyAlignment="1">
      <alignment horizontal="right"/>
    </xf>
    <xf numFmtId="0" fontId="1" fillId="2" borderId="68" xfId="0" applyFont="1" applyFill="1" applyBorder="1" applyAlignment="1">
      <alignment horizontal="right"/>
    </xf>
    <xf numFmtId="1" fontId="1" fillId="2" borderId="28" xfId="0" applyNumberFormat="1" applyFont="1" applyFill="1" applyBorder="1"/>
    <xf numFmtId="1" fontId="1" fillId="2" borderId="56" xfId="0" applyNumberFormat="1" applyFont="1" applyFill="1" applyBorder="1"/>
    <xf numFmtId="10" fontId="1" fillId="2" borderId="43" xfId="2" applyFont="1" applyFill="1" applyBorder="1" applyAlignment="1">
      <alignment horizontal="center"/>
    </xf>
    <xf numFmtId="0" fontId="1" fillId="7" borderId="65" xfId="0" applyFont="1" applyFill="1" applyBorder="1" applyAlignment="1">
      <alignment horizontal="right"/>
    </xf>
    <xf numFmtId="0" fontId="10" fillId="0" borderId="59" xfId="0" applyFont="1" applyFill="1" applyBorder="1"/>
    <xf numFmtId="0" fontId="3" fillId="0" borderId="29" xfId="0" applyFont="1" applyFill="1" applyBorder="1" applyAlignment="1">
      <alignment horizontal="left"/>
    </xf>
    <xf numFmtId="1" fontId="1" fillId="0" borderId="140" xfId="2" applyNumberFormat="1" applyFont="1" applyFill="1" applyBorder="1" applyAlignment="1">
      <alignment horizontal="center"/>
    </xf>
    <xf numFmtId="10" fontId="1" fillId="0" borderId="141" xfId="2" applyFont="1" applyFill="1" applyBorder="1" applyAlignment="1">
      <alignment horizontal="center"/>
    </xf>
    <xf numFmtId="0" fontId="3" fillId="0" borderId="105" xfId="0" applyFont="1" applyBorder="1" applyAlignment="1">
      <alignment horizontal="center"/>
    </xf>
    <xf numFmtId="0" fontId="3" fillId="0" borderId="162" xfId="0" applyFont="1" applyBorder="1" applyAlignment="1">
      <alignment horizontal="center"/>
    </xf>
    <xf numFmtId="1" fontId="1" fillId="0" borderId="85" xfId="0" applyNumberFormat="1" applyFont="1" applyBorder="1"/>
    <xf numFmtId="1" fontId="1" fillId="4" borderId="120" xfId="0" applyNumberFormat="1" applyFont="1" applyFill="1" applyBorder="1" applyAlignment="1">
      <alignment horizontal="center"/>
    </xf>
    <xf numFmtId="0" fontId="1" fillId="5" borderId="23" xfId="0" applyFont="1" applyFill="1" applyBorder="1" applyAlignment="1">
      <alignment horizontal="right"/>
    </xf>
    <xf numFmtId="0" fontId="1" fillId="5" borderId="22" xfId="0" applyFont="1" applyFill="1" applyBorder="1" applyAlignment="1">
      <alignment horizontal="right"/>
    </xf>
    <xf numFmtId="0" fontId="1" fillId="5" borderId="93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1" fontId="1" fillId="0" borderId="27" xfId="0" applyNumberFormat="1" applyFont="1" applyFill="1" applyBorder="1"/>
    <xf numFmtId="1" fontId="3" fillId="0" borderId="141" xfId="0" applyNumberFormat="1" applyFont="1" applyBorder="1" applyAlignment="1">
      <alignment horizontal="right"/>
    </xf>
    <xf numFmtId="0" fontId="0" fillId="0" borderId="6" xfId="0" applyFill="1" applyBorder="1"/>
    <xf numFmtId="0" fontId="3" fillId="0" borderId="0" xfId="0" applyFont="1" applyFill="1" applyBorder="1" applyAlignment="1">
      <alignment horizontal="center" wrapText="1"/>
    </xf>
    <xf numFmtId="0" fontId="1" fillId="2" borderId="12" xfId="0" applyFont="1" applyFill="1" applyBorder="1"/>
    <xf numFmtId="1" fontId="3" fillId="2" borderId="133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134" xfId="0" applyFont="1" applyFill="1" applyBorder="1" applyAlignment="1">
      <alignment horizontal="right"/>
    </xf>
    <xf numFmtId="1" fontId="0" fillId="0" borderId="40" xfId="0" applyNumberFormat="1" applyFill="1" applyBorder="1"/>
    <xf numFmtId="1" fontId="0" fillId="0" borderId="52" xfId="0" applyNumberFormat="1" applyFill="1" applyBorder="1"/>
    <xf numFmtId="10" fontId="1" fillId="0" borderId="45" xfId="2" applyFont="1" applyFill="1" applyBorder="1" applyAlignment="1">
      <alignment horizontal="right"/>
    </xf>
    <xf numFmtId="3" fontId="0" fillId="0" borderId="25" xfId="0" applyNumberFormat="1" applyFill="1" applyBorder="1"/>
    <xf numFmtId="3" fontId="0" fillId="0" borderId="43" xfId="0" applyNumberFormat="1" applyFill="1" applyBorder="1"/>
    <xf numFmtId="3" fontId="0" fillId="0" borderId="20" xfId="0" applyNumberFormat="1" applyFill="1" applyBorder="1"/>
    <xf numFmtId="3" fontId="5" fillId="0" borderId="83" xfId="0" applyNumberFormat="1" applyFont="1" applyFill="1" applyBorder="1"/>
    <xf numFmtId="164" fontId="1" fillId="0" borderId="41" xfId="2" applyNumberFormat="1" applyFont="1" applyFill="1" applyBorder="1" applyAlignment="1">
      <alignment horizontal="right"/>
    </xf>
    <xf numFmtId="164" fontId="1" fillId="0" borderId="107" xfId="2" applyNumberFormat="1" applyFont="1" applyFill="1" applyBorder="1" applyAlignment="1">
      <alignment horizontal="right"/>
    </xf>
    <xf numFmtId="164" fontId="1" fillId="0" borderId="41" xfId="2" applyNumberFormat="1" applyFont="1" applyFill="1" applyBorder="1" applyAlignment="1">
      <alignment horizontal="center"/>
    </xf>
    <xf numFmtId="164" fontId="1" fillId="0" borderId="42" xfId="2" applyNumberFormat="1" applyFont="1" applyFill="1" applyBorder="1" applyAlignment="1">
      <alignment horizontal="center"/>
    </xf>
    <xf numFmtId="164" fontId="1" fillId="0" borderId="50" xfId="2" applyNumberFormat="1" applyFont="1" applyFill="1" applyBorder="1" applyAlignment="1">
      <alignment horizontal="center"/>
    </xf>
    <xf numFmtId="0" fontId="3" fillId="4" borderId="38" xfId="3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8" xfId="3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64" fontId="1" fillId="0" borderId="50" xfId="3" applyNumberFormat="1" applyFont="1" applyFill="1" applyBorder="1" applyAlignment="1"/>
    <xf numFmtId="164" fontId="1" fillId="0" borderId="49" xfId="3" applyNumberFormat="1" applyFont="1" applyFill="1" applyBorder="1" applyAlignment="1"/>
    <xf numFmtId="164" fontId="1" fillId="0" borderId="35" xfId="3" applyNumberFormat="1" applyFont="1" applyFill="1" applyBorder="1" applyAlignment="1"/>
    <xf numFmtId="164" fontId="1" fillId="0" borderId="36" xfId="3" applyNumberFormat="1" applyFont="1" applyFill="1" applyBorder="1" applyAlignment="1"/>
    <xf numFmtId="164" fontId="1" fillId="0" borderId="48" xfId="3" applyNumberFormat="1" applyFont="1" applyFill="1" applyBorder="1" applyAlignment="1"/>
    <xf numFmtId="164" fontId="1" fillId="4" borderId="48" xfId="3" applyNumberFormat="1" applyFont="1" applyFill="1" applyBorder="1" applyAlignment="1"/>
    <xf numFmtId="164" fontId="1" fillId="4" borderId="49" xfId="3" applyNumberFormat="1" applyFont="1" applyFill="1" applyBorder="1" applyAlignment="1"/>
    <xf numFmtId="0" fontId="3" fillId="4" borderId="38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164" fontId="1" fillId="4" borderId="36" xfId="3" applyNumberFormat="1" applyFont="1" applyFill="1" applyBorder="1" applyAlignment="1"/>
    <xf numFmtId="164" fontId="1" fillId="4" borderId="35" xfId="3" applyNumberFormat="1" applyFont="1" applyFill="1" applyBorder="1" applyAlignment="1"/>
    <xf numFmtId="0" fontId="3" fillId="0" borderId="20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198" xfId="3" applyFont="1" applyFill="1" applyBorder="1" applyAlignment="1">
      <alignment horizontal="center"/>
    </xf>
    <xf numFmtId="0" fontId="0" fillId="4" borderId="199" xfId="0" applyFill="1" applyBorder="1" applyAlignment="1">
      <alignment horizontal="center"/>
    </xf>
    <xf numFmtId="0" fontId="1" fillId="4" borderId="199" xfId="0" applyFont="1" applyFill="1" applyBorder="1" applyAlignment="1">
      <alignment horizontal="center"/>
    </xf>
    <xf numFmtId="0" fontId="0" fillId="4" borderId="200" xfId="0" applyFill="1" applyBorder="1" applyAlignment="1">
      <alignment horizontal="center"/>
    </xf>
    <xf numFmtId="0" fontId="3" fillId="4" borderId="39" xfId="3" applyFont="1" applyFill="1" applyBorder="1" applyAlignment="1">
      <alignment horizontal="center"/>
    </xf>
    <xf numFmtId="0" fontId="3" fillId="4" borderId="6" xfId="3" applyFont="1" applyFill="1" applyBorder="1" applyAlignment="1">
      <alignment horizontal="center"/>
    </xf>
    <xf numFmtId="0" fontId="3" fillId="4" borderId="192" xfId="3" applyFont="1" applyFill="1" applyBorder="1" applyAlignment="1">
      <alignment horizontal="center"/>
    </xf>
    <xf numFmtId="0" fontId="3" fillId="4" borderId="192" xfId="0" applyFont="1" applyFill="1" applyBorder="1" applyAlignment="1">
      <alignment horizontal="center"/>
    </xf>
    <xf numFmtId="164" fontId="1" fillId="4" borderId="50" xfId="3" applyNumberFormat="1" applyFont="1" applyFill="1" applyBorder="1" applyAlignment="1"/>
    <xf numFmtId="0" fontId="3" fillId="0" borderId="191" xfId="0" applyFont="1" applyFill="1" applyBorder="1" applyAlignment="1">
      <alignment horizontal="center"/>
    </xf>
  </cellXfs>
  <cellStyles count="26">
    <cellStyle name="Comma" xfId="1" builtinId="3"/>
    <cellStyle name="Comma 2" xfId="9"/>
    <cellStyle name="Comma 3" xfId="6"/>
    <cellStyle name="Comma 4" xfId="8"/>
    <cellStyle name="Comma0" xfId="10"/>
    <cellStyle name="Currency 2" xfId="11"/>
    <cellStyle name="Currency0" xfId="12"/>
    <cellStyle name="Date" xfId="13"/>
    <cellStyle name="Date 2" xfId="14"/>
    <cellStyle name="Fixed" xfId="15"/>
    <cellStyle name="Fixed 2" xfId="16"/>
    <cellStyle name="Heading 1 2" xfId="17"/>
    <cellStyle name="Heading 2 2" xfId="18"/>
    <cellStyle name="HEADING1" xfId="19"/>
    <cellStyle name="HEADING2" xfId="20"/>
    <cellStyle name="Normal" xfId="0" builtinId="0"/>
    <cellStyle name="Normal 2" xfId="21"/>
    <cellStyle name="Normal 3" xfId="7"/>
    <cellStyle name="Normal 4" xfId="5"/>
    <cellStyle name="Normal_Accounting" xfId="3"/>
    <cellStyle name="Percent" xfId="2" builtinId="5"/>
    <cellStyle name="Percent 2" xfId="23"/>
    <cellStyle name="Percent 3" xfId="22"/>
    <cellStyle name="Percent_Accounting" xfId="4"/>
    <cellStyle name="Total 2" xfId="25"/>
    <cellStyle name="Total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440"/>
  <sheetViews>
    <sheetView zoomScale="85" zoomScaleNormal="85" zoomScaleSheetLayoutView="100" workbookViewId="0">
      <pane xSplit="1" ySplit="1" topLeftCell="B26" activePane="bottomRight" state="frozen"/>
      <selection activeCell="U23" sqref="U23"/>
      <selection pane="topRight" activeCell="U23" sqref="U23"/>
      <selection pane="bottomLeft" activeCell="U23" sqref="U23"/>
      <selection pane="bottomRight" activeCell="U23" sqref="U23"/>
    </sheetView>
  </sheetViews>
  <sheetFormatPr defaultColWidth="10.28515625" defaultRowHeight="12.75" x14ac:dyDescent="0.2"/>
  <cols>
    <col min="1" max="1" width="44.710937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4" ht="15.75" x14ac:dyDescent="0.25">
      <c r="A1" s="157" t="s">
        <v>41</v>
      </c>
      <c r="T1" s="232"/>
    </row>
    <row r="2" spans="1:24" ht="13.5" thickBot="1" x14ac:dyDescent="0.25">
      <c r="A2" s="1"/>
    </row>
    <row r="3" spans="1:24" ht="15" customHeight="1" thickTop="1" thickBot="1" x14ac:dyDescent="0.25">
      <c r="A3" s="78"/>
      <c r="B3" s="1304" t="s">
        <v>0</v>
      </c>
      <c r="C3" s="1305"/>
      <c r="D3" s="1304" t="s">
        <v>1</v>
      </c>
      <c r="E3" s="1305"/>
      <c r="F3" s="1304" t="s">
        <v>2</v>
      </c>
      <c r="G3" s="1305"/>
      <c r="H3" s="1304" t="s">
        <v>3</v>
      </c>
      <c r="I3" s="1305"/>
      <c r="J3" s="1304" t="s">
        <v>4</v>
      </c>
      <c r="K3" s="1305"/>
      <c r="L3" s="1304" t="s">
        <v>5</v>
      </c>
      <c r="M3" s="1305"/>
      <c r="N3" s="1304" t="s">
        <v>6</v>
      </c>
      <c r="O3" s="1305"/>
      <c r="P3" s="1304" t="s">
        <v>7</v>
      </c>
      <c r="Q3" s="1305"/>
      <c r="R3" s="1304" t="s">
        <v>8</v>
      </c>
      <c r="S3" s="1305"/>
      <c r="T3" s="1304" t="s">
        <v>254</v>
      </c>
      <c r="U3" s="1306"/>
      <c r="W3" s="1302" t="s">
        <v>9</v>
      </c>
      <c r="X3" s="1303"/>
    </row>
    <row r="4" spans="1:24" ht="14.25" customHeight="1" x14ac:dyDescent="0.2">
      <c r="A4" s="89" t="s">
        <v>55</v>
      </c>
      <c r="B4" s="28" t="s">
        <v>10</v>
      </c>
      <c r="C4" s="5" t="s">
        <v>11</v>
      </c>
      <c r="D4" s="28" t="s">
        <v>10</v>
      </c>
      <c r="E4" s="5" t="s">
        <v>11</v>
      </c>
      <c r="F4" s="28" t="s">
        <v>10</v>
      </c>
      <c r="G4" s="5" t="s">
        <v>11</v>
      </c>
      <c r="H4" s="28" t="s">
        <v>10</v>
      </c>
      <c r="I4" s="5" t="s">
        <v>11</v>
      </c>
      <c r="J4" s="28" t="s">
        <v>10</v>
      </c>
      <c r="K4" s="5" t="s">
        <v>11</v>
      </c>
      <c r="L4" s="28" t="s">
        <v>10</v>
      </c>
      <c r="M4" s="5" t="s">
        <v>11</v>
      </c>
      <c r="N4" s="28" t="s">
        <v>10</v>
      </c>
      <c r="O4" s="5" t="s">
        <v>11</v>
      </c>
      <c r="P4" s="28" t="s">
        <v>10</v>
      </c>
      <c r="Q4" s="5" t="s">
        <v>11</v>
      </c>
      <c r="R4" s="28" t="s">
        <v>10</v>
      </c>
      <c r="S4" s="5" t="s">
        <v>11</v>
      </c>
      <c r="T4" s="28" t="s">
        <v>10</v>
      </c>
      <c r="U4" s="52" t="s">
        <v>11</v>
      </c>
      <c r="W4" s="3" t="s">
        <v>12</v>
      </c>
      <c r="X4" s="4" t="s">
        <v>13</v>
      </c>
    </row>
    <row r="5" spans="1:24" ht="13.5" customHeight="1" thickBot="1" x14ac:dyDescent="0.25">
      <c r="A5" s="30"/>
      <c r="B5" s="62" t="s">
        <v>14</v>
      </c>
      <c r="C5" s="63" t="s">
        <v>15</v>
      </c>
      <c r="D5" s="62" t="s">
        <v>14</v>
      </c>
      <c r="E5" s="63" t="s">
        <v>15</v>
      </c>
      <c r="F5" s="62" t="s">
        <v>14</v>
      </c>
      <c r="G5" s="63" t="s">
        <v>15</v>
      </c>
      <c r="H5" s="62" t="s">
        <v>14</v>
      </c>
      <c r="I5" s="63" t="s">
        <v>15</v>
      </c>
      <c r="J5" s="62" t="s">
        <v>14</v>
      </c>
      <c r="K5" s="63" t="s">
        <v>15</v>
      </c>
      <c r="L5" s="62" t="s">
        <v>14</v>
      </c>
      <c r="M5" s="63" t="s">
        <v>15</v>
      </c>
      <c r="N5" s="62" t="s">
        <v>14</v>
      </c>
      <c r="O5" s="63" t="s">
        <v>15</v>
      </c>
      <c r="P5" s="62" t="s">
        <v>14</v>
      </c>
      <c r="Q5" s="63" t="s">
        <v>15</v>
      </c>
      <c r="R5" s="62" t="s">
        <v>14</v>
      </c>
      <c r="S5" s="63" t="s">
        <v>15</v>
      </c>
      <c r="T5" s="29" t="s">
        <v>14</v>
      </c>
      <c r="U5" s="7" t="s">
        <v>15</v>
      </c>
      <c r="W5" s="6" t="s">
        <v>14</v>
      </c>
      <c r="X5" s="7" t="s">
        <v>15</v>
      </c>
    </row>
    <row r="6" spans="1:24" ht="15" customHeight="1" x14ac:dyDescent="0.2">
      <c r="A6" s="60" t="s">
        <v>46</v>
      </c>
      <c r="B6" s="91"/>
      <c r="C6" s="92"/>
      <c r="D6" s="91"/>
      <c r="E6" s="92"/>
      <c r="F6" s="91"/>
      <c r="G6" s="92"/>
      <c r="H6" s="91"/>
      <c r="I6" s="92"/>
      <c r="J6" s="91"/>
      <c r="K6" s="92"/>
      <c r="L6" s="91"/>
      <c r="M6" s="92"/>
      <c r="N6" s="91"/>
      <c r="O6" s="92"/>
      <c r="P6" s="91"/>
      <c r="Q6" s="92"/>
      <c r="R6" s="91"/>
      <c r="S6" s="92"/>
      <c r="T6" s="86"/>
      <c r="U6" s="93"/>
      <c r="W6" s="3"/>
      <c r="X6" s="4"/>
    </row>
    <row r="7" spans="1:24" ht="15" customHeight="1" x14ac:dyDescent="0.2">
      <c r="A7" s="61" t="s">
        <v>63</v>
      </c>
      <c r="B7" s="166">
        <v>21</v>
      </c>
      <c r="C7" s="167"/>
      <c r="D7" s="166">
        <v>21</v>
      </c>
      <c r="E7" s="167"/>
      <c r="F7" s="166">
        <v>27</v>
      </c>
      <c r="G7" s="167"/>
      <c r="H7" s="166">
        <v>25</v>
      </c>
      <c r="I7" s="167"/>
      <c r="J7" s="166">
        <v>37</v>
      </c>
      <c r="K7" s="167"/>
      <c r="L7" s="166">
        <v>32</v>
      </c>
      <c r="M7" s="167"/>
      <c r="N7" s="166">
        <v>33</v>
      </c>
      <c r="O7" s="167"/>
      <c r="P7" s="166">
        <v>41</v>
      </c>
      <c r="Q7" s="168"/>
      <c r="R7" s="166">
        <f>25+21</f>
        <v>46</v>
      </c>
      <c r="S7" s="168"/>
      <c r="T7" s="166">
        <v>33</v>
      </c>
      <c r="U7" s="1228"/>
      <c r="W7" s="515">
        <f>AVERAGE(N7,L7,R7,T7,P7)</f>
        <v>37</v>
      </c>
      <c r="X7" s="539"/>
    </row>
    <row r="8" spans="1:24" ht="15" customHeight="1" x14ac:dyDescent="0.2">
      <c r="A8" s="73" t="s">
        <v>64</v>
      </c>
      <c r="B8" s="83">
        <v>40</v>
      </c>
      <c r="C8" s="84"/>
      <c r="D8" s="83">
        <v>40</v>
      </c>
      <c r="E8" s="84"/>
      <c r="F8" s="83">
        <v>44</v>
      </c>
      <c r="G8" s="84"/>
      <c r="H8" s="83">
        <v>50</v>
      </c>
      <c r="I8" s="84"/>
      <c r="J8" s="83">
        <v>41</v>
      </c>
      <c r="K8" s="84"/>
      <c r="L8" s="83">
        <v>52</v>
      </c>
      <c r="M8" s="84"/>
      <c r="N8" s="83">
        <v>38</v>
      </c>
      <c r="O8" s="84"/>
      <c r="P8" s="83">
        <v>41</v>
      </c>
      <c r="Q8" s="165"/>
      <c r="R8" s="83">
        <f>54</f>
        <v>54</v>
      </c>
      <c r="S8" s="165"/>
      <c r="T8" s="83">
        <v>47</v>
      </c>
      <c r="U8" s="1229"/>
      <c r="W8" s="515">
        <f t="shared" ref="W8" si="0">AVERAGE(N8,L8,R8,T8,P8)</f>
        <v>46.4</v>
      </c>
      <c r="X8" s="539"/>
    </row>
    <row r="9" spans="1:24" s="33" customFormat="1" ht="15" customHeight="1" thickBot="1" x14ac:dyDescent="0.25">
      <c r="A9" s="1158" t="s">
        <v>48</v>
      </c>
      <c r="B9" s="1159">
        <v>61</v>
      </c>
      <c r="C9" s="1160">
        <v>14</v>
      </c>
      <c r="D9" s="1159">
        <v>61</v>
      </c>
      <c r="E9" s="1160">
        <v>14</v>
      </c>
      <c r="F9" s="1159">
        <v>71</v>
      </c>
      <c r="G9" s="1160">
        <v>16</v>
      </c>
      <c r="H9" s="1159">
        <v>75</v>
      </c>
      <c r="I9" s="1160">
        <v>20</v>
      </c>
      <c r="J9" s="1159">
        <v>78</v>
      </c>
      <c r="K9" s="1160">
        <v>16</v>
      </c>
      <c r="L9" s="1159">
        <v>84</v>
      </c>
      <c r="M9" s="1160">
        <v>19</v>
      </c>
      <c r="N9" s="1159">
        <v>71</v>
      </c>
      <c r="O9" s="1160">
        <v>17</v>
      </c>
      <c r="P9" s="1159">
        <v>82</v>
      </c>
      <c r="Q9" s="1160">
        <v>13</v>
      </c>
      <c r="R9" s="1159">
        <f>SUM(R7:R8)</f>
        <v>100</v>
      </c>
      <c r="S9" s="1160">
        <v>22</v>
      </c>
      <c r="T9" s="1159">
        <v>80</v>
      </c>
      <c r="U9" s="1230"/>
      <c r="V9" s="64"/>
      <c r="W9" s="1162">
        <f>AVERAGE(N9,L9,R9,T9,P9)</f>
        <v>83.4</v>
      </c>
      <c r="X9" s="1161">
        <f>AVERAGE(O9,M9,S9,K9,Q9)</f>
        <v>17.399999999999999</v>
      </c>
    </row>
    <row r="10" spans="1:24" ht="15" customHeight="1" x14ac:dyDescent="0.2">
      <c r="A10" s="58" t="s">
        <v>42</v>
      </c>
      <c r="B10" s="86"/>
      <c r="C10" s="105"/>
      <c r="D10" s="86"/>
      <c r="E10" s="105"/>
      <c r="F10" s="86"/>
      <c r="G10" s="105"/>
      <c r="H10" s="86"/>
      <c r="I10" s="105"/>
      <c r="J10" s="86"/>
      <c r="K10" s="105"/>
      <c r="L10" s="86"/>
      <c r="M10" s="105"/>
      <c r="N10" s="86"/>
      <c r="O10" s="105"/>
      <c r="P10" s="86"/>
      <c r="Q10" s="105"/>
      <c r="R10" s="86"/>
      <c r="S10" s="105"/>
      <c r="T10" s="112"/>
      <c r="U10" s="1231"/>
      <c r="W10" s="515"/>
      <c r="X10" s="539"/>
    </row>
    <row r="11" spans="1:24" ht="15" customHeight="1" x14ac:dyDescent="0.2">
      <c r="A11" s="61" t="s">
        <v>63</v>
      </c>
      <c r="B11" s="166">
        <v>32</v>
      </c>
      <c r="C11" s="167"/>
      <c r="D11" s="166">
        <v>48</v>
      </c>
      <c r="E11" s="167"/>
      <c r="F11" s="166">
        <v>41</v>
      </c>
      <c r="G11" s="167"/>
      <c r="H11" s="166">
        <v>23</v>
      </c>
      <c r="I11" s="167"/>
      <c r="J11" s="166">
        <v>14</v>
      </c>
      <c r="K11" s="167"/>
      <c r="L11" s="166">
        <v>60</v>
      </c>
      <c r="M11" s="167"/>
      <c r="N11" s="166">
        <v>120</v>
      </c>
      <c r="O11" s="167"/>
      <c r="P11" s="166">
        <v>112</v>
      </c>
      <c r="Q11" s="169"/>
      <c r="R11" s="166">
        <v>9</v>
      </c>
      <c r="S11" s="169"/>
      <c r="T11" s="264">
        <v>35</v>
      </c>
      <c r="U11" s="1232"/>
      <c r="W11" s="515">
        <f>AVERAGE(N11,L11,R11,T11,P11)</f>
        <v>67.2</v>
      </c>
      <c r="X11" s="539"/>
    </row>
    <row r="12" spans="1:24" ht="15" customHeight="1" x14ac:dyDescent="0.2">
      <c r="A12" s="73" t="s">
        <v>64</v>
      </c>
      <c r="B12" s="97">
        <v>11</v>
      </c>
      <c r="C12" s="84"/>
      <c r="D12" s="83">
        <v>10</v>
      </c>
      <c r="E12" s="84"/>
      <c r="F12" s="83">
        <v>6</v>
      </c>
      <c r="G12" s="84"/>
      <c r="H12" s="83">
        <v>7</v>
      </c>
      <c r="I12" s="84"/>
      <c r="J12" s="83">
        <v>6</v>
      </c>
      <c r="K12" s="84"/>
      <c r="L12" s="83">
        <v>16</v>
      </c>
      <c r="M12" s="84"/>
      <c r="N12" s="83">
        <v>18</v>
      </c>
      <c r="O12" s="84"/>
      <c r="P12" s="83">
        <v>31</v>
      </c>
      <c r="Q12" s="164"/>
      <c r="R12" s="83">
        <v>36</v>
      </c>
      <c r="S12" s="164"/>
      <c r="T12" s="296">
        <v>5</v>
      </c>
      <c r="U12" s="1233"/>
      <c r="W12" s="515">
        <f>AVERAGE(N12,L12,R12,T12,P12)</f>
        <v>21.2</v>
      </c>
      <c r="X12" s="539"/>
    </row>
    <row r="13" spans="1:24" s="33" customFormat="1" ht="15" customHeight="1" thickBot="1" x14ac:dyDescent="0.25">
      <c r="A13" s="1158" t="s">
        <v>48</v>
      </c>
      <c r="B13" s="1159">
        <v>43</v>
      </c>
      <c r="C13" s="1160">
        <v>16</v>
      </c>
      <c r="D13" s="1159">
        <v>58</v>
      </c>
      <c r="E13" s="1160">
        <v>7</v>
      </c>
      <c r="F13" s="1159">
        <v>47</v>
      </c>
      <c r="G13" s="1160">
        <v>4</v>
      </c>
      <c r="H13" s="1159">
        <v>30</v>
      </c>
      <c r="I13" s="1160">
        <v>18</v>
      </c>
      <c r="J13" s="1159">
        <v>20</v>
      </c>
      <c r="K13" s="1160">
        <v>14</v>
      </c>
      <c r="L13" s="1159">
        <v>76</v>
      </c>
      <c r="M13" s="1160">
        <v>20</v>
      </c>
      <c r="N13" s="1159">
        <v>138</v>
      </c>
      <c r="O13" s="1160">
        <v>17</v>
      </c>
      <c r="P13" s="1159">
        <v>19</v>
      </c>
      <c r="Q13" s="1160">
        <v>14</v>
      </c>
      <c r="R13" s="1159">
        <v>45</v>
      </c>
      <c r="S13" s="1160">
        <v>22</v>
      </c>
      <c r="T13" s="1159">
        <v>40</v>
      </c>
      <c r="U13" s="1230"/>
      <c r="V13" s="64"/>
      <c r="W13" s="1162">
        <f>AVERAGE(N13,L13,R13,T13,P13)</f>
        <v>63.6</v>
      </c>
      <c r="X13" s="1161">
        <f>AVERAGE(O13,M13,S13,K13,Q13)</f>
        <v>17.399999999999999</v>
      </c>
    </row>
    <row r="14" spans="1:24" ht="15" customHeight="1" x14ac:dyDescent="0.2">
      <c r="A14" s="60" t="s">
        <v>62</v>
      </c>
      <c r="B14" s="65"/>
      <c r="C14" s="99"/>
      <c r="D14" s="83"/>
      <c r="E14" s="84"/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  <c r="T14" s="83"/>
      <c r="U14" s="537"/>
      <c r="W14" s="515"/>
      <c r="X14" s="539"/>
    </row>
    <row r="15" spans="1:24" ht="15" customHeight="1" thickBot="1" x14ac:dyDescent="0.25">
      <c r="A15" s="75" t="s">
        <v>54</v>
      </c>
      <c r="B15" s="100">
        <v>71</v>
      </c>
      <c r="C15" s="9" t="s">
        <v>67</v>
      </c>
      <c r="D15" s="66">
        <v>65</v>
      </c>
      <c r="E15" s="9">
        <v>22</v>
      </c>
      <c r="F15" s="66">
        <v>76</v>
      </c>
      <c r="G15" s="9">
        <v>26</v>
      </c>
      <c r="H15" s="66">
        <v>83</v>
      </c>
      <c r="I15" s="9">
        <v>27</v>
      </c>
      <c r="J15" s="66">
        <v>68</v>
      </c>
      <c r="K15" s="9">
        <v>26</v>
      </c>
      <c r="L15" s="66">
        <v>72</v>
      </c>
      <c r="M15" s="9">
        <v>26</v>
      </c>
      <c r="N15" s="66">
        <v>58</v>
      </c>
      <c r="O15" s="9">
        <v>27</v>
      </c>
      <c r="P15" s="66">
        <v>62</v>
      </c>
      <c r="Q15" s="9">
        <v>27</v>
      </c>
      <c r="R15" s="66">
        <v>51</v>
      </c>
      <c r="S15" s="9">
        <v>20</v>
      </c>
      <c r="T15" s="66">
        <v>46</v>
      </c>
      <c r="U15" s="1234"/>
      <c r="W15" s="515">
        <f>AVERAGE(N15,L15,R15,T15,P15)</f>
        <v>57.8</v>
      </c>
      <c r="X15" s="539">
        <f>AVERAGE(O15,M15,S15,K15,Q15)</f>
        <v>25.2</v>
      </c>
    </row>
    <row r="16" spans="1:24" ht="15" customHeight="1" x14ac:dyDescent="0.2">
      <c r="A16" s="163" t="s">
        <v>43</v>
      </c>
      <c r="B16" s="91"/>
      <c r="C16" s="92"/>
      <c r="D16" s="91"/>
      <c r="E16" s="92"/>
      <c r="F16" s="91"/>
      <c r="G16" s="92"/>
      <c r="H16" s="91"/>
      <c r="I16" s="92"/>
      <c r="J16" s="91"/>
      <c r="K16" s="92"/>
      <c r="L16" s="91"/>
      <c r="M16" s="92"/>
      <c r="N16" s="91"/>
      <c r="O16" s="92"/>
      <c r="P16" s="91"/>
      <c r="Q16" s="92"/>
      <c r="R16" s="91"/>
      <c r="S16" s="92"/>
      <c r="T16" s="112"/>
      <c r="U16" s="1231"/>
      <c r="W16" s="515"/>
      <c r="X16" s="539"/>
    </row>
    <row r="17" spans="1:26" ht="15" customHeight="1" x14ac:dyDescent="0.2">
      <c r="A17" s="59" t="s">
        <v>44</v>
      </c>
      <c r="B17" s="65">
        <v>72</v>
      </c>
      <c r="C17" s="9">
        <v>11</v>
      </c>
      <c r="D17" s="66">
        <v>95</v>
      </c>
      <c r="E17" s="9">
        <v>18</v>
      </c>
      <c r="F17" s="66">
        <v>99</v>
      </c>
      <c r="G17" s="9">
        <v>35</v>
      </c>
      <c r="H17" s="66">
        <v>90</v>
      </c>
      <c r="I17" s="9">
        <v>23</v>
      </c>
      <c r="J17" s="66">
        <v>107</v>
      </c>
      <c r="K17" s="9">
        <v>26</v>
      </c>
      <c r="L17" s="66">
        <v>109</v>
      </c>
      <c r="M17" s="9">
        <v>28</v>
      </c>
      <c r="N17" s="66">
        <v>134</v>
      </c>
      <c r="O17" s="9">
        <v>35</v>
      </c>
      <c r="P17" s="66">
        <v>133</v>
      </c>
      <c r="Q17" s="9">
        <v>45</v>
      </c>
      <c r="R17" s="66">
        <v>117</v>
      </c>
      <c r="S17" s="9">
        <v>37</v>
      </c>
      <c r="T17" s="66">
        <v>110</v>
      </c>
      <c r="U17" s="1234"/>
      <c r="W17" s="515">
        <f t="shared" ref="W17:W31" si="1">AVERAGE(N17,L17,R17,T17,P17)</f>
        <v>120.6</v>
      </c>
      <c r="X17" s="539">
        <f t="shared" ref="X17:X31" si="2">AVERAGE(O17,M17,S17,K17,Q17)</f>
        <v>34.200000000000003</v>
      </c>
    </row>
    <row r="18" spans="1:26" ht="15" customHeight="1" x14ac:dyDescent="0.2">
      <c r="A18" s="59" t="s">
        <v>40</v>
      </c>
      <c r="B18" s="96">
        <v>8</v>
      </c>
      <c r="C18" s="94">
        <v>3</v>
      </c>
      <c r="D18" s="95">
        <v>6</v>
      </c>
      <c r="E18" s="94">
        <v>1</v>
      </c>
      <c r="F18" s="95">
        <v>13</v>
      </c>
      <c r="G18" s="94">
        <v>1</v>
      </c>
      <c r="H18" s="95">
        <v>13</v>
      </c>
      <c r="I18" s="94">
        <v>3</v>
      </c>
      <c r="J18" s="95">
        <v>13</v>
      </c>
      <c r="K18" s="94">
        <v>4</v>
      </c>
      <c r="L18" s="95">
        <v>9</v>
      </c>
      <c r="M18" s="94">
        <v>0</v>
      </c>
      <c r="N18" s="95">
        <v>7</v>
      </c>
      <c r="O18" s="101">
        <v>0</v>
      </c>
      <c r="P18" s="95">
        <v>10</v>
      </c>
      <c r="Q18" s="98">
        <v>4</v>
      </c>
      <c r="R18" s="95">
        <v>9</v>
      </c>
      <c r="S18" s="98">
        <v>1</v>
      </c>
      <c r="T18" s="96">
        <v>10</v>
      </c>
      <c r="U18" s="537"/>
      <c r="W18" s="515">
        <f t="shared" si="1"/>
        <v>9</v>
      </c>
      <c r="X18" s="539">
        <f t="shared" si="2"/>
        <v>1.8</v>
      </c>
    </row>
    <row r="19" spans="1:26" ht="15" customHeight="1" x14ac:dyDescent="0.2">
      <c r="A19" s="60" t="s">
        <v>45</v>
      </c>
      <c r="B19" s="97"/>
      <c r="C19" s="84"/>
      <c r="D19" s="83"/>
      <c r="E19" s="84"/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104"/>
      <c r="R19" s="83"/>
      <c r="S19" s="104"/>
      <c r="T19" s="97"/>
      <c r="U19" s="1235"/>
      <c r="W19" s="515"/>
      <c r="X19" s="539"/>
    </row>
    <row r="20" spans="1:26" ht="15" customHeight="1" x14ac:dyDescent="0.2">
      <c r="A20" s="59" t="s">
        <v>44</v>
      </c>
      <c r="B20" s="95">
        <v>3</v>
      </c>
      <c r="C20" s="94">
        <v>1</v>
      </c>
      <c r="D20" s="95">
        <v>0</v>
      </c>
      <c r="E20" s="94">
        <v>0</v>
      </c>
      <c r="F20" s="95">
        <v>0</v>
      </c>
      <c r="G20" s="94">
        <v>0</v>
      </c>
      <c r="H20" s="95">
        <v>0</v>
      </c>
      <c r="I20" s="94">
        <v>0</v>
      </c>
      <c r="J20" s="95">
        <v>0</v>
      </c>
      <c r="K20" s="94">
        <v>0</v>
      </c>
      <c r="L20" s="95">
        <v>1</v>
      </c>
      <c r="M20" s="94">
        <v>1</v>
      </c>
      <c r="N20" s="95">
        <v>1</v>
      </c>
      <c r="O20" s="94">
        <v>0</v>
      </c>
      <c r="P20" s="95">
        <v>2</v>
      </c>
      <c r="Q20" s="94">
        <v>0</v>
      </c>
      <c r="R20" s="95">
        <v>4</v>
      </c>
      <c r="S20" s="94">
        <v>0</v>
      </c>
      <c r="T20" s="95">
        <v>4</v>
      </c>
      <c r="U20" s="538"/>
      <c r="W20" s="515">
        <f t="shared" si="1"/>
        <v>2.4</v>
      </c>
      <c r="X20" s="539">
        <f t="shared" si="2"/>
        <v>0.2</v>
      </c>
    </row>
    <row r="21" spans="1:26" ht="15" customHeight="1" thickBot="1" x14ac:dyDescent="0.25">
      <c r="A21" s="59" t="s">
        <v>40</v>
      </c>
      <c r="B21" s="95">
        <v>10</v>
      </c>
      <c r="C21" s="94">
        <v>2</v>
      </c>
      <c r="D21" s="95">
        <v>9</v>
      </c>
      <c r="E21" s="94">
        <v>2</v>
      </c>
      <c r="F21" s="95">
        <v>6</v>
      </c>
      <c r="G21" s="94">
        <v>4</v>
      </c>
      <c r="H21" s="95">
        <v>9</v>
      </c>
      <c r="I21" s="94">
        <v>2</v>
      </c>
      <c r="J21" s="95">
        <v>13</v>
      </c>
      <c r="K21" s="94">
        <v>0</v>
      </c>
      <c r="L21" s="95">
        <v>13</v>
      </c>
      <c r="M21" s="94">
        <v>1</v>
      </c>
      <c r="N21" s="95">
        <v>16</v>
      </c>
      <c r="O21" s="94">
        <v>1</v>
      </c>
      <c r="P21" s="95">
        <v>20</v>
      </c>
      <c r="Q21" s="94">
        <v>3</v>
      </c>
      <c r="R21" s="95">
        <v>19</v>
      </c>
      <c r="S21" s="94">
        <v>3</v>
      </c>
      <c r="T21" s="95">
        <v>21</v>
      </c>
      <c r="U21" s="1234"/>
      <c r="W21" s="515">
        <f t="shared" si="1"/>
        <v>17.8</v>
      </c>
      <c r="X21" s="539">
        <f t="shared" si="2"/>
        <v>1.6</v>
      </c>
    </row>
    <row r="22" spans="1:26" s="33" customFormat="1" ht="15" customHeight="1" x14ac:dyDescent="0.2">
      <c r="A22" s="87" t="s">
        <v>51</v>
      </c>
      <c r="B22" s="69"/>
      <c r="C22" s="67"/>
      <c r="D22" s="68"/>
      <c r="E22" s="67"/>
      <c r="F22" s="68"/>
      <c r="G22" s="67"/>
      <c r="H22" s="68"/>
      <c r="I22" s="67"/>
      <c r="J22" s="68"/>
      <c r="K22" s="67"/>
      <c r="L22" s="68"/>
      <c r="M22" s="67"/>
      <c r="N22" s="68"/>
      <c r="O22" s="67"/>
      <c r="P22" s="68"/>
      <c r="Q22" s="67"/>
      <c r="R22" s="68"/>
      <c r="S22" s="67"/>
      <c r="T22" s="536"/>
      <c r="U22" s="1236"/>
      <c r="V22" s="64"/>
      <c r="W22" s="515"/>
      <c r="X22" s="539"/>
    </row>
    <row r="23" spans="1:26" ht="15" customHeight="1" x14ac:dyDescent="0.2">
      <c r="A23" s="59" t="s">
        <v>49</v>
      </c>
      <c r="B23" s="95">
        <v>0</v>
      </c>
      <c r="C23" s="94">
        <v>0</v>
      </c>
      <c r="D23" s="95">
        <v>0</v>
      </c>
      <c r="E23" s="94">
        <v>1</v>
      </c>
      <c r="F23" s="95">
        <v>1</v>
      </c>
      <c r="G23" s="94">
        <v>1</v>
      </c>
      <c r="H23" s="95">
        <v>0</v>
      </c>
      <c r="I23" s="94">
        <v>0</v>
      </c>
      <c r="J23" s="95">
        <v>2</v>
      </c>
      <c r="K23" s="94">
        <v>1</v>
      </c>
      <c r="L23" s="95">
        <v>1</v>
      </c>
      <c r="M23" s="94">
        <v>0</v>
      </c>
      <c r="N23" s="95">
        <v>2</v>
      </c>
      <c r="O23" s="94">
        <v>1</v>
      </c>
      <c r="P23" s="95">
        <v>3</v>
      </c>
      <c r="Q23" s="94">
        <v>2</v>
      </c>
      <c r="R23" s="95">
        <v>3</v>
      </c>
      <c r="S23" s="94">
        <v>4</v>
      </c>
      <c r="T23" s="95">
        <v>2</v>
      </c>
      <c r="U23" s="538"/>
      <c r="W23" s="515">
        <f t="shared" si="1"/>
        <v>2.2000000000000002</v>
      </c>
      <c r="X23" s="539">
        <f t="shared" si="2"/>
        <v>1.6</v>
      </c>
    </row>
    <row r="24" spans="1:26" ht="15" customHeight="1" x14ac:dyDescent="0.2">
      <c r="A24" s="59" t="s">
        <v>53</v>
      </c>
      <c r="B24" s="95">
        <v>10</v>
      </c>
      <c r="C24" s="101">
        <v>0</v>
      </c>
      <c r="D24" s="95">
        <v>6</v>
      </c>
      <c r="E24" s="94">
        <v>1</v>
      </c>
      <c r="F24" s="95">
        <v>9</v>
      </c>
      <c r="G24" s="94">
        <v>6</v>
      </c>
      <c r="H24" s="95">
        <v>3</v>
      </c>
      <c r="I24" s="94">
        <v>2</v>
      </c>
      <c r="J24" s="95">
        <v>6</v>
      </c>
      <c r="K24" s="94">
        <v>2</v>
      </c>
      <c r="L24" s="95">
        <v>4</v>
      </c>
      <c r="M24" s="94">
        <v>2</v>
      </c>
      <c r="N24" s="95">
        <v>6</v>
      </c>
      <c r="O24" s="94">
        <v>1</v>
      </c>
      <c r="P24" s="95">
        <v>7</v>
      </c>
      <c r="Q24" s="94">
        <v>2</v>
      </c>
      <c r="R24" s="95">
        <v>7</v>
      </c>
      <c r="S24" s="94">
        <v>5</v>
      </c>
      <c r="T24" s="95">
        <v>4</v>
      </c>
      <c r="U24" s="1234"/>
      <c r="W24" s="515">
        <f t="shared" si="1"/>
        <v>5.6</v>
      </c>
      <c r="X24" s="539">
        <f t="shared" si="2"/>
        <v>2.4</v>
      </c>
    </row>
    <row r="25" spans="1:26" ht="15" customHeight="1" x14ac:dyDescent="0.2">
      <c r="A25" s="59" t="s">
        <v>65</v>
      </c>
      <c r="B25" s="83">
        <v>4</v>
      </c>
      <c r="C25" s="84">
        <v>1</v>
      </c>
      <c r="D25" s="83">
        <v>1</v>
      </c>
      <c r="E25" s="84">
        <v>2</v>
      </c>
      <c r="F25" s="1173" t="s">
        <v>249</v>
      </c>
      <c r="G25" s="103"/>
      <c r="H25" s="102"/>
      <c r="I25" s="103"/>
      <c r="J25" s="102"/>
      <c r="K25" s="103"/>
      <c r="L25" s="102"/>
      <c r="M25" s="103"/>
      <c r="N25" s="102"/>
      <c r="O25" s="103"/>
      <c r="P25" s="102"/>
      <c r="Q25" s="103"/>
      <c r="R25" s="102"/>
      <c r="S25" s="103"/>
      <c r="T25" s="102"/>
      <c r="U25" s="537"/>
      <c r="W25" s="515"/>
      <c r="X25" s="539"/>
    </row>
    <row r="26" spans="1:26" ht="15" customHeight="1" thickBot="1" x14ac:dyDescent="0.25">
      <c r="A26" s="61" t="s">
        <v>50</v>
      </c>
      <c r="B26" s="106"/>
      <c r="C26" s="107"/>
      <c r="D26" s="77">
        <v>0</v>
      </c>
      <c r="E26" s="76">
        <v>0</v>
      </c>
      <c r="F26" s="77">
        <v>1</v>
      </c>
      <c r="G26" s="76">
        <v>0</v>
      </c>
      <c r="H26" s="77">
        <v>1</v>
      </c>
      <c r="I26" s="76">
        <v>0</v>
      </c>
      <c r="J26" s="77">
        <v>2</v>
      </c>
      <c r="K26" s="76">
        <v>0</v>
      </c>
      <c r="L26" s="77">
        <v>4</v>
      </c>
      <c r="M26" s="76">
        <v>2</v>
      </c>
      <c r="N26" s="77">
        <v>2</v>
      </c>
      <c r="O26" s="76">
        <v>1</v>
      </c>
      <c r="P26" s="77">
        <v>6</v>
      </c>
      <c r="Q26" s="9">
        <v>0</v>
      </c>
      <c r="R26" s="77">
        <v>11</v>
      </c>
      <c r="S26" s="9">
        <v>1</v>
      </c>
      <c r="T26" s="66">
        <v>5</v>
      </c>
      <c r="U26" s="1163" t="s">
        <v>249</v>
      </c>
      <c r="W26" s="515">
        <f t="shared" si="1"/>
        <v>5.6</v>
      </c>
      <c r="X26" s="539">
        <f t="shared" si="2"/>
        <v>0.8</v>
      </c>
    </row>
    <row r="27" spans="1:26" ht="15" customHeight="1" x14ac:dyDescent="0.2">
      <c r="A27" s="82" t="s">
        <v>52</v>
      </c>
      <c r="B27" s="83"/>
      <c r="C27" s="84"/>
      <c r="D27" s="83"/>
      <c r="E27" s="84"/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5"/>
      <c r="R27" s="83"/>
      <c r="S27" s="85"/>
      <c r="T27" s="112"/>
      <c r="U27" s="1229"/>
      <c r="V27" s="74"/>
      <c r="W27" s="515"/>
      <c r="X27" s="539"/>
    </row>
    <row r="28" spans="1:26" ht="15" customHeight="1" x14ac:dyDescent="0.2">
      <c r="A28" s="59" t="s">
        <v>66</v>
      </c>
      <c r="B28" s="95">
        <v>1</v>
      </c>
      <c r="C28" s="101">
        <v>0</v>
      </c>
      <c r="D28" s="95">
        <v>1</v>
      </c>
      <c r="E28" s="94">
        <v>1</v>
      </c>
      <c r="F28" s="95">
        <v>1</v>
      </c>
      <c r="G28" s="94">
        <v>0</v>
      </c>
      <c r="H28" s="95">
        <v>5</v>
      </c>
      <c r="I28" s="94">
        <v>1</v>
      </c>
      <c r="J28" s="95">
        <v>0</v>
      </c>
      <c r="K28" s="94">
        <v>2</v>
      </c>
      <c r="L28" s="1174" t="s">
        <v>249</v>
      </c>
      <c r="M28" s="109"/>
      <c r="N28" s="108"/>
      <c r="O28" s="109"/>
      <c r="P28" s="108"/>
      <c r="Q28" s="109"/>
      <c r="R28" s="108"/>
      <c r="S28" s="109"/>
      <c r="T28" s="108"/>
      <c r="U28" s="538"/>
      <c r="W28" s="515"/>
      <c r="X28" s="539"/>
    </row>
    <row r="29" spans="1:26" ht="15" customHeight="1" x14ac:dyDescent="0.2">
      <c r="A29" s="73" t="s">
        <v>56</v>
      </c>
      <c r="B29" s="108"/>
      <c r="C29" s="109"/>
      <c r="D29" s="108"/>
      <c r="E29" s="109"/>
      <c r="F29" s="108"/>
      <c r="G29" s="109"/>
      <c r="H29" s="95">
        <v>0</v>
      </c>
      <c r="I29" s="94">
        <v>1</v>
      </c>
      <c r="J29" s="95">
        <v>0</v>
      </c>
      <c r="K29" s="94">
        <v>1</v>
      </c>
      <c r="L29" s="95">
        <v>0</v>
      </c>
      <c r="M29" s="94">
        <v>0</v>
      </c>
      <c r="N29" s="95">
        <v>0</v>
      </c>
      <c r="O29" s="94">
        <v>0</v>
      </c>
      <c r="P29" s="95">
        <v>0</v>
      </c>
      <c r="Q29" s="98">
        <v>0</v>
      </c>
      <c r="R29" s="95">
        <v>0</v>
      </c>
      <c r="S29" s="98">
        <v>0</v>
      </c>
      <c r="T29" s="95">
        <v>0</v>
      </c>
      <c r="U29" s="538"/>
      <c r="W29" s="515">
        <f t="shared" si="1"/>
        <v>0</v>
      </c>
      <c r="X29" s="539">
        <f t="shared" si="2"/>
        <v>0.2</v>
      </c>
    </row>
    <row r="30" spans="1:26" ht="15" customHeight="1" x14ac:dyDescent="0.2">
      <c r="A30" s="59" t="s">
        <v>57</v>
      </c>
      <c r="B30" s="108"/>
      <c r="C30" s="109"/>
      <c r="D30" s="95">
        <v>0</v>
      </c>
      <c r="E30" s="94">
        <v>0</v>
      </c>
      <c r="F30" s="95">
        <v>1</v>
      </c>
      <c r="G30" s="94">
        <v>1</v>
      </c>
      <c r="H30" s="95">
        <v>0</v>
      </c>
      <c r="I30" s="94">
        <v>1</v>
      </c>
      <c r="J30" s="95">
        <v>0</v>
      </c>
      <c r="K30" s="94">
        <v>4</v>
      </c>
      <c r="L30" s="95">
        <v>0</v>
      </c>
      <c r="M30" s="94">
        <v>0</v>
      </c>
      <c r="N30" s="95">
        <v>0</v>
      </c>
      <c r="O30" s="94">
        <v>2</v>
      </c>
      <c r="P30" s="95">
        <v>0</v>
      </c>
      <c r="Q30" s="94">
        <v>0</v>
      </c>
      <c r="R30" s="95">
        <v>0</v>
      </c>
      <c r="S30" s="94">
        <v>0</v>
      </c>
      <c r="T30" s="95">
        <v>0</v>
      </c>
      <c r="U30" s="538"/>
      <c r="W30" s="515">
        <f t="shared" si="1"/>
        <v>0</v>
      </c>
      <c r="X30" s="539">
        <f t="shared" si="2"/>
        <v>1.2</v>
      </c>
      <c r="Z30" s="26" t="s">
        <v>16</v>
      </c>
    </row>
    <row r="31" spans="1:26" ht="15" customHeight="1" thickBot="1" x14ac:dyDescent="0.25">
      <c r="A31" s="75" t="s">
        <v>58</v>
      </c>
      <c r="B31" s="110"/>
      <c r="C31" s="107"/>
      <c r="D31" s="106"/>
      <c r="E31" s="107"/>
      <c r="F31" s="106"/>
      <c r="G31" s="107"/>
      <c r="H31" s="106"/>
      <c r="I31" s="107"/>
      <c r="J31" s="106"/>
      <c r="K31" s="111"/>
      <c r="L31" s="106"/>
      <c r="M31" s="107"/>
      <c r="N31" s="106"/>
      <c r="O31" s="107"/>
      <c r="P31" s="77">
        <v>1</v>
      </c>
      <c r="Q31" s="76">
        <v>2</v>
      </c>
      <c r="R31" s="77">
        <v>0</v>
      </c>
      <c r="S31" s="76">
        <v>0</v>
      </c>
      <c r="T31" s="77">
        <v>0</v>
      </c>
      <c r="U31" s="1237"/>
      <c r="W31" s="515">
        <f t="shared" si="1"/>
        <v>0.33333333333333331</v>
      </c>
      <c r="X31" s="539">
        <f t="shared" si="2"/>
        <v>1</v>
      </c>
    </row>
    <row r="32" spans="1:26" ht="15" customHeight="1" x14ac:dyDescent="0.2">
      <c r="A32" s="79" t="s">
        <v>59</v>
      </c>
      <c r="B32" s="112"/>
      <c r="C32" s="113"/>
      <c r="D32" s="112"/>
      <c r="E32" s="113"/>
      <c r="F32" s="112"/>
      <c r="G32" s="113"/>
      <c r="H32" s="112"/>
      <c r="I32" s="113"/>
      <c r="J32" s="112"/>
      <c r="K32" s="113"/>
      <c r="L32" s="112"/>
      <c r="M32" s="113"/>
      <c r="N32" s="112"/>
      <c r="O32" s="113"/>
      <c r="P32" s="112"/>
      <c r="Q32" s="113"/>
      <c r="R32" s="112"/>
      <c r="S32" s="113"/>
      <c r="T32" s="112"/>
      <c r="U32" s="535"/>
      <c r="W32" s="515"/>
      <c r="X32" s="539"/>
    </row>
    <row r="33" spans="1:24" ht="15" customHeight="1" x14ac:dyDescent="0.2">
      <c r="A33" s="73" t="s">
        <v>60</v>
      </c>
      <c r="B33" s="95">
        <v>68</v>
      </c>
      <c r="C33" s="94" t="s">
        <v>47</v>
      </c>
      <c r="D33" s="95">
        <v>63</v>
      </c>
      <c r="E33" s="94" t="s">
        <v>47</v>
      </c>
      <c r="F33" s="95">
        <v>41</v>
      </c>
      <c r="G33" s="94" t="s">
        <v>47</v>
      </c>
      <c r="H33" s="95">
        <v>78</v>
      </c>
      <c r="I33" s="94" t="s">
        <v>47</v>
      </c>
      <c r="J33" s="95">
        <v>91</v>
      </c>
      <c r="K33" s="94" t="s">
        <v>47</v>
      </c>
      <c r="L33" s="285">
        <v>77</v>
      </c>
      <c r="M33" s="94" t="s">
        <v>47</v>
      </c>
      <c r="N33" s="285">
        <v>76</v>
      </c>
      <c r="O33" s="94" t="s">
        <v>47</v>
      </c>
      <c r="P33" s="95">
        <v>85</v>
      </c>
      <c r="Q33" s="94" t="s">
        <v>47</v>
      </c>
      <c r="R33" s="95">
        <v>60</v>
      </c>
      <c r="S33" s="94" t="s">
        <v>47</v>
      </c>
      <c r="T33" s="95">
        <v>52</v>
      </c>
      <c r="U33" s="114" t="s">
        <v>47</v>
      </c>
      <c r="W33" s="515">
        <f t="shared" ref="W33:W34" si="3">AVERAGE(N33,L33,R33,T33,P33)</f>
        <v>70</v>
      </c>
      <c r="X33" s="539"/>
    </row>
    <row r="34" spans="1:24" ht="15" customHeight="1" thickBot="1" x14ac:dyDescent="0.25">
      <c r="A34" s="70" t="s">
        <v>61</v>
      </c>
      <c r="B34" s="80"/>
      <c r="C34" s="81"/>
      <c r="D34" s="72">
        <v>40</v>
      </c>
      <c r="E34" s="71" t="s">
        <v>47</v>
      </c>
      <c r="F34" s="72">
        <v>30</v>
      </c>
      <c r="G34" s="71" t="s">
        <v>47</v>
      </c>
      <c r="H34" s="72">
        <v>22</v>
      </c>
      <c r="I34" s="71" t="s">
        <v>47</v>
      </c>
      <c r="J34" s="72">
        <v>11</v>
      </c>
      <c r="K34" s="71" t="s">
        <v>47</v>
      </c>
      <c r="L34" s="72">
        <v>16</v>
      </c>
      <c r="M34" s="71" t="s">
        <v>47</v>
      </c>
      <c r="N34" s="72">
        <v>19</v>
      </c>
      <c r="O34" s="71" t="s">
        <v>47</v>
      </c>
      <c r="P34" s="72">
        <v>21</v>
      </c>
      <c r="Q34" s="71" t="s">
        <v>47</v>
      </c>
      <c r="R34" s="72">
        <v>15</v>
      </c>
      <c r="S34" s="71" t="s">
        <v>47</v>
      </c>
      <c r="T34" s="72">
        <v>18</v>
      </c>
      <c r="U34" s="88" t="s">
        <v>47</v>
      </c>
      <c r="W34" s="515">
        <f t="shared" si="3"/>
        <v>17.8</v>
      </c>
      <c r="X34" s="539"/>
    </row>
    <row r="35" spans="1:24" ht="15" customHeight="1" thickTop="1" thickBot="1" x14ac:dyDescent="0.25">
      <c r="A35" s="32" t="s">
        <v>79</v>
      </c>
      <c r="B35" s="1307" t="s">
        <v>0</v>
      </c>
      <c r="C35" s="1308"/>
      <c r="D35" s="1307" t="s">
        <v>1</v>
      </c>
      <c r="E35" s="1308"/>
      <c r="F35" s="1307" t="s">
        <v>2</v>
      </c>
      <c r="G35" s="1308"/>
      <c r="H35" s="1307" t="s">
        <v>3</v>
      </c>
      <c r="I35" s="1308"/>
      <c r="J35" s="1307" t="s">
        <v>4</v>
      </c>
      <c r="K35" s="1308"/>
      <c r="L35" s="1307" t="s">
        <v>5</v>
      </c>
      <c r="M35" s="1308"/>
      <c r="N35" s="1307" t="s">
        <v>6</v>
      </c>
      <c r="O35" s="1308"/>
      <c r="P35" s="1307" t="s">
        <v>7</v>
      </c>
      <c r="Q35" s="1308"/>
      <c r="R35" s="1307" t="s">
        <v>8</v>
      </c>
      <c r="S35" s="1308"/>
      <c r="T35" s="1304" t="s">
        <v>254</v>
      </c>
      <c r="U35" s="1306"/>
      <c r="W35" s="1302" t="s">
        <v>9</v>
      </c>
      <c r="X35" s="1303"/>
    </row>
    <row r="36" spans="1:24" ht="15" customHeight="1" x14ac:dyDescent="0.2">
      <c r="A36" s="90" t="s">
        <v>77</v>
      </c>
      <c r="B36" s="158"/>
      <c r="C36" s="159"/>
      <c r="D36" s="158"/>
      <c r="E36" s="159"/>
      <c r="F36" s="158"/>
      <c r="G36" s="159"/>
      <c r="H36" s="158"/>
      <c r="I36" s="159"/>
      <c r="J36" s="158"/>
      <c r="K36" s="159"/>
      <c r="L36" s="158"/>
      <c r="M36" s="159"/>
      <c r="N36" s="158"/>
      <c r="O36" s="159"/>
      <c r="P36" s="158"/>
      <c r="Q36" s="159"/>
      <c r="R36" s="158"/>
      <c r="S36" s="159"/>
      <c r="T36" s="158"/>
      <c r="U36" s="160"/>
      <c r="W36" s="206"/>
      <c r="X36" s="93"/>
    </row>
    <row r="37" spans="1:24" ht="15" customHeight="1" x14ac:dyDescent="0.2">
      <c r="A37" s="31" t="s">
        <v>71</v>
      </c>
      <c r="B37" s="177"/>
      <c r="C37" s="178">
        <v>0.93</v>
      </c>
      <c r="D37" s="177"/>
      <c r="E37" s="178">
        <v>1</v>
      </c>
      <c r="F37" s="177"/>
      <c r="G37" s="178">
        <v>0.94</v>
      </c>
      <c r="H37" s="177"/>
      <c r="I37" s="178">
        <v>1</v>
      </c>
      <c r="J37" s="179"/>
      <c r="K37" s="178">
        <v>1</v>
      </c>
      <c r="L37" s="177"/>
      <c r="M37" s="178">
        <v>0.94</v>
      </c>
      <c r="N37" s="177"/>
      <c r="O37" s="178">
        <v>1</v>
      </c>
      <c r="P37" s="177"/>
      <c r="Q37" s="178">
        <v>0.92</v>
      </c>
      <c r="R37" s="177"/>
      <c r="S37" s="1291">
        <v>1</v>
      </c>
      <c r="T37" s="177"/>
      <c r="U37" s="1240"/>
      <c r="W37" s="208"/>
      <c r="X37" s="211">
        <f>AVERAGE(O37,M37,S37,K37,Q37)</f>
        <v>0.97200000000000009</v>
      </c>
    </row>
    <row r="38" spans="1:24" ht="15" customHeight="1" thickBot="1" x14ac:dyDescent="0.25">
      <c r="A38" s="190" t="s">
        <v>73</v>
      </c>
      <c r="B38" s="191"/>
      <c r="C38" s="192">
        <v>7.0000000000000007E-2</v>
      </c>
      <c r="D38" s="191"/>
      <c r="E38" s="192">
        <v>0</v>
      </c>
      <c r="F38" s="191"/>
      <c r="G38" s="192">
        <v>0.06</v>
      </c>
      <c r="H38" s="191"/>
      <c r="I38" s="192">
        <v>0</v>
      </c>
      <c r="J38" s="193"/>
      <c r="K38" s="192">
        <v>0</v>
      </c>
      <c r="L38" s="191"/>
      <c r="M38" s="192">
        <v>0</v>
      </c>
      <c r="N38" s="191"/>
      <c r="O38" s="192">
        <v>0</v>
      </c>
      <c r="P38" s="191"/>
      <c r="Q38" s="192">
        <v>0.08</v>
      </c>
      <c r="R38" s="191"/>
      <c r="S38" s="1292">
        <v>0</v>
      </c>
      <c r="T38" s="191"/>
      <c r="U38" s="1241"/>
      <c r="W38" s="209"/>
      <c r="X38" s="211">
        <f t="shared" ref="X38:X41" si="4">AVERAGE(O38,M38,S38,K38,Q38)</f>
        <v>1.6E-2</v>
      </c>
    </row>
    <row r="39" spans="1:24" ht="15" customHeight="1" x14ac:dyDescent="0.2">
      <c r="A39" s="173" t="s">
        <v>78</v>
      </c>
      <c r="B39" s="174"/>
      <c r="C39" s="175"/>
      <c r="D39" s="174"/>
      <c r="E39" s="175"/>
      <c r="F39" s="174"/>
      <c r="G39" s="175"/>
      <c r="H39" s="174"/>
      <c r="I39" s="175"/>
      <c r="J39" s="174"/>
      <c r="K39" s="175"/>
      <c r="L39" s="174"/>
      <c r="M39" s="175"/>
      <c r="N39" s="174"/>
      <c r="O39" s="175"/>
      <c r="P39" s="174"/>
      <c r="Q39" s="175"/>
      <c r="R39" s="174"/>
      <c r="S39" s="175"/>
      <c r="T39" s="174"/>
      <c r="U39" s="176"/>
      <c r="W39" s="210"/>
      <c r="X39" s="212"/>
    </row>
    <row r="40" spans="1:24" ht="15" customHeight="1" x14ac:dyDescent="0.2">
      <c r="A40" s="31" t="s">
        <v>72</v>
      </c>
      <c r="B40" s="177"/>
      <c r="C40" s="178">
        <v>0</v>
      </c>
      <c r="D40" s="177"/>
      <c r="E40" s="178">
        <v>0.14000000000000001</v>
      </c>
      <c r="F40" s="177"/>
      <c r="G40" s="178">
        <v>0</v>
      </c>
      <c r="H40" s="177"/>
      <c r="I40" s="178">
        <v>0</v>
      </c>
      <c r="J40" s="180"/>
      <c r="K40" s="178">
        <v>0</v>
      </c>
      <c r="L40" s="177"/>
      <c r="M40" s="178">
        <v>0</v>
      </c>
      <c r="N40" s="177"/>
      <c r="O40" s="178">
        <v>0</v>
      </c>
      <c r="P40" s="177"/>
      <c r="Q40" s="178">
        <v>0.08</v>
      </c>
      <c r="R40" s="177"/>
      <c r="S40" s="1291">
        <v>0.05</v>
      </c>
      <c r="T40" s="177"/>
      <c r="U40" s="1240"/>
      <c r="W40" s="208"/>
      <c r="X40" s="211">
        <f t="shared" si="4"/>
        <v>2.6000000000000002E-2</v>
      </c>
    </row>
    <row r="41" spans="1:24" ht="15" customHeight="1" thickBot="1" x14ac:dyDescent="0.25">
      <c r="A41" s="190" t="s">
        <v>74</v>
      </c>
      <c r="B41" s="191"/>
      <c r="C41" s="192">
        <v>1</v>
      </c>
      <c r="D41" s="191"/>
      <c r="E41" s="192">
        <v>0.86</v>
      </c>
      <c r="F41" s="191"/>
      <c r="G41" s="192">
        <v>1</v>
      </c>
      <c r="H41" s="191"/>
      <c r="I41" s="192">
        <v>1</v>
      </c>
      <c r="J41" s="198"/>
      <c r="K41" s="192">
        <v>1</v>
      </c>
      <c r="L41" s="191"/>
      <c r="M41" s="192">
        <v>1</v>
      </c>
      <c r="N41" s="191"/>
      <c r="O41" s="192">
        <v>1</v>
      </c>
      <c r="P41" s="191"/>
      <c r="Q41" s="192">
        <v>0.92</v>
      </c>
      <c r="R41" s="191"/>
      <c r="S41" s="1292">
        <v>0.95</v>
      </c>
      <c r="T41" s="191"/>
      <c r="U41" s="1241"/>
      <c r="W41" s="209"/>
      <c r="X41" s="211">
        <f t="shared" si="4"/>
        <v>0.97399999999999998</v>
      </c>
    </row>
    <row r="42" spans="1:24" ht="15" customHeight="1" x14ac:dyDescent="0.2">
      <c r="A42" s="194" t="s">
        <v>75</v>
      </c>
      <c r="B42" s="195"/>
      <c r="C42" s="196"/>
      <c r="D42" s="195"/>
      <c r="E42" s="196"/>
      <c r="F42" s="195"/>
      <c r="G42" s="196"/>
      <c r="H42" s="195"/>
      <c r="I42" s="196"/>
      <c r="J42" s="195"/>
      <c r="K42" s="196"/>
      <c r="L42" s="195"/>
      <c r="M42" s="196"/>
      <c r="N42" s="195"/>
      <c r="O42" s="196"/>
      <c r="P42" s="195"/>
      <c r="Q42" s="196"/>
      <c r="R42" s="195"/>
      <c r="S42" s="196"/>
      <c r="T42" s="195"/>
      <c r="U42" s="197"/>
      <c r="W42" s="209"/>
      <c r="X42" s="207"/>
    </row>
    <row r="43" spans="1:24" ht="15" customHeight="1" thickBot="1" x14ac:dyDescent="0.25">
      <c r="A43" s="35" t="s">
        <v>76</v>
      </c>
      <c r="B43" s="170"/>
      <c r="C43" s="171"/>
      <c r="D43" s="170"/>
      <c r="E43" s="171"/>
      <c r="F43" s="170"/>
      <c r="G43" s="171"/>
      <c r="H43" s="170"/>
      <c r="I43" s="171"/>
      <c r="J43" s="170"/>
      <c r="K43" s="171"/>
      <c r="L43" s="170"/>
      <c r="M43" s="171"/>
      <c r="N43" s="170"/>
      <c r="O43" s="171"/>
      <c r="P43" s="170"/>
      <c r="Q43" s="171"/>
      <c r="R43" s="170"/>
      <c r="S43" s="171"/>
      <c r="T43" s="170"/>
      <c r="U43" s="172"/>
      <c r="W43" s="209"/>
      <c r="X43" s="207"/>
    </row>
    <row r="44" spans="1:24" ht="15" customHeight="1" thickTop="1" thickBot="1" x14ac:dyDescent="0.25">
      <c r="A44" s="115" t="s">
        <v>39</v>
      </c>
      <c r="B44" s="1307" t="s">
        <v>0</v>
      </c>
      <c r="C44" s="1308"/>
      <c r="D44" s="1307" t="s">
        <v>1</v>
      </c>
      <c r="E44" s="1308"/>
      <c r="F44" s="1307" t="s">
        <v>2</v>
      </c>
      <c r="G44" s="1308"/>
      <c r="H44" s="1307" t="s">
        <v>3</v>
      </c>
      <c r="I44" s="1308"/>
      <c r="J44" s="1307" t="s">
        <v>4</v>
      </c>
      <c r="K44" s="1308"/>
      <c r="L44" s="1307" t="s">
        <v>5</v>
      </c>
      <c r="M44" s="1308"/>
      <c r="N44" s="1307" t="s">
        <v>6</v>
      </c>
      <c r="O44" s="1308"/>
      <c r="P44" s="1307" t="s">
        <v>7</v>
      </c>
      <c r="Q44" s="1308"/>
      <c r="R44" s="1307" t="s">
        <v>8</v>
      </c>
      <c r="S44" s="1308"/>
      <c r="T44" s="1307" t="s">
        <v>254</v>
      </c>
      <c r="U44" s="1310"/>
      <c r="V44" s="27"/>
      <c r="W44" s="1309" t="s">
        <v>9</v>
      </c>
      <c r="X44" s="1310"/>
    </row>
    <row r="45" spans="1:24" ht="15" customHeight="1" x14ac:dyDescent="0.2">
      <c r="A45" s="116" t="s">
        <v>68</v>
      </c>
      <c r="B45" s="123"/>
      <c r="C45" s="124">
        <v>22.7</v>
      </c>
      <c r="D45" s="123"/>
      <c r="E45" s="124">
        <v>23.5</v>
      </c>
      <c r="F45" s="123"/>
      <c r="G45" s="124">
        <v>23.2</v>
      </c>
      <c r="H45" s="123"/>
      <c r="I45" s="124">
        <v>23.6</v>
      </c>
      <c r="J45" s="123"/>
      <c r="K45" s="124">
        <v>23.4</v>
      </c>
      <c r="L45" s="123"/>
      <c r="M45" s="124">
        <v>23.3</v>
      </c>
      <c r="N45" s="123"/>
      <c r="O45" s="124">
        <v>23</v>
      </c>
      <c r="P45" s="123"/>
      <c r="Q45" s="124">
        <v>23.1</v>
      </c>
      <c r="R45" s="123"/>
      <c r="S45" s="124">
        <v>23.6</v>
      </c>
      <c r="T45" s="123"/>
      <c r="U45" s="125">
        <v>24.1</v>
      </c>
      <c r="V45" s="27"/>
      <c r="W45" s="201"/>
      <c r="X45" s="1164">
        <f>AVERAGE(O45,M45,S45,U45,Q45)</f>
        <v>23.419999999999998</v>
      </c>
    </row>
    <row r="46" spans="1:24" ht="15" customHeight="1" x14ac:dyDescent="0.2">
      <c r="A46" s="116" t="s">
        <v>69</v>
      </c>
      <c r="B46" s="123"/>
      <c r="C46" s="124">
        <v>22.3</v>
      </c>
      <c r="D46" s="126"/>
      <c r="E46" s="126">
        <v>23.3</v>
      </c>
      <c r="F46" s="123"/>
      <c r="G46" s="126">
        <v>21.8</v>
      </c>
      <c r="H46" s="123"/>
      <c r="I46" s="126">
        <v>27.8</v>
      </c>
      <c r="J46" s="123"/>
      <c r="K46" s="126">
        <v>26</v>
      </c>
      <c r="L46" s="123"/>
      <c r="M46" s="124">
        <v>23.9</v>
      </c>
      <c r="N46" s="123"/>
      <c r="O46" s="124">
        <v>22</v>
      </c>
      <c r="P46" s="123"/>
      <c r="Q46" s="124">
        <v>26</v>
      </c>
      <c r="R46" s="123"/>
      <c r="S46" s="124">
        <v>21</v>
      </c>
      <c r="T46" s="123"/>
      <c r="U46" s="125">
        <v>24</v>
      </c>
      <c r="V46" s="27"/>
      <c r="W46" s="117"/>
      <c r="X46" s="125">
        <f>AVERAGE(O46,M46,S46,U46,Q46)</f>
        <v>23.380000000000003</v>
      </c>
    </row>
    <row r="47" spans="1:24" ht="15" customHeight="1" thickBot="1" x14ac:dyDescent="0.25">
      <c r="A47" s="118" t="s">
        <v>70</v>
      </c>
      <c r="B47" s="119"/>
      <c r="C47" s="120">
        <v>26.4</v>
      </c>
      <c r="D47" s="121"/>
      <c r="E47" s="120">
        <v>26.3</v>
      </c>
      <c r="F47" s="119"/>
      <c r="G47" s="120">
        <v>26</v>
      </c>
      <c r="H47" s="119"/>
      <c r="I47" s="120">
        <v>25.8</v>
      </c>
      <c r="J47" s="119"/>
      <c r="K47" s="120">
        <v>26.4</v>
      </c>
      <c r="L47" s="119"/>
      <c r="M47" s="120">
        <v>25.2</v>
      </c>
      <c r="N47" s="119"/>
      <c r="O47" s="120">
        <v>26.1</v>
      </c>
      <c r="P47" s="119"/>
      <c r="Q47" s="120">
        <v>26.1</v>
      </c>
      <c r="R47" s="119"/>
      <c r="S47" s="120">
        <v>26.4</v>
      </c>
      <c r="T47" s="119"/>
      <c r="U47" s="122">
        <v>26.4</v>
      </c>
      <c r="V47" s="27"/>
      <c r="W47" s="205"/>
      <c r="X47" s="122">
        <f>AVERAGE(O47,M47,S47,K47,Q47)</f>
        <v>26.04</v>
      </c>
    </row>
    <row r="48" spans="1:24" ht="15" customHeight="1" thickTop="1" thickBot="1" x14ac:dyDescent="0.25">
      <c r="A48" s="39" t="s">
        <v>17</v>
      </c>
      <c r="B48" s="1307" t="s">
        <v>0</v>
      </c>
      <c r="C48" s="1308"/>
      <c r="D48" s="1307" t="s">
        <v>1</v>
      </c>
      <c r="E48" s="1308"/>
      <c r="F48" s="1307" t="s">
        <v>2</v>
      </c>
      <c r="G48" s="1308"/>
      <c r="H48" s="1307" t="s">
        <v>3</v>
      </c>
      <c r="I48" s="1308"/>
      <c r="J48" s="1307" t="s">
        <v>4</v>
      </c>
      <c r="K48" s="1308"/>
      <c r="L48" s="1307" t="s">
        <v>5</v>
      </c>
      <c r="M48" s="1308"/>
      <c r="N48" s="1307" t="s">
        <v>6</v>
      </c>
      <c r="O48" s="1308"/>
      <c r="P48" s="1307" t="s">
        <v>7</v>
      </c>
      <c r="Q48" s="1308"/>
      <c r="R48" s="1307" t="s">
        <v>8</v>
      </c>
      <c r="S48" s="1308"/>
      <c r="T48" s="1307" t="s">
        <v>254</v>
      </c>
      <c r="U48" s="1310"/>
      <c r="W48" s="1302" t="s">
        <v>9</v>
      </c>
      <c r="X48" s="1303"/>
    </row>
    <row r="49" spans="1:27" ht="15" customHeight="1" x14ac:dyDescent="0.2">
      <c r="A49" s="14" t="s">
        <v>18</v>
      </c>
      <c r="B49" s="16"/>
      <c r="C49" s="18">
        <v>360</v>
      </c>
      <c r="D49" s="15"/>
      <c r="E49" s="17">
        <v>363</v>
      </c>
      <c r="F49" s="16"/>
      <c r="G49" s="53">
        <v>416</v>
      </c>
      <c r="H49" s="16"/>
      <c r="I49" s="53">
        <v>455</v>
      </c>
      <c r="J49" s="16"/>
      <c r="K49" s="53">
        <v>448</v>
      </c>
      <c r="L49" s="16"/>
      <c r="M49" s="53">
        <v>452</v>
      </c>
      <c r="N49" s="16"/>
      <c r="O49" s="53">
        <v>156</v>
      </c>
      <c r="P49" s="16"/>
      <c r="Q49" s="53">
        <v>185</v>
      </c>
      <c r="R49" s="16"/>
      <c r="S49" s="53">
        <v>144</v>
      </c>
      <c r="T49" s="1238"/>
      <c r="U49" s="1239">
        <v>197</v>
      </c>
      <c r="W49" s="20"/>
      <c r="X49" s="21">
        <f>AVERAGE(O49,M49,S49,U49,Q49)</f>
        <v>226.8</v>
      </c>
      <c r="Z49" t="s">
        <v>16</v>
      </c>
    </row>
    <row r="50" spans="1:27" ht="15" customHeight="1" x14ac:dyDescent="0.2">
      <c r="A50" s="14" t="s">
        <v>19</v>
      </c>
      <c r="B50" s="16"/>
      <c r="C50" s="18">
        <v>239</v>
      </c>
      <c r="D50" s="15"/>
      <c r="E50" s="17">
        <v>256</v>
      </c>
      <c r="F50" s="16"/>
      <c r="G50" s="53">
        <v>242</v>
      </c>
      <c r="H50" s="16"/>
      <c r="I50" s="53">
        <v>111</v>
      </c>
      <c r="J50" s="16"/>
      <c r="K50" s="53">
        <v>93</v>
      </c>
      <c r="L50" s="16"/>
      <c r="M50" s="53">
        <v>110</v>
      </c>
      <c r="N50" s="16"/>
      <c r="O50" s="53">
        <v>141</v>
      </c>
      <c r="P50" s="16"/>
      <c r="Q50" s="53">
        <v>161</v>
      </c>
      <c r="R50" s="16"/>
      <c r="S50" s="53">
        <v>47</v>
      </c>
      <c r="T50" s="16"/>
      <c r="U50" s="19">
        <v>85</v>
      </c>
      <c r="W50" s="22"/>
      <c r="X50" s="21">
        <f>AVERAGE(O50,M50,S50,U50,Q50)</f>
        <v>108.8</v>
      </c>
    </row>
    <row r="51" spans="1:27" ht="15" customHeight="1" x14ac:dyDescent="0.2">
      <c r="A51" s="14" t="s">
        <v>20</v>
      </c>
      <c r="B51" s="16"/>
      <c r="C51" s="18">
        <v>44</v>
      </c>
      <c r="D51" s="15"/>
      <c r="E51" s="17">
        <v>61</v>
      </c>
      <c r="F51" s="16"/>
      <c r="G51" s="17">
        <v>47</v>
      </c>
      <c r="H51" s="16"/>
      <c r="I51" s="17">
        <v>69</v>
      </c>
      <c r="J51" s="16"/>
      <c r="K51" s="17">
        <v>51</v>
      </c>
      <c r="L51" s="16"/>
      <c r="M51" s="17">
        <v>29</v>
      </c>
      <c r="N51" s="16"/>
      <c r="O51" s="17">
        <v>29</v>
      </c>
      <c r="P51" s="16"/>
      <c r="Q51" s="17">
        <v>0</v>
      </c>
      <c r="R51" s="16"/>
      <c r="S51" s="17">
        <v>24</v>
      </c>
      <c r="T51" s="16"/>
      <c r="U51" s="19">
        <v>0</v>
      </c>
      <c r="W51" s="22"/>
      <c r="X51" s="21">
        <f>AVERAGE(O51,M51,S51,U51,Q51)</f>
        <v>16.399999999999999</v>
      </c>
    </row>
    <row r="52" spans="1:27" ht="15" customHeight="1" thickBot="1" x14ac:dyDescent="0.25">
      <c r="A52" s="161" t="s">
        <v>21</v>
      </c>
      <c r="B52" s="44"/>
      <c r="C52" s="45">
        <v>0</v>
      </c>
      <c r="D52" s="42"/>
      <c r="E52" s="43">
        <v>0</v>
      </c>
      <c r="F52" s="44"/>
      <c r="G52" s="43">
        <v>0</v>
      </c>
      <c r="H52" s="44"/>
      <c r="I52" s="43">
        <v>0</v>
      </c>
      <c r="J52" s="44"/>
      <c r="K52" s="43">
        <v>0</v>
      </c>
      <c r="L52" s="44"/>
      <c r="M52" s="43">
        <v>0</v>
      </c>
      <c r="N52" s="44"/>
      <c r="O52" s="43">
        <v>0</v>
      </c>
      <c r="P52" s="44"/>
      <c r="Q52" s="43">
        <v>0</v>
      </c>
      <c r="R52" s="44"/>
      <c r="S52" s="43">
        <v>0</v>
      </c>
      <c r="T52" s="44"/>
      <c r="U52" s="46">
        <v>0</v>
      </c>
      <c r="W52" s="202"/>
      <c r="X52" s="203">
        <f>AVERAGE(O52,M52,S52,U52,Q52)</f>
        <v>0</v>
      </c>
    </row>
    <row r="53" spans="1:27" ht="15" customHeight="1" thickBot="1" x14ac:dyDescent="0.25">
      <c r="A53" s="162" t="s">
        <v>22</v>
      </c>
      <c r="B53" s="49"/>
      <c r="C53" s="50">
        <f>SUM(C49:C52)</f>
        <v>643</v>
      </c>
      <c r="D53" s="48"/>
      <c r="E53" s="47">
        <f>SUM(E49:E52)</f>
        <v>680</v>
      </c>
      <c r="F53" s="49"/>
      <c r="G53" s="47">
        <f>SUM(G49:G52)</f>
        <v>705</v>
      </c>
      <c r="H53" s="49"/>
      <c r="I53" s="47">
        <f>SUM(I49:I52)</f>
        <v>635</v>
      </c>
      <c r="J53" s="49"/>
      <c r="K53" s="47">
        <f>SUM(K49:K52)</f>
        <v>592</v>
      </c>
      <c r="L53" s="49"/>
      <c r="M53" s="47">
        <f>SUM(M49:M52)</f>
        <v>591</v>
      </c>
      <c r="N53" s="49"/>
      <c r="O53" s="47">
        <f>SUM(O49:O52)</f>
        <v>326</v>
      </c>
      <c r="P53" s="49"/>
      <c r="Q53" s="47">
        <f>SUM(Q49:Q52)</f>
        <v>346</v>
      </c>
      <c r="R53" s="49"/>
      <c r="S53" s="47">
        <f>SUM(S49:S52)</f>
        <v>215</v>
      </c>
      <c r="T53" s="49"/>
      <c r="U53" s="51">
        <f>SUM(U49:U52)</f>
        <v>282</v>
      </c>
      <c r="W53" s="475"/>
      <c r="X53" s="204">
        <f>AVERAGE(O53,M53,S53,U53,Q53)</f>
        <v>352</v>
      </c>
    </row>
    <row r="54" spans="1:27" ht="15" customHeight="1" thickTop="1" thickBot="1" x14ac:dyDescent="0.25">
      <c r="A54" s="24"/>
      <c r="B54" s="36"/>
      <c r="C54" s="37"/>
      <c r="D54" s="36"/>
      <c r="E54" s="38"/>
      <c r="F54" s="36"/>
      <c r="G54" s="38"/>
      <c r="H54" s="36"/>
      <c r="I54" s="38"/>
      <c r="J54" s="36"/>
      <c r="K54" s="38"/>
      <c r="L54" s="36"/>
      <c r="M54" s="38"/>
      <c r="N54" s="36"/>
      <c r="O54" s="38"/>
      <c r="P54" s="36"/>
      <c r="Q54" s="38"/>
      <c r="R54" s="36"/>
      <c r="S54" s="38"/>
      <c r="T54" s="36"/>
      <c r="U54" s="38"/>
      <c r="V54" s="41"/>
      <c r="W54" s="40"/>
      <c r="X54" s="37"/>
    </row>
    <row r="55" spans="1:27" ht="15" customHeight="1" thickTop="1" thickBot="1" x14ac:dyDescent="0.25">
      <c r="A55" s="142" t="s">
        <v>23</v>
      </c>
      <c r="B55" s="1311" t="s">
        <v>24</v>
      </c>
      <c r="C55" s="1314"/>
      <c r="D55" s="1311" t="s">
        <v>25</v>
      </c>
      <c r="E55" s="1312"/>
      <c r="F55" s="1311" t="s">
        <v>26</v>
      </c>
      <c r="G55" s="1312"/>
      <c r="H55" s="1311" t="s">
        <v>27</v>
      </c>
      <c r="I55" s="1312"/>
      <c r="J55" s="1311" t="s">
        <v>28</v>
      </c>
      <c r="K55" s="1312"/>
      <c r="L55" s="1311" t="s">
        <v>29</v>
      </c>
      <c r="M55" s="1312"/>
      <c r="N55" s="1311" t="s">
        <v>30</v>
      </c>
      <c r="O55" s="1312"/>
      <c r="P55" s="1311" t="s">
        <v>31</v>
      </c>
      <c r="Q55" s="1312"/>
      <c r="R55" s="1311" t="s">
        <v>32</v>
      </c>
      <c r="S55" s="1312"/>
      <c r="T55" s="1311" t="s">
        <v>255</v>
      </c>
      <c r="U55" s="1313"/>
      <c r="V55" s="143"/>
      <c r="W55" s="1309" t="s">
        <v>9</v>
      </c>
      <c r="X55" s="1310"/>
      <c r="Y55" s="23"/>
      <c r="Z55" s="23"/>
      <c r="AA55" s="24"/>
    </row>
    <row r="56" spans="1:27" ht="15" customHeight="1" x14ac:dyDescent="0.2">
      <c r="A56" s="1171" t="s">
        <v>33</v>
      </c>
      <c r="B56" s="144"/>
      <c r="C56" s="145">
        <v>3.7999999999999999E-2</v>
      </c>
      <c r="D56" s="146"/>
      <c r="E56" s="55">
        <v>0.108</v>
      </c>
      <c r="F56" s="54"/>
      <c r="G56" s="55">
        <v>6.8000000000000005E-2</v>
      </c>
      <c r="H56" s="54"/>
      <c r="I56" s="55">
        <v>0.14199999999999999</v>
      </c>
      <c r="J56" s="54"/>
      <c r="K56" s="55">
        <v>6.0999999999999999E-2</v>
      </c>
      <c r="L56" s="54"/>
      <c r="M56" s="55">
        <v>0.17399999999999999</v>
      </c>
      <c r="N56" s="54"/>
      <c r="O56" s="55">
        <v>9.1999999999999998E-2</v>
      </c>
      <c r="P56" s="54"/>
      <c r="Q56" s="55">
        <v>0.121</v>
      </c>
      <c r="R56" s="54"/>
      <c r="S56" s="55">
        <v>5.3999999999999999E-2</v>
      </c>
      <c r="T56" s="54"/>
      <c r="U56" s="147">
        <v>4.8000000000000001E-2</v>
      </c>
      <c r="V56" s="148"/>
      <c r="W56" s="149"/>
      <c r="X56" s="150">
        <f>AVERAGE(O56,M56,S56,U56,Q56)</f>
        <v>9.7799999999999998E-2</v>
      </c>
      <c r="Y56" s="23"/>
      <c r="Z56" s="23"/>
      <c r="AA56" s="24"/>
    </row>
    <row r="57" spans="1:27" ht="15" customHeight="1" x14ac:dyDescent="0.2">
      <c r="A57" s="1172" t="s">
        <v>34</v>
      </c>
      <c r="B57" s="151"/>
      <c r="C57" s="57">
        <v>0</v>
      </c>
      <c r="D57" s="151"/>
      <c r="E57" s="57">
        <v>0</v>
      </c>
      <c r="F57" s="56"/>
      <c r="G57" s="57">
        <v>0</v>
      </c>
      <c r="H57" s="56"/>
      <c r="I57" s="57">
        <v>7.0000000000000001E-3</v>
      </c>
      <c r="J57" s="56"/>
      <c r="K57" s="57">
        <v>0</v>
      </c>
      <c r="L57" s="56"/>
      <c r="M57" s="57">
        <v>0</v>
      </c>
      <c r="N57" s="56"/>
      <c r="O57" s="57">
        <v>0</v>
      </c>
      <c r="P57" s="56"/>
      <c r="Q57" s="57">
        <v>0</v>
      </c>
      <c r="R57" s="56"/>
      <c r="S57" s="57">
        <v>0</v>
      </c>
      <c r="T57" s="56"/>
      <c r="U57" s="152">
        <v>0</v>
      </c>
      <c r="V57" s="148"/>
      <c r="W57" s="153"/>
      <c r="X57" s="154">
        <f>AVERAGE(O57,M57,U57,S57,Q57)</f>
        <v>0</v>
      </c>
      <c r="Y57" s="23"/>
      <c r="Z57" s="23"/>
      <c r="AA57" s="24"/>
    </row>
    <row r="58" spans="1:27" ht="15" customHeight="1" thickBot="1" x14ac:dyDescent="0.25">
      <c r="A58" s="155" t="s">
        <v>35</v>
      </c>
      <c r="B58" s="1319">
        <f>1-C56-C57</f>
        <v>0.96199999999999997</v>
      </c>
      <c r="C58" s="1316"/>
      <c r="D58" s="1319">
        <f t="shared" ref="D58" si="5">1-E56-E57</f>
        <v>0.89200000000000002</v>
      </c>
      <c r="E58" s="1316"/>
      <c r="F58" s="1315">
        <f t="shared" ref="F58" si="6">1-G56-G57</f>
        <v>0.93199999999999994</v>
      </c>
      <c r="G58" s="1316"/>
      <c r="H58" s="1315">
        <f t="shared" ref="H58" si="7">1-I56-I57</f>
        <v>0.85099999999999998</v>
      </c>
      <c r="I58" s="1316"/>
      <c r="J58" s="1315">
        <f t="shared" ref="J58" si="8">1-K56-K57</f>
        <v>0.93900000000000006</v>
      </c>
      <c r="K58" s="1316"/>
      <c r="L58" s="1315">
        <f t="shared" ref="L58" si="9">1-M56-M57</f>
        <v>0.82600000000000007</v>
      </c>
      <c r="M58" s="1316"/>
      <c r="N58" s="1315">
        <f t="shared" ref="N58" si="10">1-O56-O57</f>
        <v>0.90800000000000003</v>
      </c>
      <c r="O58" s="1316"/>
      <c r="P58" s="1315">
        <f t="shared" ref="P58" si="11">1-Q56-Q57</f>
        <v>0.879</v>
      </c>
      <c r="Q58" s="1316"/>
      <c r="R58" s="1315">
        <f t="shared" ref="R58" si="12">1-S56-S57</f>
        <v>0.94599999999999995</v>
      </c>
      <c r="S58" s="1316"/>
      <c r="T58" s="1319">
        <f t="shared" ref="T58" si="13">1-U56-U57</f>
        <v>0.95199999999999996</v>
      </c>
      <c r="U58" s="1318"/>
      <c r="V58" s="148"/>
      <c r="W58" s="1317">
        <f>AVERAGE(N58,L58,U58,S58,P58)</f>
        <v>0.871</v>
      </c>
      <c r="X58" s="1318" t="e">
        <f>AVERAGE(O58,M58,I58,K58,Q58)</f>
        <v>#DIV/0!</v>
      </c>
      <c r="Y58" s="25"/>
      <c r="Z58" s="23"/>
      <c r="AA58" s="24"/>
    </row>
    <row r="59" spans="1:27" s="2" customFormat="1" ht="15" customHeight="1" thickTop="1" thickBot="1" x14ac:dyDescent="0.25">
      <c r="A59" s="127" t="s">
        <v>37</v>
      </c>
      <c r="B59" s="128" t="s">
        <v>36</v>
      </c>
      <c r="C59" s="181" t="s">
        <v>38</v>
      </c>
      <c r="D59" s="128" t="s">
        <v>36</v>
      </c>
      <c r="E59" s="181" t="s">
        <v>38</v>
      </c>
      <c r="F59" s="128" t="s">
        <v>36</v>
      </c>
      <c r="G59" s="181" t="s">
        <v>38</v>
      </c>
      <c r="H59" s="128" t="s">
        <v>36</v>
      </c>
      <c r="I59" s="181" t="s">
        <v>38</v>
      </c>
      <c r="J59" s="128" t="s">
        <v>36</v>
      </c>
      <c r="K59" s="181" t="s">
        <v>38</v>
      </c>
      <c r="L59" s="128" t="s">
        <v>36</v>
      </c>
      <c r="M59" s="181" t="s">
        <v>38</v>
      </c>
      <c r="N59" s="182" t="s">
        <v>36</v>
      </c>
      <c r="O59" s="129" t="s">
        <v>38</v>
      </c>
      <c r="P59" s="182" t="s">
        <v>36</v>
      </c>
      <c r="Q59" s="129" t="s">
        <v>38</v>
      </c>
      <c r="R59" s="182" t="s">
        <v>36</v>
      </c>
      <c r="S59" s="129" t="s">
        <v>38</v>
      </c>
      <c r="T59" s="182" t="s">
        <v>36</v>
      </c>
      <c r="U59" s="130" t="s">
        <v>38</v>
      </c>
      <c r="V59" s="131"/>
      <c r="W59" s="132" t="s">
        <v>36</v>
      </c>
      <c r="X59" s="200" t="s">
        <v>38</v>
      </c>
    </row>
    <row r="60" spans="1:27" ht="15" customHeight="1" x14ac:dyDescent="0.2">
      <c r="A60" s="183" t="s">
        <v>80</v>
      </c>
      <c r="B60" s="852"/>
      <c r="C60" s="853"/>
      <c r="D60" s="852"/>
      <c r="E60" s="853"/>
      <c r="F60" s="852"/>
      <c r="G60" s="853"/>
      <c r="H60" s="133">
        <v>12</v>
      </c>
      <c r="I60" s="134">
        <f>H60/H17</f>
        <v>0.13333333333333333</v>
      </c>
      <c r="J60" s="133">
        <v>18</v>
      </c>
      <c r="K60" s="134">
        <f>J60/J17</f>
        <v>0.16822429906542055</v>
      </c>
      <c r="L60" s="133">
        <v>16</v>
      </c>
      <c r="M60" s="134">
        <f>L60/L17</f>
        <v>0.14678899082568808</v>
      </c>
      <c r="N60" s="133">
        <v>15</v>
      </c>
      <c r="O60" s="134">
        <f>N60/N17</f>
        <v>0.11194029850746269</v>
      </c>
      <c r="P60" s="133">
        <v>19</v>
      </c>
      <c r="Q60" s="134">
        <f>P60/P17</f>
        <v>0.14285714285714285</v>
      </c>
      <c r="R60" s="133">
        <v>19</v>
      </c>
      <c r="S60" s="134">
        <f>R60/R17</f>
        <v>0.1623931623931624</v>
      </c>
      <c r="T60" s="133">
        <v>19</v>
      </c>
      <c r="U60" s="135">
        <f>T60/T17</f>
        <v>0.17272727272727273</v>
      </c>
      <c r="V60" s="27"/>
      <c r="W60" s="136">
        <f>AVERAGE(N60,L60,R60,T60,P60)</f>
        <v>17.600000000000001</v>
      </c>
      <c r="X60" s="1169">
        <f>AVERAGE(O60,M60,U60,S60,Q60)</f>
        <v>0.14734137346214574</v>
      </c>
    </row>
    <row r="61" spans="1:27" ht="15" customHeight="1" x14ac:dyDescent="0.2">
      <c r="A61" s="156" t="s">
        <v>82</v>
      </c>
      <c r="B61" s="1165"/>
      <c r="C61" s="1166" t="s">
        <v>67</v>
      </c>
      <c r="D61" s="1165"/>
      <c r="E61" s="1166" t="s">
        <v>67</v>
      </c>
      <c r="F61" s="1165"/>
      <c r="G61" s="1166" t="s">
        <v>250</v>
      </c>
      <c r="H61" s="187">
        <v>7</v>
      </c>
      <c r="I61" s="188">
        <f>H61/H18</f>
        <v>0.53846153846153844</v>
      </c>
      <c r="J61" s="187">
        <v>9</v>
      </c>
      <c r="K61" s="188">
        <f>J61/J18</f>
        <v>0.69230769230769229</v>
      </c>
      <c r="L61" s="187">
        <v>4</v>
      </c>
      <c r="M61" s="188">
        <f>L61/L18</f>
        <v>0.44444444444444442</v>
      </c>
      <c r="N61" s="187">
        <v>3</v>
      </c>
      <c r="O61" s="188">
        <f>N61/N18</f>
        <v>0.42857142857142855</v>
      </c>
      <c r="P61" s="187">
        <v>7</v>
      </c>
      <c r="Q61" s="188">
        <f>P61/P18</f>
        <v>0.7</v>
      </c>
      <c r="R61" s="187">
        <v>7</v>
      </c>
      <c r="S61" s="188">
        <f>R61/R18</f>
        <v>0.77777777777777779</v>
      </c>
      <c r="T61" s="187">
        <v>8</v>
      </c>
      <c r="U61" s="189">
        <f>T61/T18</f>
        <v>0.8</v>
      </c>
      <c r="V61" s="27"/>
      <c r="W61" s="136">
        <f t="shared" ref="W61:W63" si="14">AVERAGE(N61,L61,R61,T61,P61)</f>
        <v>5.8</v>
      </c>
      <c r="X61" s="1169">
        <f t="shared" ref="X61:X63" si="15">AVERAGE(O61,M61,U61,S61,Q61)</f>
        <v>0.63015873015873025</v>
      </c>
      <c r="Z61" s="26" t="s">
        <v>16</v>
      </c>
    </row>
    <row r="62" spans="1:27" ht="15" customHeight="1" x14ac:dyDescent="0.2">
      <c r="A62" s="156" t="s">
        <v>81</v>
      </c>
      <c r="B62" s="1167"/>
      <c r="C62" s="1168"/>
      <c r="D62" s="1167"/>
      <c r="E62" s="1168"/>
      <c r="F62" s="1167"/>
      <c r="G62" s="1168"/>
      <c r="H62" s="184">
        <v>0</v>
      </c>
      <c r="I62" s="185">
        <v>0</v>
      </c>
      <c r="J62" s="184">
        <v>0</v>
      </c>
      <c r="K62" s="185">
        <v>0</v>
      </c>
      <c r="L62" s="184">
        <v>0</v>
      </c>
      <c r="M62" s="185">
        <v>0</v>
      </c>
      <c r="N62" s="184">
        <v>1</v>
      </c>
      <c r="O62" s="185">
        <f>N62/N20</f>
        <v>1</v>
      </c>
      <c r="P62" s="184">
        <v>0</v>
      </c>
      <c r="Q62" s="185">
        <f>P62/P20</f>
        <v>0</v>
      </c>
      <c r="R62" s="184">
        <v>2</v>
      </c>
      <c r="S62" s="185">
        <f>R62/R20</f>
        <v>0.5</v>
      </c>
      <c r="T62" s="184">
        <v>3</v>
      </c>
      <c r="U62" s="186">
        <f>T62/T20</f>
        <v>0.75</v>
      </c>
      <c r="V62" s="27"/>
      <c r="W62" s="136">
        <f t="shared" si="14"/>
        <v>1.2</v>
      </c>
      <c r="X62" s="1169">
        <f t="shared" si="15"/>
        <v>0.45</v>
      </c>
    </row>
    <row r="63" spans="1:27" ht="15" customHeight="1" thickBot="1" x14ac:dyDescent="0.25">
      <c r="A63" s="137" t="s">
        <v>83</v>
      </c>
      <c r="B63" s="856"/>
      <c r="C63" s="857"/>
      <c r="D63" s="856"/>
      <c r="E63" s="857"/>
      <c r="F63" s="856"/>
      <c r="G63" s="857"/>
      <c r="H63" s="138">
        <v>8</v>
      </c>
      <c r="I63" s="139">
        <f>H63/H21</f>
        <v>0.88888888888888884</v>
      </c>
      <c r="J63" s="138">
        <v>12</v>
      </c>
      <c r="K63" s="139">
        <f>J63/J21</f>
        <v>0.92307692307692313</v>
      </c>
      <c r="L63" s="138">
        <v>12</v>
      </c>
      <c r="M63" s="139">
        <f>L63/L21</f>
        <v>0.92307692307692313</v>
      </c>
      <c r="N63" s="138">
        <v>16</v>
      </c>
      <c r="O63" s="139">
        <f>N63/N21</f>
        <v>1</v>
      </c>
      <c r="P63" s="138">
        <v>20</v>
      </c>
      <c r="Q63" s="139">
        <f>P63/P21</f>
        <v>1</v>
      </c>
      <c r="R63" s="138">
        <v>18</v>
      </c>
      <c r="S63" s="139">
        <f>R63/R21</f>
        <v>0.94736842105263153</v>
      </c>
      <c r="T63" s="138">
        <v>21</v>
      </c>
      <c r="U63" s="140">
        <f>T63/T21</f>
        <v>1</v>
      </c>
      <c r="V63" s="27"/>
      <c r="W63" s="141">
        <f t="shared" si="14"/>
        <v>17.399999999999999</v>
      </c>
      <c r="X63" s="1170">
        <f t="shared" si="15"/>
        <v>0.97408906882591106</v>
      </c>
    </row>
    <row r="64" spans="1:27" ht="15" customHeight="1" thickTop="1" x14ac:dyDescent="0.2">
      <c r="A64" s="8" t="s">
        <v>257</v>
      </c>
      <c r="B64" s="10"/>
      <c r="C64" s="11"/>
      <c r="D64" s="10"/>
      <c r="E64" s="11" t="s">
        <v>16</v>
      </c>
      <c r="F64" s="10"/>
      <c r="G64" s="11"/>
      <c r="H64" s="10"/>
      <c r="I64" s="11"/>
      <c r="J64" s="10"/>
      <c r="K64" s="11"/>
      <c r="L64" s="10"/>
      <c r="M64" s="11"/>
      <c r="N64" s="10"/>
      <c r="O64" s="11"/>
      <c r="P64" s="10"/>
      <c r="Q64" s="11"/>
      <c r="R64" s="10"/>
      <c r="S64" s="11"/>
      <c r="T64" s="10"/>
      <c r="U64" s="11"/>
      <c r="W64" s="12"/>
      <c r="X64" s="13"/>
    </row>
    <row r="65" spans="1:24" ht="15" customHeight="1" thickBot="1" x14ac:dyDescent="0.25">
      <c r="A65" s="1"/>
    </row>
    <row r="66" spans="1:24" s="1" customFormat="1" ht="18.75" customHeight="1" thickTop="1" thickBot="1" x14ac:dyDescent="0.25">
      <c r="A66" s="352" t="s">
        <v>218</v>
      </c>
      <c r="B66" s="1296" t="s">
        <v>24</v>
      </c>
      <c r="C66" s="1301"/>
      <c r="D66" s="1296" t="s">
        <v>25</v>
      </c>
      <c r="E66" s="1297"/>
      <c r="F66" s="1296" t="s">
        <v>26</v>
      </c>
      <c r="G66" s="1297"/>
      <c r="H66" s="1296" t="s">
        <v>27</v>
      </c>
      <c r="I66" s="1297"/>
      <c r="J66" s="1296" t="s">
        <v>28</v>
      </c>
      <c r="K66" s="1297"/>
      <c r="L66" s="1296" t="s">
        <v>29</v>
      </c>
      <c r="M66" s="1297"/>
      <c r="N66" s="1296" t="s">
        <v>30</v>
      </c>
      <c r="O66" s="1297"/>
      <c r="P66" s="1296" t="s">
        <v>31</v>
      </c>
      <c r="Q66" s="1297"/>
      <c r="R66" s="1296" t="s">
        <v>32</v>
      </c>
      <c r="S66" s="1297"/>
      <c r="T66" s="1296" t="s">
        <v>255</v>
      </c>
      <c r="U66" s="1300"/>
      <c r="V66" s="320"/>
      <c r="W66" s="1298" t="s">
        <v>9</v>
      </c>
      <c r="X66" s="1299"/>
    </row>
    <row r="67" spans="1:24" s="1" customFormat="1" ht="24" x14ac:dyDescent="0.2">
      <c r="A67" s="612" t="s">
        <v>219</v>
      </c>
      <c r="B67" s="699"/>
      <c r="C67" s="508"/>
      <c r="D67" s="699"/>
      <c r="E67" s="700"/>
      <c r="F67" s="699"/>
      <c r="G67" s="700"/>
      <c r="H67" s="699"/>
      <c r="I67" s="700"/>
      <c r="J67" s="699"/>
      <c r="K67" s="700"/>
      <c r="L67" s="699"/>
      <c r="M67" s="700"/>
      <c r="N67" s="699"/>
      <c r="O67" s="700"/>
      <c r="P67" s="699"/>
      <c r="Q67" s="700"/>
      <c r="R67" s="699"/>
      <c r="S67" s="700"/>
      <c r="T67" s="701"/>
      <c r="U67" s="702"/>
      <c r="V67" s="320"/>
      <c r="W67" s="509"/>
      <c r="X67" s="624"/>
    </row>
    <row r="68" spans="1:24" s="1" customFormat="1" ht="12" x14ac:dyDescent="0.2">
      <c r="A68" s="685" t="s">
        <v>195</v>
      </c>
      <c r="B68" s="367"/>
      <c r="C68" s="550">
        <v>0</v>
      </c>
      <c r="D68" s="367"/>
      <c r="E68" s="550">
        <v>0</v>
      </c>
      <c r="F68" s="367"/>
      <c r="G68" s="550">
        <v>0</v>
      </c>
      <c r="H68" s="367"/>
      <c r="I68" s="550">
        <v>0</v>
      </c>
      <c r="J68" s="367"/>
      <c r="K68" s="550">
        <v>0</v>
      </c>
      <c r="L68" s="367"/>
      <c r="M68" s="550">
        <v>0</v>
      </c>
      <c r="N68" s="367"/>
      <c r="O68" s="550">
        <v>0</v>
      </c>
      <c r="P68" s="367"/>
      <c r="Q68" s="550">
        <v>0</v>
      </c>
      <c r="R68" s="367"/>
      <c r="S68" s="550">
        <v>0</v>
      </c>
      <c r="T68" s="551"/>
      <c r="U68" s="441">
        <v>2</v>
      </c>
      <c r="V68" s="320"/>
      <c r="W68" s="478"/>
      <c r="X68" s="441">
        <f>AVERAGE(O68,M68,S68,U68,Q68)</f>
        <v>0.4</v>
      </c>
    </row>
    <row r="69" spans="1:24" s="1" customFormat="1" ht="24" x14ac:dyDescent="0.2">
      <c r="A69" s="685" t="s">
        <v>197</v>
      </c>
      <c r="B69" s="551"/>
      <c r="C69" s="590">
        <v>0</v>
      </c>
      <c r="D69" s="551"/>
      <c r="E69" s="590">
        <v>0</v>
      </c>
      <c r="F69" s="551"/>
      <c r="G69" s="590">
        <v>0</v>
      </c>
      <c r="H69" s="551"/>
      <c r="I69" s="590">
        <v>0</v>
      </c>
      <c r="J69" s="551"/>
      <c r="K69" s="590">
        <v>0</v>
      </c>
      <c r="L69" s="551"/>
      <c r="M69" s="590">
        <v>0</v>
      </c>
      <c r="N69" s="551"/>
      <c r="O69" s="590">
        <v>0</v>
      </c>
      <c r="P69" s="551"/>
      <c r="Q69" s="590">
        <v>0</v>
      </c>
      <c r="R69" s="551"/>
      <c r="S69" s="590">
        <v>0</v>
      </c>
      <c r="T69" s="551"/>
      <c r="U69" s="441">
        <v>2</v>
      </c>
      <c r="V69" s="320"/>
      <c r="W69" s="591"/>
      <c r="X69" s="592">
        <f t="shared" ref="X69:X70" si="16">AVERAGE(O69,M69,S69,U69,Q69)</f>
        <v>0.4</v>
      </c>
    </row>
    <row r="70" spans="1:24" s="904" customFormat="1" ht="15" customHeight="1" thickBot="1" x14ac:dyDescent="0.25">
      <c r="A70" s="898" t="s">
        <v>196</v>
      </c>
      <c r="B70" s="899"/>
      <c r="C70" s="900">
        <v>0</v>
      </c>
      <c r="D70" s="899"/>
      <c r="E70" s="900">
        <v>0</v>
      </c>
      <c r="F70" s="899"/>
      <c r="G70" s="900">
        <v>0</v>
      </c>
      <c r="H70" s="899"/>
      <c r="I70" s="900">
        <v>0</v>
      </c>
      <c r="J70" s="899"/>
      <c r="K70" s="900">
        <v>0</v>
      </c>
      <c r="L70" s="899"/>
      <c r="M70" s="900">
        <v>0</v>
      </c>
      <c r="N70" s="899"/>
      <c r="O70" s="900">
        <v>0</v>
      </c>
      <c r="P70" s="899"/>
      <c r="Q70" s="900">
        <v>0</v>
      </c>
      <c r="R70" s="899"/>
      <c r="S70" s="900">
        <v>0</v>
      </c>
      <c r="T70" s="901"/>
      <c r="U70" s="559">
        <v>2</v>
      </c>
      <c r="V70" s="902"/>
      <c r="W70" s="903"/>
      <c r="X70" s="559">
        <f t="shared" si="16"/>
        <v>0.4</v>
      </c>
    </row>
    <row r="71" spans="1:24" s="1" customFormat="1" ht="18" customHeight="1" thickBot="1" x14ac:dyDescent="0.25">
      <c r="A71" s="796" t="s">
        <v>227</v>
      </c>
      <c r="B71" s="807" t="s">
        <v>89</v>
      </c>
      <c r="C71" s="810" t="s">
        <v>97</v>
      </c>
      <c r="D71" s="811" t="s">
        <v>89</v>
      </c>
      <c r="E71" s="794" t="s">
        <v>97</v>
      </c>
      <c r="F71" s="807" t="s">
        <v>89</v>
      </c>
      <c r="G71" s="810" t="s">
        <v>97</v>
      </c>
      <c r="H71" s="811" t="s">
        <v>89</v>
      </c>
      <c r="I71" s="794" t="s">
        <v>97</v>
      </c>
      <c r="J71" s="807" t="s">
        <v>89</v>
      </c>
      <c r="K71" s="810" t="s">
        <v>97</v>
      </c>
      <c r="L71" s="811" t="s">
        <v>89</v>
      </c>
      <c r="M71" s="794" t="s">
        <v>97</v>
      </c>
      <c r="N71" s="807" t="s">
        <v>89</v>
      </c>
      <c r="O71" s="810" t="s">
        <v>97</v>
      </c>
      <c r="P71" s="811" t="s">
        <v>89</v>
      </c>
      <c r="Q71" s="794" t="s">
        <v>97</v>
      </c>
      <c r="R71" s="811" t="s">
        <v>89</v>
      </c>
      <c r="S71" s="794" t="s">
        <v>97</v>
      </c>
      <c r="T71" s="793" t="s">
        <v>89</v>
      </c>
      <c r="U71" s="808" t="s">
        <v>97</v>
      </c>
      <c r="V71" s="333"/>
      <c r="W71" s="809" t="s">
        <v>89</v>
      </c>
      <c r="X71" s="780" t="s">
        <v>223</v>
      </c>
    </row>
    <row r="72" spans="1:24" s="1" customFormat="1" ht="15" customHeight="1" x14ac:dyDescent="0.2">
      <c r="A72" s="703" t="s">
        <v>98</v>
      </c>
      <c r="B72" s="704"/>
      <c r="C72" s="812"/>
      <c r="D72" s="813"/>
      <c r="E72" s="705"/>
      <c r="F72" s="704"/>
      <c r="G72" s="824"/>
      <c r="H72" s="825"/>
      <c r="I72" s="705"/>
      <c r="J72" s="704"/>
      <c r="K72" s="824"/>
      <c r="L72" s="825"/>
      <c r="M72" s="705"/>
      <c r="N72" s="704"/>
      <c r="O72" s="824"/>
      <c r="P72" s="825"/>
      <c r="Q72" s="705"/>
      <c r="R72" s="825"/>
      <c r="S72" s="705"/>
      <c r="T72" s="813"/>
      <c r="U72" s="706"/>
      <c r="V72" s="333"/>
      <c r="W72" s="881"/>
      <c r="X72" s="736"/>
    </row>
    <row r="73" spans="1:24" s="1" customFormat="1" ht="15" customHeight="1" x14ac:dyDescent="0.2">
      <c r="A73" s="697" t="s">
        <v>99</v>
      </c>
      <c r="B73" s="814"/>
      <c r="C73" s="593">
        <v>0</v>
      </c>
      <c r="D73" s="814"/>
      <c r="E73" s="418">
        <v>0</v>
      </c>
      <c r="F73" s="814"/>
      <c r="G73" s="596">
        <v>0</v>
      </c>
      <c r="H73" s="814"/>
      <c r="I73" s="418">
        <v>0</v>
      </c>
      <c r="J73" s="1198">
        <v>0</v>
      </c>
      <c r="K73" s="1017">
        <v>0</v>
      </c>
      <c r="L73" s="1021">
        <v>1</v>
      </c>
      <c r="M73" s="17">
        <v>1</v>
      </c>
      <c r="N73" s="1198">
        <v>0</v>
      </c>
      <c r="O73" s="1017">
        <v>0</v>
      </c>
      <c r="P73" s="1021">
        <v>1</v>
      </c>
      <c r="Q73" s="17">
        <v>1</v>
      </c>
      <c r="R73" s="1021">
        <v>3</v>
      </c>
      <c r="S73" s="17">
        <v>3</v>
      </c>
      <c r="T73" s="1199">
        <v>3</v>
      </c>
      <c r="U73" s="419">
        <v>3</v>
      </c>
      <c r="V73" s="333"/>
      <c r="W73" s="882">
        <f>AVERAGE(N73,L73,R73,T73,P73)</f>
        <v>1.6</v>
      </c>
      <c r="X73" s="843">
        <f>AVERAGE(O73,M73,S73,U73,Q73)</f>
        <v>1.6</v>
      </c>
    </row>
    <row r="74" spans="1:24" s="1" customFormat="1" ht="15" customHeight="1" x14ac:dyDescent="0.2">
      <c r="A74" s="697" t="s">
        <v>100</v>
      </c>
      <c r="B74" s="814"/>
      <c r="C74" s="593">
        <v>0</v>
      </c>
      <c r="D74" s="814"/>
      <c r="E74" s="418">
        <v>0</v>
      </c>
      <c r="F74" s="814"/>
      <c r="G74" s="596">
        <v>0</v>
      </c>
      <c r="H74" s="814"/>
      <c r="I74" s="418">
        <v>0</v>
      </c>
      <c r="J74" s="1198">
        <v>0</v>
      </c>
      <c r="K74" s="1017">
        <v>0</v>
      </c>
      <c r="L74" s="1021">
        <v>0</v>
      </c>
      <c r="M74" s="17">
        <v>0</v>
      </c>
      <c r="N74" s="1198">
        <v>0</v>
      </c>
      <c r="O74" s="1017">
        <v>0</v>
      </c>
      <c r="P74" s="1021">
        <v>0</v>
      </c>
      <c r="Q74" s="17">
        <v>0</v>
      </c>
      <c r="R74" s="1021">
        <v>0</v>
      </c>
      <c r="S74" s="17">
        <v>0</v>
      </c>
      <c r="T74" s="1199">
        <v>0</v>
      </c>
      <c r="U74" s="419">
        <v>0</v>
      </c>
      <c r="V74" s="333"/>
      <c r="W74" s="882">
        <f>AVERAGE(N74,L74,R74,T74,P74)</f>
        <v>0</v>
      </c>
      <c r="X74" s="843">
        <f>AVERAGE(O74,M74,U74,K74,Q74)</f>
        <v>0</v>
      </c>
    </row>
    <row r="75" spans="1:24" s="1" customFormat="1" ht="15" customHeight="1" x14ac:dyDescent="0.2">
      <c r="A75" s="696" t="s">
        <v>101</v>
      </c>
      <c r="B75" s="594"/>
      <c r="C75" s="595"/>
      <c r="D75" s="594"/>
      <c r="E75" s="424"/>
      <c r="F75" s="594"/>
      <c r="G75" s="598"/>
      <c r="H75" s="594"/>
      <c r="I75" s="424"/>
      <c r="J75" s="1198"/>
      <c r="K75" s="1018"/>
      <c r="L75" s="1021"/>
      <c r="M75" s="249"/>
      <c r="N75" s="1198"/>
      <c r="O75" s="1018"/>
      <c r="P75" s="1021"/>
      <c r="Q75" s="249"/>
      <c r="R75" s="1021"/>
      <c r="S75" s="249"/>
      <c r="T75" s="1199"/>
      <c r="U75" s="441"/>
      <c r="V75" s="333"/>
      <c r="W75" s="882"/>
      <c r="X75" s="843"/>
    </row>
    <row r="76" spans="1:24" s="1" customFormat="1" ht="15" customHeight="1" x14ac:dyDescent="0.2">
      <c r="A76" s="697" t="s">
        <v>99</v>
      </c>
      <c r="B76" s="814"/>
      <c r="C76" s="595">
        <v>22</v>
      </c>
      <c r="D76" s="814"/>
      <c r="E76" s="424">
        <v>25</v>
      </c>
      <c r="F76" s="814"/>
      <c r="G76" s="598">
        <v>23</v>
      </c>
      <c r="H76" s="814"/>
      <c r="I76" s="424">
        <v>22</v>
      </c>
      <c r="J76" s="1198">
        <v>22</v>
      </c>
      <c r="K76" s="1018">
        <v>22</v>
      </c>
      <c r="L76" s="1021">
        <v>19</v>
      </c>
      <c r="M76" s="249">
        <v>19</v>
      </c>
      <c r="N76" s="1198">
        <v>21</v>
      </c>
      <c r="O76" s="1018">
        <v>21</v>
      </c>
      <c r="P76" s="1021">
        <v>21</v>
      </c>
      <c r="Q76" s="249">
        <v>21</v>
      </c>
      <c r="R76" s="1021">
        <v>21</v>
      </c>
      <c r="S76" s="249">
        <v>21</v>
      </c>
      <c r="T76" s="1199">
        <v>22</v>
      </c>
      <c r="U76" s="441">
        <v>22</v>
      </c>
      <c r="V76" s="333"/>
      <c r="W76" s="882">
        <f>AVERAGE(N76,L76,R76,T76,P76)</f>
        <v>20.8</v>
      </c>
      <c r="X76" s="843">
        <f>AVERAGE(O76,M76,S76,U76,Q76)</f>
        <v>20.8</v>
      </c>
    </row>
    <row r="77" spans="1:24" s="1" customFormat="1" ht="15" customHeight="1" thickBot="1" x14ac:dyDescent="0.25">
      <c r="A77" s="698" t="s">
        <v>100</v>
      </c>
      <c r="B77" s="816"/>
      <c r="C77" s="836">
        <v>0</v>
      </c>
      <c r="D77" s="816"/>
      <c r="E77" s="707">
        <v>0</v>
      </c>
      <c r="F77" s="816"/>
      <c r="G77" s="840">
        <v>0</v>
      </c>
      <c r="H77" s="816"/>
      <c r="I77" s="707">
        <v>0</v>
      </c>
      <c r="J77" s="1200">
        <v>0</v>
      </c>
      <c r="K77" s="1201">
        <v>0</v>
      </c>
      <c r="L77" s="1072">
        <v>0</v>
      </c>
      <c r="M77" s="43">
        <v>0</v>
      </c>
      <c r="N77" s="1200">
        <v>0</v>
      </c>
      <c r="O77" s="1201">
        <v>0</v>
      </c>
      <c r="P77" s="1072">
        <v>0</v>
      </c>
      <c r="Q77" s="43">
        <v>0</v>
      </c>
      <c r="R77" s="1072">
        <v>0</v>
      </c>
      <c r="S77" s="43">
        <v>0</v>
      </c>
      <c r="T77" s="1202">
        <v>0</v>
      </c>
      <c r="U77" s="425">
        <v>0</v>
      </c>
      <c r="V77" s="333"/>
      <c r="W77" s="882">
        <f>AVERAGE(N77,L77,R77,T77,P77)</f>
        <v>0</v>
      </c>
      <c r="X77" s="577">
        <f>AVERAGE(O77,M77,U77,K77,Q77)</f>
        <v>0</v>
      </c>
    </row>
    <row r="78" spans="1:24" s="1" customFormat="1" ht="15" customHeight="1" thickBot="1" x14ac:dyDescent="0.25">
      <c r="A78" s="647" t="s">
        <v>22</v>
      </c>
      <c r="B78" s="799"/>
      <c r="C78" s="837">
        <f>SUM(C73:C77)</f>
        <v>22</v>
      </c>
      <c r="D78" s="799"/>
      <c r="E78" s="800">
        <f>SUM(E73:E77)</f>
        <v>25</v>
      </c>
      <c r="F78" s="799"/>
      <c r="G78" s="820">
        <f>SUM(G73:G77)</f>
        <v>23</v>
      </c>
      <c r="H78" s="799"/>
      <c r="I78" s="800">
        <f>SUM(I73:I77)</f>
        <v>22</v>
      </c>
      <c r="J78" s="1022">
        <f t="shared" ref="J78:S78" si="17">SUM(J73:J77)</f>
        <v>22</v>
      </c>
      <c r="K78" s="1020">
        <f t="shared" si="17"/>
        <v>22</v>
      </c>
      <c r="L78" s="1022">
        <f t="shared" si="17"/>
        <v>20</v>
      </c>
      <c r="M78" s="1203">
        <f t="shared" si="17"/>
        <v>20</v>
      </c>
      <c r="N78" s="1204">
        <f t="shared" si="17"/>
        <v>21</v>
      </c>
      <c r="O78" s="1020">
        <f t="shared" si="17"/>
        <v>21</v>
      </c>
      <c r="P78" s="1022">
        <f t="shared" si="17"/>
        <v>22</v>
      </c>
      <c r="Q78" s="1203">
        <f t="shared" si="17"/>
        <v>22</v>
      </c>
      <c r="R78" s="1022">
        <f t="shared" si="17"/>
        <v>24</v>
      </c>
      <c r="S78" s="1203">
        <f t="shared" si="17"/>
        <v>24</v>
      </c>
      <c r="T78" s="1205">
        <f t="shared" ref="T78:U78" si="18">SUM(T73:T77)</f>
        <v>25</v>
      </c>
      <c r="U78" s="803">
        <f t="shared" si="18"/>
        <v>25</v>
      </c>
      <c r="V78" s="333"/>
      <c r="W78" s="884">
        <f t="shared" ref="W78" si="19">AVERAGE(N78,L78,R78,J78,P78)</f>
        <v>21.8</v>
      </c>
      <c r="X78" s="844">
        <f>AVERAGE(O78,M78,S78,U78,Q78)</f>
        <v>22.4</v>
      </c>
    </row>
    <row r="79" spans="1:24" s="1" customFormat="1" ht="18" customHeight="1" thickBot="1" x14ac:dyDescent="0.25">
      <c r="A79" s="796" t="s">
        <v>220</v>
      </c>
      <c r="B79" s="745" t="s">
        <v>36</v>
      </c>
      <c r="C79" s="746" t="s">
        <v>102</v>
      </c>
      <c r="D79" s="745" t="s">
        <v>36</v>
      </c>
      <c r="E79" s="747" t="s">
        <v>102</v>
      </c>
      <c r="F79" s="838" t="s">
        <v>36</v>
      </c>
      <c r="G79" s="747" t="s">
        <v>102</v>
      </c>
      <c r="H79" s="748" t="s">
        <v>36</v>
      </c>
      <c r="I79" s="839" t="s">
        <v>102</v>
      </c>
      <c r="J79" s="838" t="s">
        <v>36</v>
      </c>
      <c r="K79" s="747" t="s">
        <v>102</v>
      </c>
      <c r="L79" s="748" t="s">
        <v>36</v>
      </c>
      <c r="M79" s="839" t="s">
        <v>102</v>
      </c>
      <c r="N79" s="838" t="s">
        <v>36</v>
      </c>
      <c r="O79" s="747" t="s">
        <v>102</v>
      </c>
      <c r="P79" s="748" t="s">
        <v>36</v>
      </c>
      <c r="Q79" s="839" t="s">
        <v>102</v>
      </c>
      <c r="R79" s="748" t="s">
        <v>36</v>
      </c>
      <c r="S79" s="839" t="s">
        <v>102</v>
      </c>
      <c r="T79" s="748" t="s">
        <v>36</v>
      </c>
      <c r="U79" s="749" t="s">
        <v>102</v>
      </c>
      <c r="V79" s="320"/>
      <c r="W79" s="750" t="s">
        <v>36</v>
      </c>
      <c r="X79" s="749" t="s">
        <v>102</v>
      </c>
    </row>
    <row r="80" spans="1:24" s="1" customFormat="1" ht="18" customHeight="1" x14ac:dyDescent="0.2">
      <c r="A80" s="886" t="s">
        <v>226</v>
      </c>
      <c r="B80" s="481"/>
      <c r="C80" s="322"/>
      <c r="D80" s="481"/>
      <c r="E80" s="323"/>
      <c r="F80" s="805"/>
      <c r="G80" s="323"/>
      <c r="H80" s="805"/>
      <c r="I80" s="323"/>
      <c r="J80" s="805"/>
      <c r="K80" s="323"/>
      <c r="L80" s="805"/>
      <c r="M80" s="323"/>
      <c r="N80" s="805"/>
      <c r="O80" s="323"/>
      <c r="P80" s="805"/>
      <c r="Q80" s="323"/>
      <c r="R80" s="805"/>
      <c r="S80" s="323"/>
      <c r="T80" s="805"/>
      <c r="U80" s="325"/>
      <c r="V80" s="333"/>
      <c r="W80" s="806"/>
      <c r="X80" s="325"/>
    </row>
    <row r="81" spans="1:26" s="1" customFormat="1" ht="15" customHeight="1" x14ac:dyDescent="0.2">
      <c r="A81" s="708" t="s">
        <v>103</v>
      </c>
      <c r="B81" s="709">
        <v>22</v>
      </c>
      <c r="C81" s="710">
        <v>1</v>
      </c>
      <c r="D81" s="709">
        <v>24</v>
      </c>
      <c r="E81" s="711">
        <v>0.96</v>
      </c>
      <c r="F81" s="712">
        <v>22</v>
      </c>
      <c r="G81" s="711">
        <v>0.95652173913043481</v>
      </c>
      <c r="H81" s="712">
        <v>19</v>
      </c>
      <c r="I81" s="711">
        <v>0.86363636363636365</v>
      </c>
      <c r="J81" s="712">
        <v>19</v>
      </c>
      <c r="K81" s="711">
        <v>0.86363636363636365</v>
      </c>
      <c r="L81" s="712">
        <v>18</v>
      </c>
      <c r="M81" s="711">
        <v>0.9</v>
      </c>
      <c r="N81" s="712">
        <v>17</v>
      </c>
      <c r="O81" s="711">
        <v>0.80952380952380953</v>
      </c>
      <c r="P81" s="712">
        <v>18</v>
      </c>
      <c r="Q81" s="711">
        <v>0.81818181818181823</v>
      </c>
      <c r="R81" s="712">
        <v>18</v>
      </c>
      <c r="S81" s="711">
        <f>R81/S$78</f>
        <v>0.75</v>
      </c>
      <c r="T81" s="712">
        <v>18</v>
      </c>
      <c r="U81" s="713">
        <f>T81/U$78</f>
        <v>0.72</v>
      </c>
      <c r="V81" s="333"/>
      <c r="W81" s="882">
        <f>AVERAGE(N81,L81,R81,T81,P81)</f>
        <v>17.8</v>
      </c>
      <c r="X81" s="715">
        <f>AVERAGE(O81,M81,S81,U81,Q81)</f>
        <v>0.79954112554112555</v>
      </c>
    </row>
    <row r="82" spans="1:26" s="1" customFormat="1" ht="15" customHeight="1" x14ac:dyDescent="0.2">
      <c r="A82" s="336" t="s">
        <v>104</v>
      </c>
      <c r="B82" s="463"/>
      <c r="C82" s="328">
        <v>0</v>
      </c>
      <c r="D82" s="463">
        <v>0</v>
      </c>
      <c r="E82" s="329">
        <v>0</v>
      </c>
      <c r="F82" s="331">
        <v>0</v>
      </c>
      <c r="G82" s="329">
        <v>0</v>
      </c>
      <c r="H82" s="331">
        <v>0</v>
      </c>
      <c r="I82" s="329">
        <v>0</v>
      </c>
      <c r="J82" s="331">
        <v>0</v>
      </c>
      <c r="K82" s="329">
        <v>0</v>
      </c>
      <c r="L82" s="331">
        <v>0</v>
      </c>
      <c r="M82" s="329">
        <v>0</v>
      </c>
      <c r="N82" s="331">
        <v>2</v>
      </c>
      <c r="O82" s="329">
        <v>9.5238095238095233E-2</v>
      </c>
      <c r="P82" s="331">
        <v>2</v>
      </c>
      <c r="Q82" s="329">
        <v>9.0909090909090912E-2</v>
      </c>
      <c r="R82" s="331">
        <v>3</v>
      </c>
      <c r="S82" s="329">
        <f t="shared" ref="S82:S101" si="20">R82/S$78</f>
        <v>0.125</v>
      </c>
      <c r="T82" s="331">
        <v>3</v>
      </c>
      <c r="U82" s="332">
        <f t="shared" ref="U82:U89" si="21">T82/U$78</f>
        <v>0.12</v>
      </c>
      <c r="V82" s="333"/>
      <c r="W82" s="882">
        <f t="shared" ref="W82:W89" si="22">AVERAGE(N82,L82,R82,T82,P82)</f>
        <v>2</v>
      </c>
      <c r="X82" s="715">
        <f t="shared" ref="X82:X101" si="23">AVERAGE(O82,M82,S82,U82,Q82)</f>
        <v>8.6229437229437239E-2</v>
      </c>
    </row>
    <row r="83" spans="1:26" s="1" customFormat="1" ht="15" customHeight="1" x14ac:dyDescent="0.2">
      <c r="A83" s="336" t="s">
        <v>105</v>
      </c>
      <c r="B83" s="463"/>
      <c r="C83" s="328">
        <v>0</v>
      </c>
      <c r="D83" s="463">
        <v>1</v>
      </c>
      <c r="E83" s="329">
        <v>0.04</v>
      </c>
      <c r="F83" s="331">
        <v>1</v>
      </c>
      <c r="G83" s="329">
        <v>4.3478260869565216E-2</v>
      </c>
      <c r="H83" s="331">
        <v>1</v>
      </c>
      <c r="I83" s="329">
        <v>4.5454545454545456E-2</v>
      </c>
      <c r="J83" s="331">
        <v>1</v>
      </c>
      <c r="K83" s="329">
        <v>4.5454545454545456E-2</v>
      </c>
      <c r="L83" s="331">
        <v>0</v>
      </c>
      <c r="M83" s="329">
        <v>0</v>
      </c>
      <c r="N83" s="331">
        <v>0</v>
      </c>
      <c r="O83" s="329">
        <v>0</v>
      </c>
      <c r="P83" s="331">
        <v>0</v>
      </c>
      <c r="Q83" s="329">
        <v>0</v>
      </c>
      <c r="R83" s="331">
        <v>0</v>
      </c>
      <c r="S83" s="329">
        <f t="shared" si="20"/>
        <v>0</v>
      </c>
      <c r="T83" s="331">
        <v>0</v>
      </c>
      <c r="U83" s="332">
        <f t="shared" si="21"/>
        <v>0</v>
      </c>
      <c r="V83" s="333"/>
      <c r="W83" s="882">
        <f t="shared" si="22"/>
        <v>0</v>
      </c>
      <c r="X83" s="715">
        <f t="shared" si="23"/>
        <v>0</v>
      </c>
    </row>
    <row r="84" spans="1:26" s="1" customFormat="1" ht="15" customHeight="1" x14ac:dyDescent="0.2">
      <c r="A84" s="336" t="s">
        <v>106</v>
      </c>
      <c r="B84" s="463"/>
      <c r="C84" s="328">
        <v>0</v>
      </c>
      <c r="D84" s="463">
        <v>0</v>
      </c>
      <c r="E84" s="329">
        <v>0</v>
      </c>
      <c r="F84" s="331">
        <v>0</v>
      </c>
      <c r="G84" s="329">
        <v>0</v>
      </c>
      <c r="H84" s="331">
        <v>0</v>
      </c>
      <c r="I84" s="329">
        <v>0</v>
      </c>
      <c r="J84" s="331">
        <v>0</v>
      </c>
      <c r="K84" s="329">
        <v>0</v>
      </c>
      <c r="L84" s="331">
        <v>0</v>
      </c>
      <c r="M84" s="329">
        <v>0</v>
      </c>
      <c r="N84" s="331">
        <v>0</v>
      </c>
      <c r="O84" s="329">
        <v>0</v>
      </c>
      <c r="P84" s="331">
        <v>0</v>
      </c>
      <c r="Q84" s="329">
        <v>0</v>
      </c>
      <c r="R84" s="331">
        <v>0</v>
      </c>
      <c r="S84" s="329">
        <f t="shared" si="20"/>
        <v>0</v>
      </c>
      <c r="T84" s="331">
        <v>0</v>
      </c>
      <c r="U84" s="332">
        <f t="shared" si="21"/>
        <v>0</v>
      </c>
      <c r="V84" s="333"/>
      <c r="W84" s="882">
        <f t="shared" si="22"/>
        <v>0</v>
      </c>
      <c r="X84" s="715">
        <f t="shared" si="23"/>
        <v>0</v>
      </c>
    </row>
    <row r="85" spans="1:26" s="1" customFormat="1" ht="15" customHeight="1" x14ac:dyDescent="0.2">
      <c r="A85" s="336" t="s">
        <v>107</v>
      </c>
      <c r="B85" s="463"/>
      <c r="C85" s="328">
        <v>0</v>
      </c>
      <c r="D85" s="327">
        <v>0</v>
      </c>
      <c r="E85" s="329">
        <v>0</v>
      </c>
      <c r="F85" s="330">
        <v>0</v>
      </c>
      <c r="G85" s="329">
        <v>0</v>
      </c>
      <c r="H85" s="330">
        <v>1</v>
      </c>
      <c r="I85" s="329">
        <v>4.5454545454545456E-2</v>
      </c>
      <c r="J85" s="330">
        <v>1</v>
      </c>
      <c r="K85" s="329">
        <v>4.5454545454545456E-2</v>
      </c>
      <c r="L85" s="330">
        <v>2</v>
      </c>
      <c r="M85" s="329">
        <v>0.1</v>
      </c>
      <c r="N85" s="330">
        <v>2</v>
      </c>
      <c r="O85" s="329">
        <v>9.5238095238095233E-2</v>
      </c>
      <c r="P85" s="330">
        <v>2</v>
      </c>
      <c r="Q85" s="329">
        <v>9.0909090909090912E-2</v>
      </c>
      <c r="R85" s="330">
        <v>3</v>
      </c>
      <c r="S85" s="329">
        <f t="shared" si="20"/>
        <v>0.125</v>
      </c>
      <c r="T85" s="331">
        <v>3</v>
      </c>
      <c r="U85" s="332">
        <f t="shared" si="21"/>
        <v>0.12</v>
      </c>
      <c r="V85" s="333"/>
      <c r="W85" s="882">
        <f t="shared" si="22"/>
        <v>2.4</v>
      </c>
      <c r="X85" s="715">
        <f t="shared" si="23"/>
        <v>0.10622943722943723</v>
      </c>
    </row>
    <row r="86" spans="1:26" s="1" customFormat="1" ht="15" customHeight="1" x14ac:dyDescent="0.2">
      <c r="A86" s="336" t="s">
        <v>258</v>
      </c>
      <c r="B86" s="463"/>
      <c r="C86" s="328"/>
      <c r="D86" s="327"/>
      <c r="E86" s="329"/>
      <c r="F86" s="330">
        <v>0</v>
      </c>
      <c r="G86" s="329">
        <v>0</v>
      </c>
      <c r="H86" s="330">
        <v>0</v>
      </c>
      <c r="I86" s="329">
        <v>0</v>
      </c>
      <c r="J86" s="330">
        <v>0</v>
      </c>
      <c r="K86" s="329">
        <v>0</v>
      </c>
      <c r="L86" s="330">
        <v>0</v>
      </c>
      <c r="M86" s="329">
        <v>0</v>
      </c>
      <c r="N86" s="330">
        <v>0</v>
      </c>
      <c r="O86" s="329">
        <v>0</v>
      </c>
      <c r="P86" s="330">
        <v>0</v>
      </c>
      <c r="Q86" s="329">
        <v>0</v>
      </c>
      <c r="R86" s="330">
        <v>0</v>
      </c>
      <c r="S86" s="329">
        <v>0</v>
      </c>
      <c r="T86" s="331">
        <v>1</v>
      </c>
      <c r="U86" s="332">
        <f t="shared" si="21"/>
        <v>0.04</v>
      </c>
      <c r="V86" s="333"/>
      <c r="W86" s="882">
        <f t="shared" ref="W86" si="24">AVERAGE(N86,L86,R86,T86,P86)</f>
        <v>0.2</v>
      </c>
      <c r="X86" s="715">
        <f t="shared" ref="X86" si="25">AVERAGE(O86,M86,S86,U86,Q86)</f>
        <v>8.0000000000000002E-3</v>
      </c>
    </row>
    <row r="87" spans="1:26" s="1" customFormat="1" ht="15" customHeight="1" x14ac:dyDescent="0.2">
      <c r="A87" s="336" t="s">
        <v>108</v>
      </c>
      <c r="B87" s="463"/>
      <c r="C87" s="328">
        <v>0</v>
      </c>
      <c r="D87" s="327">
        <v>0</v>
      </c>
      <c r="E87" s="329">
        <v>0</v>
      </c>
      <c r="F87" s="330">
        <v>0</v>
      </c>
      <c r="G87" s="329">
        <v>0</v>
      </c>
      <c r="H87" s="330">
        <v>0</v>
      </c>
      <c r="I87" s="329">
        <v>0</v>
      </c>
      <c r="J87" s="330">
        <v>0</v>
      </c>
      <c r="K87" s="329">
        <v>0</v>
      </c>
      <c r="L87" s="330">
        <v>0</v>
      </c>
      <c r="M87" s="329">
        <v>0</v>
      </c>
      <c r="N87" s="330">
        <v>0</v>
      </c>
      <c r="O87" s="329">
        <v>0</v>
      </c>
      <c r="P87" s="330">
        <v>0</v>
      </c>
      <c r="Q87" s="329">
        <v>0</v>
      </c>
      <c r="R87" s="330">
        <v>0</v>
      </c>
      <c r="S87" s="329">
        <f t="shared" si="20"/>
        <v>0</v>
      </c>
      <c r="T87" s="331">
        <v>0</v>
      </c>
      <c r="U87" s="332">
        <f t="shared" si="21"/>
        <v>0</v>
      </c>
      <c r="V87" s="333"/>
      <c r="W87" s="882">
        <f t="shared" si="22"/>
        <v>0</v>
      </c>
      <c r="X87" s="715">
        <f t="shared" si="23"/>
        <v>0</v>
      </c>
    </row>
    <row r="88" spans="1:26" s="1" customFormat="1" ht="15" customHeight="1" x14ac:dyDescent="0.2">
      <c r="A88" s="336" t="s">
        <v>109</v>
      </c>
      <c r="B88" s="512"/>
      <c r="C88" s="328"/>
      <c r="D88" s="327"/>
      <c r="E88" s="329"/>
      <c r="F88" s="330">
        <v>0</v>
      </c>
      <c r="G88" s="329">
        <v>0</v>
      </c>
      <c r="H88" s="330">
        <v>1</v>
      </c>
      <c r="I88" s="329">
        <v>4.5454545454545456E-2</v>
      </c>
      <c r="J88" s="330">
        <v>1</v>
      </c>
      <c r="K88" s="329">
        <v>4.5454545454545456E-2</v>
      </c>
      <c r="L88" s="330">
        <v>0</v>
      </c>
      <c r="M88" s="329">
        <v>0</v>
      </c>
      <c r="N88" s="330">
        <v>0</v>
      </c>
      <c r="O88" s="329">
        <v>0</v>
      </c>
      <c r="P88" s="330">
        <v>0</v>
      </c>
      <c r="Q88" s="329">
        <v>0</v>
      </c>
      <c r="R88" s="330">
        <v>0</v>
      </c>
      <c r="S88" s="329">
        <f t="shared" si="20"/>
        <v>0</v>
      </c>
      <c r="T88" s="331">
        <v>0</v>
      </c>
      <c r="U88" s="332">
        <f t="shared" si="21"/>
        <v>0</v>
      </c>
      <c r="V88" s="333"/>
      <c r="W88" s="882">
        <f t="shared" si="22"/>
        <v>0</v>
      </c>
      <c r="X88" s="715">
        <f t="shared" si="23"/>
        <v>0</v>
      </c>
    </row>
    <row r="89" spans="1:26" s="1" customFormat="1" ht="15" customHeight="1" thickBot="1" x14ac:dyDescent="0.25">
      <c r="A89" s="723" t="s">
        <v>110</v>
      </c>
      <c r="B89" s="724"/>
      <c r="C89" s="725">
        <v>0</v>
      </c>
      <c r="D89" s="726">
        <v>0</v>
      </c>
      <c r="E89" s="727">
        <v>0</v>
      </c>
      <c r="F89" s="728">
        <v>0</v>
      </c>
      <c r="G89" s="727">
        <v>0</v>
      </c>
      <c r="H89" s="728">
        <v>0</v>
      </c>
      <c r="I89" s="727">
        <v>0</v>
      </c>
      <c r="J89" s="728">
        <v>0</v>
      </c>
      <c r="K89" s="727">
        <v>0</v>
      </c>
      <c r="L89" s="728">
        <v>0</v>
      </c>
      <c r="M89" s="727">
        <v>0</v>
      </c>
      <c r="N89" s="728">
        <v>0</v>
      </c>
      <c r="O89" s="727">
        <v>0</v>
      </c>
      <c r="P89" s="728">
        <v>0</v>
      </c>
      <c r="Q89" s="727">
        <v>0</v>
      </c>
      <c r="R89" s="728">
        <v>0</v>
      </c>
      <c r="S89" s="727">
        <f t="shared" si="20"/>
        <v>0</v>
      </c>
      <c r="T89" s="729">
        <v>0</v>
      </c>
      <c r="U89" s="730">
        <f t="shared" si="21"/>
        <v>0</v>
      </c>
      <c r="V89" s="333"/>
      <c r="W89" s="882">
        <f t="shared" si="22"/>
        <v>0</v>
      </c>
      <c r="X89" s="715">
        <f t="shared" si="23"/>
        <v>0</v>
      </c>
    </row>
    <row r="90" spans="1:26" s="1" customFormat="1" ht="18" customHeight="1" x14ac:dyDescent="0.2">
      <c r="A90" s="703" t="s">
        <v>111</v>
      </c>
      <c r="B90" s="716"/>
      <c r="C90" s="717"/>
      <c r="D90" s="716"/>
      <c r="E90" s="718"/>
      <c r="F90" s="719"/>
      <c r="G90" s="718"/>
      <c r="H90" s="719"/>
      <c r="I90" s="718"/>
      <c r="J90" s="719"/>
      <c r="K90" s="718"/>
      <c r="L90" s="719"/>
      <c r="M90" s="718"/>
      <c r="N90" s="719"/>
      <c r="O90" s="718"/>
      <c r="P90" s="719"/>
      <c r="Q90" s="718"/>
      <c r="R90" s="719"/>
      <c r="S90" s="718"/>
      <c r="T90" s="719"/>
      <c r="U90" s="720"/>
      <c r="V90" s="333"/>
      <c r="W90" s="714"/>
      <c r="X90" s="715"/>
    </row>
    <row r="91" spans="1:26" s="1" customFormat="1" ht="15" customHeight="1" x14ac:dyDescent="0.2">
      <c r="A91" s="326" t="s">
        <v>112</v>
      </c>
      <c r="B91" s="341">
        <v>21</v>
      </c>
      <c r="C91" s="328">
        <v>0.95454545454545459</v>
      </c>
      <c r="D91" s="340">
        <v>22</v>
      </c>
      <c r="E91" s="329">
        <v>0.88</v>
      </c>
      <c r="F91" s="343">
        <v>20</v>
      </c>
      <c r="G91" s="329">
        <v>0.86956521739130432</v>
      </c>
      <c r="H91" s="343">
        <v>19</v>
      </c>
      <c r="I91" s="329">
        <v>0.86363636363636365</v>
      </c>
      <c r="J91" s="343">
        <v>20</v>
      </c>
      <c r="K91" s="329">
        <v>0.90909090909090906</v>
      </c>
      <c r="L91" s="343">
        <v>18</v>
      </c>
      <c r="M91" s="329">
        <v>0.9</v>
      </c>
      <c r="N91" s="343">
        <v>18</v>
      </c>
      <c r="O91" s="329">
        <v>0.8571428571428571</v>
      </c>
      <c r="P91" s="343">
        <v>19</v>
      </c>
      <c r="Q91" s="329">
        <v>0.86363636363636365</v>
      </c>
      <c r="R91" s="343">
        <v>20</v>
      </c>
      <c r="S91" s="329">
        <f t="shared" si="20"/>
        <v>0.83333333333333337</v>
      </c>
      <c r="T91" s="343">
        <v>21</v>
      </c>
      <c r="U91" s="332">
        <f t="shared" ref="U91:U92" si="26">T91/U$78</f>
        <v>0.84</v>
      </c>
      <c r="V91" s="333"/>
      <c r="W91" s="882">
        <f>AVERAGE(N91,L91,R91,T91,P91)</f>
        <v>19.2</v>
      </c>
      <c r="X91" s="715">
        <f t="shared" si="23"/>
        <v>0.85882251082251082</v>
      </c>
    </row>
    <row r="92" spans="1:26" s="1" customFormat="1" ht="15" customHeight="1" thickBot="1" x14ac:dyDescent="0.25">
      <c r="A92" s="723" t="s">
        <v>113</v>
      </c>
      <c r="B92" s="733">
        <v>1</v>
      </c>
      <c r="C92" s="725">
        <v>4.5454545454545456E-2</v>
      </c>
      <c r="D92" s="733">
        <v>3</v>
      </c>
      <c r="E92" s="727">
        <v>0.12</v>
      </c>
      <c r="F92" s="734">
        <v>3</v>
      </c>
      <c r="G92" s="727">
        <v>0.13043478260869565</v>
      </c>
      <c r="H92" s="734">
        <v>3</v>
      </c>
      <c r="I92" s="727">
        <v>0.13636363636363635</v>
      </c>
      <c r="J92" s="734">
        <v>2</v>
      </c>
      <c r="K92" s="727">
        <v>9.0909090909090912E-2</v>
      </c>
      <c r="L92" s="734">
        <v>2</v>
      </c>
      <c r="M92" s="727">
        <v>0.1</v>
      </c>
      <c r="N92" s="734">
        <v>3</v>
      </c>
      <c r="O92" s="727">
        <v>0.14285714285714285</v>
      </c>
      <c r="P92" s="734">
        <v>3</v>
      </c>
      <c r="Q92" s="727">
        <v>0.13636363636363635</v>
      </c>
      <c r="R92" s="734">
        <v>4</v>
      </c>
      <c r="S92" s="727">
        <f t="shared" si="20"/>
        <v>0.16666666666666666</v>
      </c>
      <c r="T92" s="734">
        <v>4</v>
      </c>
      <c r="U92" s="730">
        <f t="shared" si="26"/>
        <v>0.16</v>
      </c>
      <c r="V92" s="333"/>
      <c r="W92" s="882">
        <f>AVERAGE(N92,L92,R92,T92,P92)</f>
        <v>3.2</v>
      </c>
      <c r="X92" s="715">
        <f t="shared" si="23"/>
        <v>0.14117748917748918</v>
      </c>
    </row>
    <row r="93" spans="1:26" s="1" customFormat="1" ht="18" customHeight="1" x14ac:dyDescent="0.2">
      <c r="A93" s="703" t="s">
        <v>114</v>
      </c>
      <c r="B93" s="721"/>
      <c r="C93" s="710"/>
      <c r="D93" s="721"/>
      <c r="E93" s="711"/>
      <c r="F93" s="722"/>
      <c r="G93" s="711"/>
      <c r="H93" s="722"/>
      <c r="I93" s="711"/>
      <c r="J93" s="722"/>
      <c r="K93" s="711"/>
      <c r="L93" s="722"/>
      <c r="M93" s="711"/>
      <c r="N93" s="722"/>
      <c r="O93" s="711"/>
      <c r="P93" s="722"/>
      <c r="Q93" s="711"/>
      <c r="R93" s="722"/>
      <c r="S93" s="711"/>
      <c r="T93" s="722"/>
      <c r="U93" s="713"/>
      <c r="V93" s="333"/>
      <c r="W93" s="714"/>
      <c r="X93" s="715"/>
    </row>
    <row r="94" spans="1:26" s="1" customFormat="1" ht="15" customHeight="1" x14ac:dyDescent="0.2">
      <c r="A94" s="326" t="s">
        <v>115</v>
      </c>
      <c r="B94" s="341">
        <v>19</v>
      </c>
      <c r="C94" s="328">
        <v>0.86363636363636365</v>
      </c>
      <c r="D94" s="341">
        <v>19</v>
      </c>
      <c r="E94" s="329">
        <v>0.76</v>
      </c>
      <c r="F94" s="342">
        <v>17</v>
      </c>
      <c r="G94" s="329">
        <v>0.73913043478260865</v>
      </c>
      <c r="H94" s="342">
        <v>15</v>
      </c>
      <c r="I94" s="329">
        <v>0.68181818181818177</v>
      </c>
      <c r="J94" s="342">
        <v>14</v>
      </c>
      <c r="K94" s="329">
        <v>0.63636363636363635</v>
      </c>
      <c r="L94" s="342">
        <v>13</v>
      </c>
      <c r="M94" s="329">
        <v>0.65</v>
      </c>
      <c r="N94" s="342">
        <v>12</v>
      </c>
      <c r="O94" s="329">
        <v>0.5714285714285714</v>
      </c>
      <c r="P94" s="342">
        <v>13</v>
      </c>
      <c r="Q94" s="329">
        <v>0.59090909090909094</v>
      </c>
      <c r="R94" s="342">
        <v>13</v>
      </c>
      <c r="S94" s="329">
        <f t="shared" si="20"/>
        <v>0.54166666666666663</v>
      </c>
      <c r="T94" s="342">
        <v>13</v>
      </c>
      <c r="U94" s="332">
        <f t="shared" ref="U94:U96" si="27">T94/U$78</f>
        <v>0.52</v>
      </c>
      <c r="V94" s="333"/>
      <c r="W94" s="882">
        <f>AVERAGE(N94,L94,R94,T94,P94)</f>
        <v>12.8</v>
      </c>
      <c r="X94" s="715">
        <f t="shared" si="23"/>
        <v>0.57480086580086576</v>
      </c>
      <c r="Z94" s="753"/>
    </row>
    <row r="95" spans="1:26" s="1" customFormat="1" ht="15" customHeight="1" x14ac:dyDescent="0.2">
      <c r="A95" s="326" t="s">
        <v>116</v>
      </c>
      <c r="B95" s="341">
        <v>3</v>
      </c>
      <c r="C95" s="328">
        <v>0.13636363636363635</v>
      </c>
      <c r="D95" s="341">
        <v>4</v>
      </c>
      <c r="E95" s="329">
        <v>0.16</v>
      </c>
      <c r="F95" s="342">
        <v>4</v>
      </c>
      <c r="G95" s="329">
        <v>0.17391304347826086</v>
      </c>
      <c r="H95" s="342">
        <v>4</v>
      </c>
      <c r="I95" s="329">
        <v>0.18181818181818182</v>
      </c>
      <c r="J95" s="342">
        <v>3</v>
      </c>
      <c r="K95" s="329">
        <v>0.13636363636363635</v>
      </c>
      <c r="L95" s="342">
        <v>1</v>
      </c>
      <c r="M95" s="329">
        <v>0.05</v>
      </c>
      <c r="N95" s="342">
        <v>5</v>
      </c>
      <c r="O95" s="329">
        <v>0.23809523809523808</v>
      </c>
      <c r="P95" s="342">
        <v>5</v>
      </c>
      <c r="Q95" s="329">
        <v>0.22727272727272727</v>
      </c>
      <c r="R95" s="342">
        <v>6</v>
      </c>
      <c r="S95" s="329">
        <f t="shared" si="20"/>
        <v>0.25</v>
      </c>
      <c r="T95" s="342">
        <v>6</v>
      </c>
      <c r="U95" s="332">
        <f t="shared" si="27"/>
        <v>0.24</v>
      </c>
      <c r="V95" s="333"/>
      <c r="W95" s="882">
        <f>AVERAGE(N95,L95,R95,T95,P95)</f>
        <v>4.5999999999999996</v>
      </c>
      <c r="X95" s="715">
        <f t="shared" si="23"/>
        <v>0.20107359307359304</v>
      </c>
    </row>
    <row r="96" spans="1:26" s="1" customFormat="1" ht="15" customHeight="1" thickBot="1" x14ac:dyDescent="0.25">
      <c r="A96" s="723" t="s">
        <v>117</v>
      </c>
      <c r="B96" s="733"/>
      <c r="C96" s="725">
        <v>0</v>
      </c>
      <c r="D96" s="733">
        <v>2</v>
      </c>
      <c r="E96" s="727">
        <v>0.08</v>
      </c>
      <c r="F96" s="734">
        <v>1</v>
      </c>
      <c r="G96" s="727">
        <v>4.3478260869565216E-2</v>
      </c>
      <c r="H96" s="734">
        <v>3</v>
      </c>
      <c r="I96" s="727">
        <v>0.13636363636363635</v>
      </c>
      <c r="J96" s="734">
        <v>5</v>
      </c>
      <c r="K96" s="727">
        <v>0.22727272727272727</v>
      </c>
      <c r="L96" s="734">
        <v>6</v>
      </c>
      <c r="M96" s="727">
        <v>0.3</v>
      </c>
      <c r="N96" s="734">
        <v>4</v>
      </c>
      <c r="O96" s="727">
        <v>0.19047619047619047</v>
      </c>
      <c r="P96" s="734">
        <v>4</v>
      </c>
      <c r="Q96" s="727">
        <v>0.18181818181818182</v>
      </c>
      <c r="R96" s="734">
        <v>5</v>
      </c>
      <c r="S96" s="727">
        <f t="shared" si="20"/>
        <v>0.20833333333333334</v>
      </c>
      <c r="T96" s="734">
        <v>6</v>
      </c>
      <c r="U96" s="730">
        <f t="shared" si="27"/>
        <v>0.24</v>
      </c>
      <c r="V96" s="333"/>
      <c r="W96" s="882">
        <f>AVERAGE(N96,L96,R96,T96,P96)</f>
        <v>5</v>
      </c>
      <c r="X96" s="715">
        <f t="shared" si="23"/>
        <v>0.22412554112554112</v>
      </c>
    </row>
    <row r="97" spans="1:26" s="1" customFormat="1" ht="18" customHeight="1" x14ac:dyDescent="0.2">
      <c r="A97" s="703" t="s">
        <v>118</v>
      </c>
      <c r="B97" s="721"/>
      <c r="C97" s="710"/>
      <c r="D97" s="721"/>
      <c r="E97" s="711"/>
      <c r="F97" s="722"/>
      <c r="G97" s="711"/>
      <c r="H97" s="722"/>
      <c r="I97" s="711"/>
      <c r="J97" s="722"/>
      <c r="K97" s="711"/>
      <c r="L97" s="722"/>
      <c r="M97" s="711"/>
      <c r="N97" s="722"/>
      <c r="O97" s="711"/>
      <c r="P97" s="722"/>
      <c r="Q97" s="711"/>
      <c r="R97" s="722"/>
      <c r="S97" s="711"/>
      <c r="T97" s="722"/>
      <c r="U97" s="713"/>
      <c r="V97" s="333"/>
      <c r="W97" s="714"/>
      <c r="X97" s="715"/>
    </row>
    <row r="98" spans="1:26" s="1" customFormat="1" ht="15" customHeight="1" x14ac:dyDescent="0.2">
      <c r="A98" s="326" t="s">
        <v>119</v>
      </c>
      <c r="B98" s="341">
        <v>21</v>
      </c>
      <c r="C98" s="328">
        <v>0.95454545454545459</v>
      </c>
      <c r="D98" s="341">
        <v>24</v>
      </c>
      <c r="E98" s="329">
        <v>0.96</v>
      </c>
      <c r="F98" s="342">
        <v>22</v>
      </c>
      <c r="G98" s="329">
        <v>0.95652173913043481</v>
      </c>
      <c r="H98" s="342">
        <v>22</v>
      </c>
      <c r="I98" s="329">
        <v>1</v>
      </c>
      <c r="J98" s="342">
        <v>19</v>
      </c>
      <c r="K98" s="329">
        <v>0.86363636363636365</v>
      </c>
      <c r="L98" s="342">
        <v>16</v>
      </c>
      <c r="M98" s="329">
        <v>0.8</v>
      </c>
      <c r="N98" s="342">
        <v>18</v>
      </c>
      <c r="O98" s="329">
        <v>0.8571428571428571</v>
      </c>
      <c r="P98" s="342">
        <v>19</v>
      </c>
      <c r="Q98" s="329">
        <v>0.86363636363636365</v>
      </c>
      <c r="R98" s="342">
        <v>21</v>
      </c>
      <c r="S98" s="329">
        <f t="shared" si="20"/>
        <v>0.875</v>
      </c>
      <c r="T98" s="342">
        <v>22</v>
      </c>
      <c r="U98" s="332">
        <f t="shared" ref="U98:U101" si="28">T98/U$78</f>
        <v>0.88</v>
      </c>
      <c r="V98" s="333"/>
      <c r="W98" s="882">
        <f>AVERAGE(N98,L98,R98,T98,P98)</f>
        <v>19.2</v>
      </c>
      <c r="X98" s="715">
        <f t="shared" si="23"/>
        <v>0.85515584415584411</v>
      </c>
    </row>
    <row r="99" spans="1:26" s="1" customFormat="1" ht="15" customHeight="1" x14ac:dyDescent="0.2">
      <c r="A99" s="326" t="s">
        <v>120</v>
      </c>
      <c r="B99" s="341">
        <v>3</v>
      </c>
      <c r="C99" s="328">
        <v>0.13636363636363635</v>
      </c>
      <c r="D99" s="341">
        <v>1</v>
      </c>
      <c r="E99" s="329">
        <v>0.04</v>
      </c>
      <c r="F99" s="342">
        <v>1</v>
      </c>
      <c r="G99" s="329">
        <v>4.3478260869565216E-2</v>
      </c>
      <c r="H99" s="342">
        <v>0</v>
      </c>
      <c r="I99" s="329">
        <v>0</v>
      </c>
      <c r="J99" s="342">
        <v>2</v>
      </c>
      <c r="K99" s="329">
        <v>9.0909090909090912E-2</v>
      </c>
      <c r="L99" s="342">
        <v>3</v>
      </c>
      <c r="M99" s="329">
        <v>0.15</v>
      </c>
      <c r="N99" s="342">
        <v>2</v>
      </c>
      <c r="O99" s="329">
        <v>9.5238095238095233E-2</v>
      </c>
      <c r="P99" s="342">
        <v>2</v>
      </c>
      <c r="Q99" s="329">
        <v>9.0909090909090912E-2</v>
      </c>
      <c r="R99" s="342">
        <v>2</v>
      </c>
      <c r="S99" s="329">
        <f t="shared" si="20"/>
        <v>8.3333333333333329E-2</v>
      </c>
      <c r="T99" s="342">
        <v>2</v>
      </c>
      <c r="U99" s="332">
        <f t="shared" si="28"/>
        <v>0.08</v>
      </c>
      <c r="V99" s="333"/>
      <c r="W99" s="882">
        <f>AVERAGE(N99,L99,R99,T99,P99)</f>
        <v>2.2000000000000002</v>
      </c>
      <c r="X99" s="715">
        <f t="shared" si="23"/>
        <v>9.9896103896103899E-2</v>
      </c>
    </row>
    <row r="100" spans="1:26" s="1" customFormat="1" ht="15" customHeight="1" x14ac:dyDescent="0.2">
      <c r="A100" s="326" t="s">
        <v>121</v>
      </c>
      <c r="B100" s="341">
        <v>0</v>
      </c>
      <c r="C100" s="328">
        <v>0</v>
      </c>
      <c r="D100" s="341">
        <v>0</v>
      </c>
      <c r="E100" s="329">
        <v>0</v>
      </c>
      <c r="F100" s="342">
        <v>0</v>
      </c>
      <c r="G100" s="329">
        <v>0</v>
      </c>
      <c r="H100" s="342">
        <v>0</v>
      </c>
      <c r="I100" s="329">
        <v>0</v>
      </c>
      <c r="J100" s="342">
        <v>1</v>
      </c>
      <c r="K100" s="329">
        <v>4.5454545454545456E-2</v>
      </c>
      <c r="L100" s="342">
        <v>1</v>
      </c>
      <c r="M100" s="329">
        <v>0.05</v>
      </c>
      <c r="N100" s="342">
        <v>1</v>
      </c>
      <c r="O100" s="329">
        <v>4.7619047619047616E-2</v>
      </c>
      <c r="P100" s="342">
        <v>1</v>
      </c>
      <c r="Q100" s="329">
        <v>4.5454545454545456E-2</v>
      </c>
      <c r="R100" s="342">
        <v>1</v>
      </c>
      <c r="S100" s="329">
        <f t="shared" si="20"/>
        <v>4.1666666666666664E-2</v>
      </c>
      <c r="T100" s="342">
        <v>1</v>
      </c>
      <c r="U100" s="332">
        <f t="shared" si="28"/>
        <v>0.04</v>
      </c>
      <c r="V100" s="320"/>
      <c r="W100" s="1222">
        <f>AVERAGE(N100,L100,R100,T100,P100)</f>
        <v>1</v>
      </c>
      <c r="X100" s="335">
        <f t="shared" si="23"/>
        <v>4.4948051948051945E-2</v>
      </c>
    </row>
    <row r="101" spans="1:26" s="1" customFormat="1" ht="15" customHeight="1" thickBot="1" x14ac:dyDescent="0.25">
      <c r="A101" s="344" t="s">
        <v>122</v>
      </c>
      <c r="B101" s="345">
        <v>0</v>
      </c>
      <c r="C101" s="346">
        <v>0</v>
      </c>
      <c r="D101" s="345">
        <v>0</v>
      </c>
      <c r="E101" s="347">
        <v>0</v>
      </c>
      <c r="F101" s="348">
        <v>0</v>
      </c>
      <c r="G101" s="347">
        <v>0</v>
      </c>
      <c r="H101" s="348">
        <v>0</v>
      </c>
      <c r="I101" s="347">
        <v>0</v>
      </c>
      <c r="J101" s="348">
        <v>0</v>
      </c>
      <c r="K101" s="347">
        <v>0</v>
      </c>
      <c r="L101" s="348">
        <v>0</v>
      </c>
      <c r="M101" s="347">
        <v>0</v>
      </c>
      <c r="N101" s="348">
        <v>0</v>
      </c>
      <c r="O101" s="347">
        <v>0</v>
      </c>
      <c r="P101" s="348">
        <v>0</v>
      </c>
      <c r="Q101" s="347">
        <v>0</v>
      </c>
      <c r="R101" s="348">
        <v>0</v>
      </c>
      <c r="S101" s="347">
        <f t="shared" si="20"/>
        <v>0</v>
      </c>
      <c r="T101" s="348">
        <v>0</v>
      </c>
      <c r="U101" s="349">
        <f t="shared" si="28"/>
        <v>0</v>
      </c>
      <c r="V101" s="320"/>
      <c r="W101" s="1223">
        <f>AVERAGE(N101,L101,R101,T101,P101)</f>
        <v>0</v>
      </c>
      <c r="X101" s="1224">
        <f t="shared" si="23"/>
        <v>0</v>
      </c>
    </row>
    <row r="102" spans="1:26" ht="13.5" thickTop="1" x14ac:dyDescent="0.2">
      <c r="A102" s="635" t="s">
        <v>251</v>
      </c>
    </row>
    <row r="103" spans="1:26" ht="15" customHeight="1" x14ac:dyDescent="0.2">
      <c r="A103" s="1"/>
      <c r="C103" s="26"/>
      <c r="Z103" s="26" t="s">
        <v>16</v>
      </c>
    </row>
    <row r="104" spans="1:26" ht="15" customHeight="1" x14ac:dyDescent="0.2">
      <c r="A104" s="1"/>
      <c r="O104" s="26" t="s">
        <v>16</v>
      </c>
      <c r="S104" t="s">
        <v>16</v>
      </c>
      <c r="U104" t="s">
        <v>16</v>
      </c>
    </row>
    <row r="105" spans="1:26" x14ac:dyDescent="0.2">
      <c r="A105" s="1"/>
    </row>
    <row r="106" spans="1:26" x14ac:dyDescent="0.2">
      <c r="A106" s="1"/>
    </row>
    <row r="107" spans="1:26" x14ac:dyDescent="0.2">
      <c r="A107" s="1"/>
    </row>
    <row r="108" spans="1:26" x14ac:dyDescent="0.2">
      <c r="A108" s="1"/>
      <c r="D108" s="199"/>
    </row>
    <row r="109" spans="1:26" x14ac:dyDescent="0.2">
      <c r="A109" s="1"/>
      <c r="S109" t="s">
        <v>16</v>
      </c>
      <c r="U109" s="26" t="s">
        <v>16</v>
      </c>
    </row>
    <row r="110" spans="1:26" x14ac:dyDescent="0.2">
      <c r="A110" s="1"/>
    </row>
    <row r="111" spans="1:26" x14ac:dyDescent="0.2">
      <c r="A111" s="1"/>
    </row>
    <row r="112" spans="1:26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</sheetData>
  <mergeCells count="77">
    <mergeCell ref="R58:S58"/>
    <mergeCell ref="W58:X58"/>
    <mergeCell ref="P58:Q58"/>
    <mergeCell ref="B58:C58"/>
    <mergeCell ref="D58:E58"/>
    <mergeCell ref="F58:G58"/>
    <mergeCell ref="H58:I58"/>
    <mergeCell ref="J58:K58"/>
    <mergeCell ref="L58:M58"/>
    <mergeCell ref="N58:O58"/>
    <mergeCell ref="T58:U58"/>
    <mergeCell ref="J55:K55"/>
    <mergeCell ref="L55:M55"/>
    <mergeCell ref="N55:O55"/>
    <mergeCell ref="B55:C55"/>
    <mergeCell ref="D55:E55"/>
    <mergeCell ref="F55:G55"/>
    <mergeCell ref="H55:I55"/>
    <mergeCell ref="P55:Q55"/>
    <mergeCell ref="R55:S55"/>
    <mergeCell ref="W55:X55"/>
    <mergeCell ref="R48:S48"/>
    <mergeCell ref="W48:X48"/>
    <mergeCell ref="P48:Q48"/>
    <mergeCell ref="T48:U48"/>
    <mergeCell ref="T55:U55"/>
    <mergeCell ref="B48:C48"/>
    <mergeCell ref="D48:E48"/>
    <mergeCell ref="J44:K44"/>
    <mergeCell ref="L44:M44"/>
    <mergeCell ref="N44:O44"/>
    <mergeCell ref="B44:C44"/>
    <mergeCell ref="D44:E44"/>
    <mergeCell ref="F44:G44"/>
    <mergeCell ref="H44:I44"/>
    <mergeCell ref="F48:G48"/>
    <mergeCell ref="H48:I48"/>
    <mergeCell ref="J48:K48"/>
    <mergeCell ref="L48:M48"/>
    <mergeCell ref="N48:O48"/>
    <mergeCell ref="P44:Q44"/>
    <mergeCell ref="R44:S44"/>
    <mergeCell ref="W44:X44"/>
    <mergeCell ref="R35:S35"/>
    <mergeCell ref="W35:X35"/>
    <mergeCell ref="P35:Q35"/>
    <mergeCell ref="T35:U35"/>
    <mergeCell ref="T44:U44"/>
    <mergeCell ref="B35:C35"/>
    <mergeCell ref="D35:E35"/>
    <mergeCell ref="F35:G35"/>
    <mergeCell ref="H35:I35"/>
    <mergeCell ref="J35:K35"/>
    <mergeCell ref="L35:M35"/>
    <mergeCell ref="N35:O35"/>
    <mergeCell ref="L3:M3"/>
    <mergeCell ref="N3:O3"/>
    <mergeCell ref="R3:S3"/>
    <mergeCell ref="W3:X3"/>
    <mergeCell ref="P3:Q3"/>
    <mergeCell ref="B3:C3"/>
    <mergeCell ref="D3:E3"/>
    <mergeCell ref="F3:G3"/>
    <mergeCell ref="H3:I3"/>
    <mergeCell ref="J3:K3"/>
    <mergeCell ref="T3:U3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W66:X66"/>
    <mergeCell ref="T66:U66"/>
  </mergeCells>
  <printOptions horizontalCentered="1"/>
  <pageMargins left="0.5" right="0.5" top="0.25" bottom="0.5" header="0.5" footer="0.25"/>
  <pageSetup scale="59" orientation="landscape" r:id="rId1"/>
  <headerFooter alignWithMargins="0">
    <oddFooter>&amp;R&amp;P of &amp;N
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abSelected="1" zoomScaleNormal="100" workbookViewId="0"/>
  </sheetViews>
  <sheetFormatPr defaultRowHeight="12.75" x14ac:dyDescent="0.2"/>
  <cols>
    <col min="1" max="1" width="34.1406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hidden="1" customWidth="1"/>
    <col min="7" max="7" width="10.7109375" hidden="1" customWidth="1"/>
    <col min="8" max="8" width="6.7109375" hidden="1" customWidth="1"/>
    <col min="9" max="9" width="10.7109375" hidden="1" customWidth="1"/>
    <col min="10" max="10" width="8.5703125" bestFit="1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</cols>
  <sheetData>
    <row r="1" spans="1:23" ht="15.75" x14ac:dyDescent="0.25">
      <c r="A1" s="636" t="s">
        <v>208</v>
      </c>
    </row>
    <row r="2" spans="1:23" ht="15.75" x14ac:dyDescent="0.25">
      <c r="A2" s="636" t="s">
        <v>209</v>
      </c>
    </row>
    <row r="3" spans="1:23" ht="6" customHeight="1" x14ac:dyDescent="0.25">
      <c r="A3" s="636"/>
    </row>
    <row r="4" spans="1:23" ht="15.75" x14ac:dyDescent="0.25">
      <c r="A4" s="157" t="s">
        <v>211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</row>
    <row r="5" spans="1:23" ht="5.25" customHeight="1" x14ac:dyDescent="0.25">
      <c r="A5" s="157"/>
    </row>
    <row r="6" spans="1:23" x14ac:dyDescent="0.2">
      <c r="A6" s="2" t="s">
        <v>240</v>
      </c>
    </row>
    <row r="7" spans="1:23" x14ac:dyDescent="0.2">
      <c r="A7" s="637"/>
    </row>
    <row r="8" spans="1:23" ht="13.5" thickBot="1" x14ac:dyDescent="0.25"/>
    <row r="9" spans="1:23" ht="18" customHeight="1" thickTop="1" x14ac:dyDescent="0.2">
      <c r="A9" s="215"/>
      <c r="B9" s="1304" t="s">
        <v>0</v>
      </c>
      <c r="C9" s="1305"/>
      <c r="D9" s="1304" t="s">
        <v>1</v>
      </c>
      <c r="E9" s="1305"/>
      <c r="F9" s="1304" t="s">
        <v>2</v>
      </c>
      <c r="G9" s="1305"/>
      <c r="H9" s="1304" t="s">
        <v>3</v>
      </c>
      <c r="I9" s="1305"/>
      <c r="J9" s="1304" t="s">
        <v>4</v>
      </c>
      <c r="K9" s="1305"/>
      <c r="L9" s="1304" t="s">
        <v>5</v>
      </c>
      <c r="M9" s="1305"/>
      <c r="N9" s="1304" t="s">
        <v>6</v>
      </c>
      <c r="O9" s="1305"/>
      <c r="P9" s="1304" t="s">
        <v>7</v>
      </c>
      <c r="Q9" s="1305"/>
      <c r="R9" s="1304" t="s">
        <v>8</v>
      </c>
      <c r="S9" s="1305"/>
      <c r="T9" s="1304" t="s">
        <v>254</v>
      </c>
      <c r="U9" s="1306"/>
    </row>
    <row r="10" spans="1:23" ht="30.75" customHeight="1" thickBot="1" x14ac:dyDescent="0.25">
      <c r="A10" s="30" t="s">
        <v>205</v>
      </c>
      <c r="B10" s="676" t="s">
        <v>213</v>
      </c>
      <c r="C10" s="568" t="s">
        <v>198</v>
      </c>
      <c r="D10" s="676" t="s">
        <v>213</v>
      </c>
      <c r="E10" s="568" t="s">
        <v>198</v>
      </c>
      <c r="F10" s="677" t="s">
        <v>213</v>
      </c>
      <c r="G10" s="568" t="s">
        <v>198</v>
      </c>
      <c r="H10" s="677" t="s">
        <v>213</v>
      </c>
      <c r="I10" s="568" t="s">
        <v>198</v>
      </c>
      <c r="J10" s="677" t="s">
        <v>213</v>
      </c>
      <c r="K10" s="568" t="s">
        <v>198</v>
      </c>
      <c r="L10" s="677" t="s">
        <v>213</v>
      </c>
      <c r="M10" s="568" t="s">
        <v>198</v>
      </c>
      <c r="N10" s="677" t="s">
        <v>213</v>
      </c>
      <c r="O10" s="568" t="s">
        <v>198</v>
      </c>
      <c r="P10" s="677" t="s">
        <v>213</v>
      </c>
      <c r="Q10" s="1086" t="s">
        <v>198</v>
      </c>
      <c r="R10" s="677" t="s">
        <v>213</v>
      </c>
      <c r="S10" s="1086" t="s">
        <v>198</v>
      </c>
      <c r="T10" s="927" t="s">
        <v>213</v>
      </c>
      <c r="U10" s="646" t="s">
        <v>198</v>
      </c>
      <c r="V10" s="1279" t="s">
        <v>16</v>
      </c>
    </row>
    <row r="11" spans="1:23" x14ac:dyDescent="0.2">
      <c r="A11" s="1079" t="s">
        <v>241</v>
      </c>
      <c r="B11" s="1109">
        <f>'Dean AG'!B9+'Dean AG'!B13+'Ag Economics '!B14+'Ag Economics '!B21+Agronomy!B15+'Animal Sciences Industry'!B15+'Animal Sciences Industry'!B28+'Comm Ag Education'!B14+'Comm Ag Education'!B18+'Grain Science Industry'!B18+'Grain Science Industry'!B23+'Grain Science Industry'!B28+'Hort &amp; Nat Res'!B15+'Hort &amp; Nat Res'!B25+'Hort &amp; Nat Res'!B29</f>
        <v>1883</v>
      </c>
      <c r="C11" s="1110">
        <f>'Dean AG'!C9+'Dean AG'!C13+'Ag Economics '!C14+'Ag Economics '!C21+Agronomy!C15+'Animal Sciences Industry'!C15+'Animal Sciences Industry'!C28+'Comm Ag Education'!C14+'Comm Ag Education'!C18+'Grain Science Industry'!C18+'Grain Science Industry'!C23+'Grain Science Industry'!C28+'Hort &amp; Nat Res'!C15+'Hort &amp; Nat Res'!C25+'Hort &amp; Nat Res'!C29</f>
        <v>429</v>
      </c>
      <c r="D11" s="1109">
        <f>'Dean AG'!D9+'Dean AG'!D13+'Ag Economics '!D14+'Ag Economics '!D21+Agronomy!D15+'Animal Sciences Industry'!D15+'Animal Sciences Industry'!D28+'Comm Ag Education'!D14+'Comm Ag Education'!D18+'Grain Science Industry'!D18+'Grain Science Industry'!D23+'Grain Science Industry'!D28+'Hort &amp; Nat Res'!D15+'Hort &amp; Nat Res'!D25+'Hort &amp; Nat Res'!D29</f>
        <v>1965</v>
      </c>
      <c r="E11" s="1110">
        <f>'Dean AG'!E9+'Dean AG'!E13+'Ag Economics '!E14+'Ag Economics '!E21+Agronomy!E15+'Animal Sciences Industry'!E15+'Animal Sciences Industry'!E28+'Comm Ag Education'!E14+'Comm Ag Education'!E18+'Grain Science Industry'!E18+'Grain Science Industry'!E23+'Grain Science Industry'!E28+'Hort &amp; Nat Res'!E15+'Hort &amp; Nat Res'!E25+'Hort &amp; Nat Res'!E29</f>
        <v>414</v>
      </c>
      <c r="F11" s="1109">
        <f>'Dean AG'!F9+'Dean AG'!F13+'Ag Economics '!F14+'Ag Economics '!F21+Agronomy!F15+'Animal Sciences Industry'!F15+'Animal Sciences Industry'!F28+'Comm Ag Education'!F14+'Comm Ag Education'!F18+'Grain Science Industry'!F18+'Grain Science Industry'!F23+'Grain Science Industry'!F28+'Hort &amp; Nat Res'!F15+'Hort &amp; Nat Res'!F25+'Hort &amp; Nat Res'!F29</f>
        <v>2064</v>
      </c>
      <c r="G11" s="1110">
        <f>'Dean AG'!G9+'Dean AG'!G13+'Ag Economics '!G14+'Ag Economics '!G21+Agronomy!G15+'Animal Sciences Industry'!G15+'Animal Sciences Industry'!G28+'Comm Ag Education'!G14+'Comm Ag Education'!G18+'Grain Science Industry'!G18+'Grain Science Industry'!G23+'Grain Science Industry'!G28+'Hort &amp; Nat Res'!G15+'Hort &amp; Nat Res'!G25+'Hort &amp; Nat Res'!G29</f>
        <v>426</v>
      </c>
      <c r="H11" s="1109">
        <f>'Dean AG'!H9+'Dean AG'!H13+'Ag Economics '!H14+'Ag Economics '!H21+Agronomy!H15+'Animal Sciences Industry'!H15+'Animal Sciences Industry'!H28+'Comm Ag Education'!H14+'Comm Ag Education'!H18+'Grain Science Industry'!H18+'Grain Science Industry'!H23+'Grain Science Industry'!H28+'Hort &amp; Nat Res'!H15+'Hort &amp; Nat Res'!H25+'Hort &amp; Nat Res'!H29</f>
        <v>2238</v>
      </c>
      <c r="I11" s="1110">
        <f>'Dean AG'!I9+'Dean AG'!I13+'Ag Economics '!I14+'Ag Economics '!I21+Agronomy!I15+'Animal Sciences Industry'!I15+'Animal Sciences Industry'!I28+'Comm Ag Education'!I14+'Comm Ag Education'!I18+'Grain Science Industry'!I18+'Grain Science Industry'!I23+'Grain Science Industry'!I28+'Hort &amp; Nat Res'!I15+'Hort &amp; Nat Res'!I25+'Hort &amp; Nat Res'!I29</f>
        <v>477</v>
      </c>
      <c r="J11" s="1109">
        <f>'Dean AG'!J9+'Dean AG'!J13+'Ag Economics '!J14+'Ag Economics '!J21+Agronomy!J15+'Animal Sciences Industry'!J15+'Animal Sciences Industry'!J28+'Comm Ag Education'!J14+'Comm Ag Education'!J18+'Grain Science Industry'!J18+'Grain Science Industry'!J23+'Grain Science Industry'!J28+'Hort &amp; Nat Res'!J15+'Hort &amp; Nat Res'!J25+'Hort &amp; Nat Res'!J29</f>
        <v>2352</v>
      </c>
      <c r="K11" s="1110">
        <f>'Dean AG'!K9+'Dean AG'!K13+'Ag Economics '!K14+'Ag Economics '!K21+Agronomy!K15+'Animal Sciences Industry'!K15+'Animal Sciences Industry'!K28+'Comm Ag Education'!K14+'Comm Ag Education'!K18+'Grain Science Industry'!K18+'Grain Science Industry'!K23+'Grain Science Industry'!K28+'Hort &amp; Nat Res'!K15+'Hort &amp; Nat Res'!K25+'Hort &amp; Nat Res'!K29</f>
        <v>456</v>
      </c>
      <c r="L11" s="1109">
        <f>'Dean AG'!L9+'Dean AG'!L13+'Ag Economics '!L14+'Ag Economics '!L21+Agronomy!L15+'Animal Sciences Industry'!L15+'Animal Sciences Industry'!L28+'Comm Ag Education'!L14+'Comm Ag Education'!L18+'Grain Science Industry'!L18+'Grain Science Industry'!L23+'Grain Science Industry'!L28+'Hort &amp; Nat Res'!L15+'Hort &amp; Nat Res'!L25+'Hort &amp; Nat Res'!L29</f>
        <v>2537</v>
      </c>
      <c r="M11" s="1110">
        <f>'Dean AG'!M9+'Dean AG'!M13+'Ag Economics '!M14+'Ag Economics '!M21+Agronomy!M15+'Animal Sciences Industry'!M15+'Animal Sciences Industry'!M28+'Comm Ag Education'!M14+'Comm Ag Education'!M18+'Grain Science Industry'!M18+'Grain Science Industry'!M23+'Grain Science Industry'!M28+'Hort &amp; Nat Res'!M15+'Hort &amp; Nat Res'!M25+'Hort &amp; Nat Res'!M29</f>
        <v>494</v>
      </c>
      <c r="N11" s="1109">
        <f>'Dean AG'!N9+'Dean AG'!N13+'Ag Economics '!N14+'Ag Economics '!N21+Agronomy!N15+'Animal Sciences Industry'!N15+'Animal Sciences Industry'!N28+'Comm Ag Education'!N14+'Comm Ag Education'!N18+'Grain Science Industry'!N18+'Grain Science Industry'!N23+'Grain Science Industry'!N28+'Hort &amp; Nat Res'!N15+'Hort &amp; Nat Res'!N25+'Hort &amp; Nat Res'!N29</f>
        <v>2704</v>
      </c>
      <c r="O11" s="1110">
        <f>'Dean AG'!O9+'Dean AG'!O13+'Ag Economics '!O14+'Ag Economics '!O21+Agronomy!O15+'Animal Sciences Industry'!O15+'Animal Sciences Industry'!O28+'Comm Ag Education'!O14+'Comm Ag Education'!O18+'Grain Science Industry'!O18+'Grain Science Industry'!O23+'Grain Science Industry'!O28+'Hort &amp; Nat Res'!O15+'Hort &amp; Nat Res'!O25+'Hort &amp; Nat Res'!O29</f>
        <v>533</v>
      </c>
      <c r="P11" s="1109">
        <f>'Dean AG'!P9+'Dean AG'!P13+'Ag Economics '!P14+'Ag Economics '!P21+Agronomy!P15+'Animal Sciences Industry'!P15+'Animal Sciences Industry'!P28+'Comm Ag Education'!P14+'Comm Ag Education'!P18+'Grain Science Industry'!P18+'Grain Science Industry'!P23+'Grain Science Industry'!P28+'Hort &amp; Nat Res'!P15+'Hort &amp; Nat Res'!P25+'Hort &amp; Nat Res'!P29</f>
        <v>2780</v>
      </c>
      <c r="Q11" s="1110">
        <f>'Dean AG'!Q9+'Dean AG'!Q13+'Ag Economics '!Q14+'Ag Economics '!Q21+Agronomy!Q15+'Animal Sciences Industry'!Q15+'Animal Sciences Industry'!Q28+'Comm Ag Education'!Q14+'Comm Ag Education'!Q18+'Grain Science Industry'!Q18+'Grain Science Industry'!Q23+'Grain Science Industry'!Q28+'Hort &amp; Nat Res'!Q15+'Hort &amp; Nat Res'!Q25+'Hort &amp; Nat Res'!Q29</f>
        <v>598</v>
      </c>
      <c r="R11" s="1109">
        <f>'Dean AG'!R9+'Dean AG'!R13+'Ag Economics '!R14+'Ag Economics '!R21+Agronomy!R15+'Animal Sciences Industry'!R15+'Animal Sciences Industry'!R28+'Comm Ag Education'!R14+'Comm Ag Education'!R18+'Grain Science Industry'!R18+'Grain Science Industry'!R23+'Grain Science Industry'!R28+'Hort &amp; Nat Res'!R15+'Hort &amp; Nat Res'!R25+'Hort &amp; Nat Res'!R29</f>
        <v>2717</v>
      </c>
      <c r="S11" s="1110">
        <f>'Dean AG'!S9+'Dean AG'!S13+'Ag Economics '!S14+'Ag Economics '!S21+Agronomy!S15+'Animal Sciences Industry'!S15+'Animal Sciences Industry'!S28+'Comm Ag Education'!S14+'Comm Ag Education'!S18+'Grain Science Industry'!S18+'Grain Science Industry'!S23+'Grain Science Industry'!S28+'Hort &amp; Nat Res'!S15+'Hort &amp; Nat Res'!S25+'Hort &amp; Nat Res'!S29</f>
        <v>583</v>
      </c>
      <c r="T11" s="1285">
        <f>'Dean AG'!T9+'Dean AG'!T13+'Ag Economics '!T14+'Ag Economics '!T21+Agronomy!T15+'Animal Sciences Industry'!T15+'Animal Sciences Industry'!T28+'Comm Ag Education'!T14+'Comm Ag Education'!T18+'Grain Science Industry'!T18+'Grain Science Industry'!T23+'Grain Science Industry'!T28+'Hort &amp; Nat Res'!T15+'Hort &amp; Nat Res'!T25+'Hort &amp; Nat Res'!T29</f>
        <v>2715</v>
      </c>
      <c r="U11" s="1182"/>
    </row>
    <row r="12" spans="1:23" x14ac:dyDescent="0.2">
      <c r="A12" s="1154" t="s">
        <v>246</v>
      </c>
      <c r="B12" s="1111">
        <f>'Dean AG'!B15</f>
        <v>71</v>
      </c>
      <c r="C12" s="1112" t="str">
        <f>'Dean AG'!C15</f>
        <v>n/a</v>
      </c>
      <c r="D12" s="1111">
        <f>'Dean AG'!D15</f>
        <v>65</v>
      </c>
      <c r="E12" s="1112">
        <f>'Dean AG'!E15</f>
        <v>22</v>
      </c>
      <c r="F12" s="1111">
        <f>'Dean AG'!F15</f>
        <v>76</v>
      </c>
      <c r="G12" s="1112">
        <f>'Dean AG'!G15</f>
        <v>26</v>
      </c>
      <c r="H12" s="1111">
        <f>'Dean AG'!H15</f>
        <v>83</v>
      </c>
      <c r="I12" s="1112">
        <f>'Dean AG'!I15</f>
        <v>27</v>
      </c>
      <c r="J12" s="1111">
        <f>'Dean AG'!J15</f>
        <v>68</v>
      </c>
      <c r="K12" s="1112">
        <f>'Dean AG'!K15</f>
        <v>26</v>
      </c>
      <c r="L12" s="1111">
        <f>'Dean AG'!L15</f>
        <v>72</v>
      </c>
      <c r="M12" s="1112">
        <f>'Dean AG'!M15</f>
        <v>26</v>
      </c>
      <c r="N12" s="1111">
        <f>'Dean AG'!N15</f>
        <v>58</v>
      </c>
      <c r="O12" s="1112">
        <f>'Dean AG'!O15</f>
        <v>27</v>
      </c>
      <c r="P12" s="1111">
        <f>'Dean AG'!P15</f>
        <v>62</v>
      </c>
      <c r="Q12" s="1112">
        <f>'Dean AG'!Q15</f>
        <v>27</v>
      </c>
      <c r="R12" s="1111">
        <f>'Dean AG'!R15</f>
        <v>51</v>
      </c>
      <c r="S12" s="1112">
        <f>'Dean AG'!S15</f>
        <v>20</v>
      </c>
      <c r="T12" s="1284">
        <f>'Dean AG'!T15</f>
        <v>46</v>
      </c>
      <c r="U12" s="1183"/>
    </row>
    <row r="13" spans="1:23" x14ac:dyDescent="0.2">
      <c r="A13" s="1154" t="s">
        <v>247</v>
      </c>
      <c r="B13" s="1111">
        <f>'Dean AG'!B33</f>
        <v>68</v>
      </c>
      <c r="C13" s="1112" t="str">
        <f>'Dean AG'!C33</f>
        <v>xxxx</v>
      </c>
      <c r="D13" s="1111">
        <f>'Dean AG'!D33</f>
        <v>63</v>
      </c>
      <c r="E13" s="1112" t="str">
        <f>'Dean AG'!E33</f>
        <v>xxxx</v>
      </c>
      <c r="F13" s="1111">
        <f>'Dean AG'!F33</f>
        <v>41</v>
      </c>
      <c r="G13" s="1112" t="str">
        <f>'Dean AG'!G33</f>
        <v>xxxx</v>
      </c>
      <c r="H13" s="1111">
        <f>'Dean AG'!H33</f>
        <v>78</v>
      </c>
      <c r="I13" s="1112" t="str">
        <f>'Dean AG'!I33</f>
        <v>xxxx</v>
      </c>
      <c r="J13" s="1111">
        <f>'Dean AG'!J33</f>
        <v>91</v>
      </c>
      <c r="K13" s="1112" t="str">
        <f>'Dean AG'!K33</f>
        <v>xxxx</v>
      </c>
      <c r="L13" s="1111">
        <f>'Dean AG'!L33</f>
        <v>77</v>
      </c>
      <c r="M13" s="1112" t="str">
        <f>'Dean AG'!M33</f>
        <v>xxxx</v>
      </c>
      <c r="N13" s="1111">
        <f>'Dean AG'!N33</f>
        <v>76</v>
      </c>
      <c r="O13" s="1112" t="str">
        <f>'Dean AG'!O33</f>
        <v>xxxx</v>
      </c>
      <c r="P13" s="1111">
        <f>'Dean AG'!P33</f>
        <v>85</v>
      </c>
      <c r="Q13" s="1112" t="str">
        <f>'Dean AG'!Q33</f>
        <v>xxxx</v>
      </c>
      <c r="R13" s="1111">
        <f>'Dean AG'!R33</f>
        <v>60</v>
      </c>
      <c r="S13" s="1112" t="str">
        <f>'Dean AG'!S33</f>
        <v>xxxx</v>
      </c>
      <c r="T13" s="1284">
        <f>'Dean AG'!T33</f>
        <v>52</v>
      </c>
      <c r="U13" s="1183"/>
      <c r="W13" s="26" t="s">
        <v>16</v>
      </c>
    </row>
    <row r="14" spans="1:23" x14ac:dyDescent="0.2">
      <c r="A14" s="1104" t="s">
        <v>126</v>
      </c>
      <c r="B14" s="1111">
        <f>'Dean AG'!B23+'Dean AG'!B24+'Dean AG'!B25+'Dean AG'!B26+'Ag Economics '!B22+'Ag Economics '!B15+Agronomy!B16+'Animal Sciences Industry'!B16+'Animal Sciences Industry'!B17+'Animal Sciences Industry'!B29+Entomolgy!B13+'Grain Science Industry'!B19+'Grain Science Industry'!B24+'Grain Science Industry'!B29+'Grain Science Industry'!B30+'Hort &amp; Nat Res'!B16+'Plant Pathology'!B12</f>
        <v>114</v>
      </c>
      <c r="C14" s="1112">
        <f>'Dean AG'!C23+'Dean AG'!C24+'Dean AG'!C25+'Dean AG'!C26+'Ag Economics '!C22+'Ag Economics '!C15+Agronomy!C16+'Animal Sciences Industry'!C16+'Animal Sciences Industry'!C17+'Animal Sciences Industry'!C29+Entomolgy!C13+'Grain Science Industry'!C19+'Grain Science Industry'!C24+'Grain Science Industry'!C29+'Grain Science Industry'!C30+'Hort &amp; Nat Res'!C16+'Plant Pathology'!C12</f>
        <v>21</v>
      </c>
      <c r="D14" s="1111">
        <f>'Dean AG'!D23+'Dean AG'!D24+'Dean AG'!D25+'Dean AG'!D26+'Ag Economics '!D22+'Ag Economics '!D15+Agronomy!D16+'Animal Sciences Industry'!D16+'Animal Sciences Industry'!D17+'Animal Sciences Industry'!D29+Entomolgy!D13+'Grain Science Industry'!D19+'Grain Science Industry'!D24+'Grain Science Industry'!D29+'Grain Science Industry'!D30+'Hort &amp; Nat Res'!D16+'Plant Pathology'!D12</f>
        <v>85</v>
      </c>
      <c r="E14" s="1112">
        <f>'Dean AG'!E23+'Dean AG'!E24+'Dean AG'!E25+'Dean AG'!E26+'Ag Economics '!E22+'Ag Economics '!E15+Agronomy!E16+'Animal Sciences Industry'!E16+'Animal Sciences Industry'!E17+'Animal Sciences Industry'!E29+Entomolgy!E13+'Grain Science Industry'!E19+'Grain Science Industry'!E24+'Grain Science Industry'!E29+'Grain Science Industry'!E30+'Hort &amp; Nat Res'!E16+'Plant Pathology'!E12</f>
        <v>51</v>
      </c>
      <c r="F14" s="1111">
        <f>'Dean AG'!F23+'Dean AG'!F24+'Dean AG'!F26+'Ag Economics '!F22+'Ag Economics '!F15+Agronomy!F16+'Animal Sciences Industry'!F16+'Animal Sciences Industry'!F17+'Animal Sciences Industry'!F29+Entomolgy!F13+'Grain Science Industry'!F19+'Grain Science Industry'!F24+'Grain Science Industry'!F29+'Grain Science Industry'!F30+'Hort &amp; Nat Res'!F16+'Plant Pathology'!F12</f>
        <v>101</v>
      </c>
      <c r="G14" s="1112">
        <f>'Dean AG'!G23+'Dean AG'!G24+'Dean AG'!G25+'Dean AG'!G26+'Ag Economics '!G22+'Ag Economics '!G15+Agronomy!G16+'Animal Sciences Industry'!G16+'Animal Sciences Industry'!G17+'Animal Sciences Industry'!G29+Entomolgy!G13+'Grain Science Industry'!G19+'Grain Science Industry'!G24+'Grain Science Industry'!G29+'Grain Science Industry'!G30+'Hort &amp; Nat Res'!G16+'Plant Pathology'!G12</f>
        <v>45</v>
      </c>
      <c r="H14" s="1111">
        <f>'Dean AG'!H23+'Dean AG'!H24+'Dean AG'!H25+'Dean AG'!H26+'Ag Economics '!H22+'Ag Economics '!H15+Agronomy!H16+'Animal Sciences Industry'!H16+'Animal Sciences Industry'!H17+'Animal Sciences Industry'!H29+Entomolgy!H13+'Grain Science Industry'!H19+'Grain Science Industry'!H24+'Grain Science Industry'!H29+'Grain Science Industry'!H30+'Hort &amp; Nat Res'!H16+'Plant Pathology'!H12</f>
        <v>116</v>
      </c>
      <c r="I14" s="1112">
        <f>'Dean AG'!I23+'Dean AG'!I24+'Dean AG'!I25+'Dean AG'!I26+'Ag Economics '!I22+'Ag Economics '!I15+Agronomy!I16+'Animal Sciences Industry'!I16+'Animal Sciences Industry'!I17+'Animal Sciences Industry'!I29+Entomolgy!I13+'Grain Science Industry'!I19+'Grain Science Industry'!I24+'Grain Science Industry'!I29+'Grain Science Industry'!I30+'Hort &amp; Nat Res'!I16+'Plant Pathology'!I12</f>
        <v>61</v>
      </c>
      <c r="J14" s="1111">
        <f>'Dean AG'!J23+'Dean AG'!J24+'Dean AG'!J25+'Dean AG'!J26+'Ag Economics '!J22+'Ag Economics '!J15+Agronomy!J16+'Animal Sciences Industry'!J16+'Animal Sciences Industry'!J17+'Animal Sciences Industry'!J29+Entomolgy!J13+'Grain Science Industry'!J19+'Grain Science Industry'!J24+'Grain Science Industry'!J29+'Grain Science Industry'!J30+'Hort &amp; Nat Res'!J16+'Plant Pathology'!J12</f>
        <v>133</v>
      </c>
      <c r="K14" s="1112">
        <f>'Dean AG'!K23+'Dean AG'!K24+'Dean AG'!K25+'Dean AG'!K26+'Ag Economics '!K22+'Ag Economics '!K15+Agronomy!K16+'Animal Sciences Industry'!K16+'Animal Sciences Industry'!K17+'Animal Sciences Industry'!K29+Entomolgy!K13+'Grain Science Industry'!K19+'Grain Science Industry'!K24+'Grain Science Industry'!K29+'Grain Science Industry'!K30+'Hort &amp; Nat Res'!K16+'Plant Pathology'!K12</f>
        <v>65</v>
      </c>
      <c r="L14" s="1111">
        <f>'Dean AG'!L23+'Dean AG'!L24+'Dean AG'!L25+'Dean AG'!L26+'Ag Economics '!L22+'Ag Economics '!L15+Agronomy!L16+'Animal Sciences Industry'!L16+'Animal Sciences Industry'!L17+'Animal Sciences Industry'!L29+Entomolgy!L13+'Grain Science Industry'!L19+'Grain Science Industry'!L24+'Grain Science Industry'!L29+'Grain Science Industry'!L30+'Hort &amp; Nat Res'!L16+'Plant Pathology'!L12</f>
        <v>144</v>
      </c>
      <c r="M14" s="1112">
        <f>'Dean AG'!M23+'Dean AG'!M24+'Dean AG'!M25+'Dean AG'!M26+'Ag Economics '!M22+'Ag Economics '!M15+Agronomy!M16+'Animal Sciences Industry'!M16+'Animal Sciences Industry'!M17+'Animal Sciences Industry'!M29+Entomolgy!M13+'Grain Science Industry'!M19+'Grain Science Industry'!M24+'Grain Science Industry'!M29+'Grain Science Industry'!M30+'Hort &amp; Nat Res'!M16+'Plant Pathology'!M12</f>
        <v>79</v>
      </c>
      <c r="N14" s="1111">
        <f>'Dean AG'!N23+'Dean AG'!N24+'Dean AG'!N25+'Dean AG'!N26+'Ag Economics '!N22+'Ag Economics '!N15+Agronomy!N16+'Animal Sciences Industry'!N16+'Animal Sciences Industry'!N17+'Animal Sciences Industry'!N29+Entomolgy!N13+'Grain Science Industry'!N19+'Grain Science Industry'!N24+'Grain Science Industry'!N29+'Grain Science Industry'!N30+'Hort &amp; Nat Res'!N16+'Plant Pathology'!N12</f>
        <v>171</v>
      </c>
      <c r="O14" s="1112">
        <f>'Dean AG'!O23+'Dean AG'!O24+'Dean AG'!O25+'Dean AG'!O26+'Ag Economics '!O22+'Ag Economics '!O15+Agronomy!O16+'Animal Sciences Industry'!O16+'Animal Sciences Industry'!O17+'Animal Sciences Industry'!O29+Entomolgy!O13+'Grain Science Industry'!O19+'Grain Science Industry'!O24+'Grain Science Industry'!O29+'Grain Science Industry'!O30+'Hort &amp; Nat Res'!O16+'Plant Pathology'!O12</f>
        <v>78</v>
      </c>
      <c r="P14" s="1111">
        <f>'Dean AG'!P23+'Dean AG'!P24+'Dean AG'!P25+'Dean AG'!P26+'Ag Economics '!P22+'Ag Economics '!P15+Agronomy!P16+'Animal Sciences Industry'!P16+'Animal Sciences Industry'!P17+'Animal Sciences Industry'!P29+Entomolgy!P13+'Grain Science Industry'!P19+'Grain Science Industry'!P24+'Grain Science Industry'!P29+'Grain Science Industry'!P30+'Hort &amp; Nat Res'!P16+'Plant Pathology'!P12</f>
        <v>232</v>
      </c>
      <c r="Q14" s="1112">
        <f>'Dean AG'!Q23+'Dean AG'!Q24+'Dean AG'!Q25+'Dean AG'!Q26+'Ag Economics '!Q22+'Ag Economics '!Q15+Agronomy!Q16+'Animal Sciences Industry'!Q16+'Animal Sciences Industry'!Q17+'Animal Sciences Industry'!Q29+Entomolgy!Q13+'Grain Science Industry'!Q19+'Grain Science Industry'!Q24+'Grain Science Industry'!Q29+'Grain Science Industry'!Q30+'Hort &amp; Nat Res'!Q16+'Plant Pathology'!Q12</f>
        <v>102</v>
      </c>
      <c r="R14" s="1111">
        <f>'Dean AG'!R23+'Dean AG'!R24+'Dean AG'!R25+'Dean AG'!R26+'Ag Economics '!R22+'Ag Economics '!R15+Agronomy!R16+'Animal Sciences Industry'!R16+'Animal Sciences Industry'!R17+'Animal Sciences Industry'!R29+Entomolgy!R13+'Grain Science Industry'!R19+'Grain Science Industry'!R24+'Grain Science Industry'!R29+'Grain Science Industry'!R30+'Hort &amp; Nat Res'!R16+'Plant Pathology'!R12</f>
        <v>248</v>
      </c>
      <c r="S14" s="1112">
        <f>'Dean AG'!S23+'Dean AG'!S24+'Dean AG'!S25+'Dean AG'!S26+'Ag Economics '!S22+'Ag Economics '!S15+Agronomy!S16+'Animal Sciences Industry'!S16+'Animal Sciences Industry'!S17+'Animal Sciences Industry'!S29+Entomolgy!S13+'Grain Science Industry'!S19+'Grain Science Industry'!S24+'Grain Science Industry'!S29+'Grain Science Industry'!S30+'Hort &amp; Nat Res'!S16+'Plant Pathology'!S12</f>
        <v>102</v>
      </c>
      <c r="T14" s="1284">
        <f>'Dean AG'!T23+'Dean AG'!T24+'Dean AG'!T25+'Dean AG'!T26+'Ag Economics '!T22+'Ag Economics '!T15+Agronomy!T16+'Animal Sciences Industry'!T16+'Animal Sciences Industry'!T17+'Animal Sciences Industry'!T29+Entomolgy!T13+'Grain Science Industry'!T19+'Grain Science Industry'!T24+'Grain Science Industry'!T29+'Grain Science Industry'!T30+'Hort &amp; Nat Res'!T16+'Plant Pathology'!T12</f>
        <v>234</v>
      </c>
      <c r="U14" s="1183"/>
    </row>
    <row r="15" spans="1:23" x14ac:dyDescent="0.2">
      <c r="A15" s="1104" t="s">
        <v>242</v>
      </c>
      <c r="B15" s="1111">
        <f>'Animal Sciences Industry'!B18+'Animal Sciences Industry'!B19+'Animal Sciences Industry'!B20+'Animal Sciences Industry'!B21+'Animal Sciences Industry'!B22</f>
        <v>68</v>
      </c>
      <c r="C15" s="1112">
        <f>'Animal Sciences Industry'!C18+'Animal Sciences Industry'!C19+'Animal Sciences Industry'!C20+'Animal Sciences Industry'!C21+'Animal Sciences Industry'!C22</f>
        <v>0</v>
      </c>
      <c r="D15" s="1111">
        <f>'Animal Sciences Industry'!D18+'Animal Sciences Industry'!D19+'Animal Sciences Industry'!D20+'Animal Sciences Industry'!D21+'Animal Sciences Industry'!D22</f>
        <v>56</v>
      </c>
      <c r="E15" s="1112">
        <f>'Animal Sciences Industry'!E18+'Animal Sciences Industry'!E19+'Animal Sciences Industry'!E20+'Animal Sciences Industry'!E21+'Animal Sciences Industry'!E22</f>
        <v>12</v>
      </c>
      <c r="F15" s="1111">
        <f>'Animal Sciences Industry'!F18+'Animal Sciences Industry'!F19+'Animal Sciences Industry'!F20+'Animal Sciences Industry'!F21+'Animal Sciences Industry'!F22</f>
        <v>68</v>
      </c>
      <c r="G15" s="1112">
        <f>'Animal Sciences Industry'!G18+'Animal Sciences Industry'!G19+'Animal Sciences Industry'!G20+'Animal Sciences Industry'!G21+'Animal Sciences Industry'!G22</f>
        <v>10</v>
      </c>
      <c r="H15" s="1111">
        <f>'Animal Sciences Industry'!H18+'Animal Sciences Industry'!H19+'Animal Sciences Industry'!H20+'Animal Sciences Industry'!H21+'Animal Sciences Industry'!H22</f>
        <v>74</v>
      </c>
      <c r="I15" s="1112">
        <f>'Animal Sciences Industry'!I18+'Animal Sciences Industry'!I19+'Animal Sciences Industry'!I20+'Animal Sciences Industry'!I21+'Animal Sciences Industry'!I22</f>
        <v>1</v>
      </c>
      <c r="J15" s="1111">
        <f>'Animal Sciences Industry'!J18+'Animal Sciences Industry'!J19+'Animal Sciences Industry'!J20+'Animal Sciences Industry'!J21+'Animal Sciences Industry'!J22</f>
        <v>76</v>
      </c>
      <c r="K15" s="1112">
        <f>'Animal Sciences Industry'!K18+'Animal Sciences Industry'!K19+'Animal Sciences Industry'!K20+'Animal Sciences Industry'!K21+'Animal Sciences Industry'!K22</f>
        <v>11</v>
      </c>
      <c r="L15" s="1111">
        <f>'Animal Sciences Industry'!L18+'Animal Sciences Industry'!L19+'Animal Sciences Industry'!L20+'Animal Sciences Industry'!L21+'Animal Sciences Industry'!L22</f>
        <v>80</v>
      </c>
      <c r="M15" s="1112">
        <f>'Animal Sciences Industry'!M18+'Animal Sciences Industry'!M19+'Animal Sciences Industry'!M20+'Animal Sciences Industry'!M21+'Animal Sciences Industry'!M22</f>
        <v>15</v>
      </c>
      <c r="N15" s="1111">
        <f>'Animal Sciences Industry'!N18+'Animal Sciences Industry'!N19+'Animal Sciences Industry'!N20+'Animal Sciences Industry'!N21+'Animal Sciences Industry'!N22</f>
        <v>97</v>
      </c>
      <c r="O15" s="1112">
        <f>'Animal Sciences Industry'!O18+'Animal Sciences Industry'!O19+'Animal Sciences Industry'!O20+'Animal Sciences Industry'!O21+'Animal Sciences Industry'!O22</f>
        <v>13</v>
      </c>
      <c r="P15" s="1111">
        <f>'Animal Sciences Industry'!P18+'Animal Sciences Industry'!P19+'Animal Sciences Industry'!P20+'Animal Sciences Industry'!P21+'Animal Sciences Industry'!P22</f>
        <v>117</v>
      </c>
      <c r="Q15" s="1112">
        <f>'Animal Sciences Industry'!Q18+'Animal Sciences Industry'!Q19+'Animal Sciences Industry'!Q20+'Animal Sciences Industry'!Q21+'Animal Sciences Industry'!Q22</f>
        <v>28</v>
      </c>
      <c r="R15" s="1111">
        <f>'Animal Sciences Industry'!R18+'Animal Sciences Industry'!R19+'Animal Sciences Industry'!R20+'Animal Sciences Industry'!R21+'Animal Sciences Industry'!R22</f>
        <v>154</v>
      </c>
      <c r="S15" s="1112">
        <f>'Animal Sciences Industry'!S18+'Animal Sciences Industry'!S19+'Animal Sciences Industry'!S20+'Animal Sciences Industry'!S21+'Animal Sciences Industry'!S22</f>
        <v>16</v>
      </c>
      <c r="T15" s="1284">
        <f>'Animal Sciences Industry'!T18+'Animal Sciences Industry'!T19+'Animal Sciences Industry'!T20+'Animal Sciences Industry'!T21+'Animal Sciences Industry'!T22</f>
        <v>144</v>
      </c>
      <c r="U15" s="1183"/>
    </row>
    <row r="16" spans="1:23" x14ac:dyDescent="0.2">
      <c r="A16" s="1104" t="s">
        <v>243</v>
      </c>
      <c r="B16" s="1111">
        <f>'Dean AG'!B17+'Dean AG'!B20+'Ag Economics '!B16+'Ag Economics '!B23+Agronomy!B17+'Animal Sciences Industry'!B23+'Comm Ag Education'!B20+Entomolgy!B14+'Hort &amp; Nat Res'!B17+'Plant Pathology'!B13+'Grain Science Industry'!B13</f>
        <v>291</v>
      </c>
      <c r="C16" s="1112">
        <f>'Dean AG'!C17+'Dean AG'!C20+'Ag Economics '!C16+'Ag Economics '!C23+Agronomy!C17+'Animal Sciences Industry'!C23+'Comm Ag Education'!C20+Entomolgy!C14+'Hort &amp; Nat Res'!C17+'Plant Pathology'!C13+'Grain Science Industry'!C13</f>
        <v>87</v>
      </c>
      <c r="D16" s="1111">
        <f>'Dean AG'!D17+'Dean AG'!D20+'Ag Economics '!D16+'Ag Economics '!D23+Agronomy!D17+'Animal Sciences Industry'!D23+'Comm Ag Education'!D20+Entomolgy!D14+'Hort &amp; Nat Res'!D17+'Plant Pathology'!D13+'Grain Science Industry'!D13</f>
        <v>311</v>
      </c>
      <c r="E16" s="1112">
        <f>'Dean AG'!E17+'Dean AG'!E20+'Ag Economics '!E16+'Ag Economics '!E23+Agronomy!E17+'Animal Sciences Industry'!E23+'Comm Ag Education'!E20+Entomolgy!E14+'Hort &amp; Nat Res'!E17+'Plant Pathology'!E13+'Grain Science Industry'!E13</f>
        <v>91</v>
      </c>
      <c r="F16" s="1111">
        <f>'Dean AG'!F17+'Dean AG'!F20+'Ag Economics '!F16+'Ag Economics '!F23+Agronomy!F17+'Animal Sciences Industry'!F23+'Comm Ag Education'!F20+Entomolgy!F14+'Hort &amp; Nat Res'!F17+'Plant Pathology'!F13+'Grain Science Industry'!F13</f>
        <v>336</v>
      </c>
      <c r="G16" s="1112">
        <f>'Dean AG'!G17+'Dean AG'!G20+'Ag Economics '!G16+'Ag Economics '!G23+Agronomy!G17+'Animal Sciences Industry'!G23+'Comm Ag Education'!G20+Entomolgy!G14+'Hort &amp; Nat Res'!G17+'Plant Pathology'!G13+'Grain Science Industry'!G13</f>
        <v>105</v>
      </c>
      <c r="H16" s="1111">
        <f>'Dean AG'!H17+'Dean AG'!H20+'Ag Economics '!H16+'Ag Economics '!H23+Agronomy!H17+'Animal Sciences Industry'!H23+'Comm Ag Education'!H20+Entomolgy!H14+'Hort &amp; Nat Res'!H17+'Plant Pathology'!H13+'Grain Science Industry'!H13</f>
        <v>304</v>
      </c>
      <c r="I16" s="1112">
        <f>'Dean AG'!I17+'Dean AG'!I20+'Ag Economics '!I16+'Ag Economics '!I23+Agronomy!I17+'Animal Sciences Industry'!I23+'Comm Ag Education'!I20+Entomolgy!I14+'Hort &amp; Nat Res'!I17+'Plant Pathology'!I13+'Grain Science Industry'!I13</f>
        <v>103</v>
      </c>
      <c r="J16" s="1111">
        <f>'Dean AG'!J17+'Dean AG'!J20+'Ag Economics '!J16+'Ag Economics '!J23+Agronomy!J17+'Animal Sciences Industry'!J23+'Comm Ag Education'!J20+Entomolgy!J14+'Hort &amp; Nat Res'!J17+'Plant Pathology'!J13+'Grain Science Industry'!J13</f>
        <v>326</v>
      </c>
      <c r="K16" s="1112">
        <f>'Dean AG'!K17+'Dean AG'!K20+'Ag Economics '!K16+'Ag Economics '!K23+Agronomy!K17+'Animal Sciences Industry'!K23+'Comm Ag Education'!K20+Entomolgy!K14+'Hort &amp; Nat Res'!K17+'Plant Pathology'!K13+'Grain Science Industry'!K13</f>
        <v>101</v>
      </c>
      <c r="L16" s="1111">
        <f>'Dean AG'!L17+'Dean AG'!L20+'Ag Economics '!L16+'Ag Economics '!L23+Agronomy!L17+'Animal Sciences Industry'!L23+'Comm Ag Education'!L20+Entomolgy!L14+'Hort &amp; Nat Res'!L17+'Plant Pathology'!L13+'Grain Science Industry'!L13</f>
        <v>331</v>
      </c>
      <c r="M16" s="1112">
        <f>'Dean AG'!M17+'Dean AG'!M20+'Ag Economics '!M16+'Ag Economics '!M23+Agronomy!M17+'Animal Sciences Industry'!M23+'Comm Ag Education'!M20+Entomolgy!M14+'Hort &amp; Nat Res'!M17+'Plant Pathology'!M13+'Grain Science Industry'!M13</f>
        <v>96</v>
      </c>
      <c r="N16" s="1111">
        <f>'Dean AG'!N17+'Dean AG'!N20+'Ag Economics '!N16+'Ag Economics '!N23+Agronomy!N17+'Animal Sciences Industry'!N23+'Comm Ag Education'!N20+Entomolgy!N14+'Hort &amp; Nat Res'!N17+'Plant Pathology'!N13+'Grain Science Industry'!N13</f>
        <v>377</v>
      </c>
      <c r="O16" s="1112">
        <f>'Dean AG'!O17+'Dean AG'!O20+'Ag Economics '!O16+'Ag Economics '!O23+Agronomy!O17+'Animal Sciences Industry'!O23+'Comm Ag Education'!O20+Entomolgy!O14+'Hort &amp; Nat Res'!O17+'Plant Pathology'!O13+'Grain Science Industry'!O13</f>
        <v>111</v>
      </c>
      <c r="P16" s="1111">
        <f>'Dean AG'!P17+'Dean AG'!P20+'Ag Economics '!P16+'Ag Economics '!P23+Agronomy!P17+'Animal Sciences Industry'!P23+'Comm Ag Education'!P20+Entomolgy!P14+'Hort &amp; Nat Res'!P17+'Plant Pathology'!P13+'Grain Science Industry'!P13</f>
        <v>392</v>
      </c>
      <c r="Q16" s="1112">
        <f>'Dean AG'!Q17+'Dean AG'!Q20+'Ag Economics '!Q16+'Ag Economics '!Q23+Agronomy!Q17+'Animal Sciences Industry'!Q23+'Comm Ag Education'!Q20+Entomolgy!Q14+'Hort &amp; Nat Res'!Q17+'Plant Pathology'!Q13+'Grain Science Industry'!Q13</f>
        <v>112</v>
      </c>
      <c r="R16" s="1111">
        <f>'Dean AG'!R17+'Dean AG'!R20+'Ag Economics '!R16+'Ag Economics '!R23+Agronomy!R17+'Animal Sciences Industry'!R23+'Comm Ag Education'!R20+Entomolgy!R14+'Hort &amp; Nat Res'!R17+'Plant Pathology'!R13+'Grain Science Industry'!R13</f>
        <v>374</v>
      </c>
      <c r="S16" s="1112">
        <f>'Dean AG'!S17+'Dean AG'!S20+'Ag Economics '!S16+'Ag Economics '!S23+Agronomy!S17+'Animal Sciences Industry'!S23+'Comm Ag Education'!S20+Entomolgy!S14+'Hort &amp; Nat Res'!S17+'Plant Pathology'!S13+'Grain Science Industry'!S13</f>
        <v>127</v>
      </c>
      <c r="T16" s="1284">
        <f>'Dean AG'!T17+'Dean AG'!T20+'Ag Economics '!T16+'Ag Economics '!T23+Agronomy!T17+'Animal Sciences Industry'!T23+'Comm Ag Education'!T20+Entomolgy!T14+'Hort &amp; Nat Res'!T17+'Plant Pathology'!T13+'Grain Science Industry'!T13</f>
        <v>344</v>
      </c>
      <c r="U16" s="1183"/>
    </row>
    <row r="17" spans="1:21" x14ac:dyDescent="0.2">
      <c r="A17" s="1104" t="s">
        <v>131</v>
      </c>
      <c r="B17" s="1111">
        <f>'Dean AG'!B18+'Dean AG'!B21+'Ag Economics '!B17+Agronomy!B18+'Animal Sciences Industry'!B24+Entomolgy!B15+'Grain Science Industry'!B14+'Hort &amp; Nat Res'!B18+'Plant Pathology'!B14</f>
        <v>135</v>
      </c>
      <c r="C17" s="1112">
        <f>'Dean AG'!C18+'Dean AG'!C21+'Ag Economics '!C17+Agronomy!C18+'Animal Sciences Industry'!C24+Entomolgy!C15+'Grain Science Industry'!C14+'Hort &amp; Nat Res'!C18+'Plant Pathology'!C14</f>
        <v>32</v>
      </c>
      <c r="D17" s="1111">
        <f>'Dean AG'!D18+'Dean AG'!D21+'Ag Economics '!D17+Agronomy!D18+'Animal Sciences Industry'!D24+Entomolgy!D15+'Grain Science Industry'!D14+'Hort &amp; Nat Res'!D18+'Plant Pathology'!D14</f>
        <v>132</v>
      </c>
      <c r="E17" s="1112">
        <f>'Dean AG'!E18+'Dean AG'!E21+'Ag Economics '!E17+Agronomy!E18+'Animal Sciences Industry'!E24+Entomolgy!E15+'Grain Science Industry'!E14+'Hort &amp; Nat Res'!E18+'Plant Pathology'!E14</f>
        <v>24</v>
      </c>
      <c r="F17" s="1111">
        <f>'Dean AG'!F18+'Dean AG'!F21+'Ag Economics '!F17+Agronomy!F18+'Animal Sciences Industry'!F24+Entomolgy!F15+'Grain Science Industry'!F14+'Hort &amp; Nat Res'!F18+'Plant Pathology'!F14</f>
        <v>149</v>
      </c>
      <c r="G17" s="1112">
        <f>'Dean AG'!G18+'Dean AG'!G21+'Ag Economics '!G17+Agronomy!G18+'Animal Sciences Industry'!G24+Entomolgy!G15+'Grain Science Industry'!G14+'Hort &amp; Nat Res'!G18+'Plant Pathology'!G14</f>
        <v>19</v>
      </c>
      <c r="H17" s="1111">
        <f>'Dean AG'!H18+'Dean AG'!H21+'Ag Economics '!H17+Agronomy!H18+'Animal Sciences Industry'!H24+Entomolgy!H15+'Grain Science Industry'!H14+'Hort &amp; Nat Res'!H18+'Plant Pathology'!H14</f>
        <v>173</v>
      </c>
      <c r="I17" s="1112">
        <f>'Dean AG'!I18+'Dean AG'!I21+'Ag Economics '!I17+Agronomy!I18+'Animal Sciences Industry'!I24+Entomolgy!I15+'Grain Science Industry'!I14+'Hort &amp; Nat Res'!I18+'Plant Pathology'!I14</f>
        <v>32</v>
      </c>
      <c r="J17" s="1111">
        <f>'Dean AG'!J18+'Dean AG'!J21+'Ag Economics '!J17+Agronomy!J18+'Animal Sciences Industry'!J24+Entomolgy!J15+'Grain Science Industry'!J14+'Hort &amp; Nat Res'!J18+'Plant Pathology'!J14</f>
        <v>173</v>
      </c>
      <c r="K17" s="1112">
        <f>'Dean AG'!K18+'Dean AG'!K21+'Ag Economics '!K17+Agronomy!K18+'Animal Sciences Industry'!K24+Entomolgy!K15+'Grain Science Industry'!K14+'Hort &amp; Nat Res'!K18+'Plant Pathology'!K14</f>
        <v>29</v>
      </c>
      <c r="L17" s="1111">
        <f>'Dean AG'!L18+'Dean AG'!L21+'Ag Economics '!L17+Agronomy!L18+'Animal Sciences Industry'!L24+Entomolgy!L15+'Grain Science Industry'!L14+'Hort &amp; Nat Res'!L18+'Plant Pathology'!L14</f>
        <v>176</v>
      </c>
      <c r="M17" s="1112">
        <f>'Dean AG'!M18+'Dean AG'!M21+'Ag Economics '!M17+Agronomy!M18+'Animal Sciences Industry'!M24+Entomolgy!M15+'Grain Science Industry'!M14+'Hort &amp; Nat Res'!M18+'Plant Pathology'!M14</f>
        <v>31</v>
      </c>
      <c r="N17" s="1111">
        <f>'Dean AG'!N18+'Dean AG'!N21+'Ag Economics '!N17+Agronomy!N18+'Animal Sciences Industry'!N24+Entomolgy!N15+'Grain Science Industry'!N14+'Hort &amp; Nat Res'!N18+'Plant Pathology'!N14</f>
        <v>186</v>
      </c>
      <c r="O17" s="1112">
        <f>'Dean AG'!O18+'Dean AG'!O21+'Ag Economics '!O17+Agronomy!O18+'Animal Sciences Industry'!O24+Entomolgy!O15+'Grain Science Industry'!O14+'Hort &amp; Nat Res'!O18+'Plant Pathology'!O14</f>
        <v>25</v>
      </c>
      <c r="P17" s="1111">
        <f>'Dean AG'!P18+'Dean AG'!P21+'Ag Economics '!P17+Agronomy!P18+'Animal Sciences Industry'!P24+Entomolgy!P15+'Grain Science Industry'!P14+'Hort &amp; Nat Res'!P18+'Plant Pathology'!P14</f>
        <v>198</v>
      </c>
      <c r="Q17" s="1112">
        <f>'Dean AG'!Q18+'Dean AG'!Q21+'Ag Economics '!Q17+Agronomy!Q18+'Animal Sciences Industry'!Q24+Entomolgy!Q15+'Grain Science Industry'!Q14+'Hort &amp; Nat Res'!Q18+'Plant Pathology'!Q14</f>
        <v>33</v>
      </c>
      <c r="R17" s="1111">
        <f>'Dean AG'!R18+'Dean AG'!R21+'Ag Economics '!R17+Agronomy!R18+'Animal Sciences Industry'!R24+Entomolgy!R15+'Grain Science Industry'!R14+'Hort &amp; Nat Res'!R18+'Plant Pathology'!R14</f>
        <v>209</v>
      </c>
      <c r="S17" s="1112">
        <f>'Dean AG'!S18+'Dean AG'!S21+'Ag Economics '!S17+Agronomy!S18+'Animal Sciences Industry'!S24+Entomolgy!S15+'Grain Science Industry'!S14+'Hort &amp; Nat Res'!S18+'Plant Pathology'!S14</f>
        <v>38</v>
      </c>
      <c r="T17" s="1284">
        <f>'Dean AG'!T18+'Dean AG'!T21+'Ag Economics '!T17+Agronomy!T18+'Animal Sciences Industry'!T24+Entomolgy!T15+'Grain Science Industry'!T14+'Hort &amp; Nat Res'!T18+'Plant Pathology'!T14</f>
        <v>206</v>
      </c>
      <c r="U17" s="1183"/>
    </row>
    <row r="18" spans="1:21" x14ac:dyDescent="0.2">
      <c r="A18" s="1155" t="s">
        <v>248</v>
      </c>
      <c r="B18" s="1111">
        <f>'Dean AG'!B34</f>
        <v>0</v>
      </c>
      <c r="C18" s="1112">
        <f>'Dean AG'!C34</f>
        <v>0</v>
      </c>
      <c r="D18" s="1111">
        <f>'Dean AG'!D34</f>
        <v>40</v>
      </c>
      <c r="E18" s="1112" t="str">
        <f>'Dean AG'!E34</f>
        <v>xxxx</v>
      </c>
      <c r="F18" s="1111">
        <f>'Dean AG'!F34</f>
        <v>30</v>
      </c>
      <c r="G18" s="1112" t="str">
        <f>'Dean AG'!G34</f>
        <v>xxxx</v>
      </c>
      <c r="H18" s="1111">
        <f>'Dean AG'!H34</f>
        <v>22</v>
      </c>
      <c r="I18" s="1112" t="str">
        <f>'Dean AG'!I34</f>
        <v>xxxx</v>
      </c>
      <c r="J18" s="1111">
        <f>'Dean AG'!J34</f>
        <v>11</v>
      </c>
      <c r="K18" s="1112" t="str">
        <f>'Dean AG'!K34</f>
        <v>xxxx</v>
      </c>
      <c r="L18" s="1111">
        <f>'Dean AG'!L34</f>
        <v>16</v>
      </c>
      <c r="M18" s="1112" t="str">
        <f>'Dean AG'!M34</f>
        <v>xxxx</v>
      </c>
      <c r="N18" s="1111">
        <f>'Dean AG'!N34</f>
        <v>19</v>
      </c>
      <c r="O18" s="1112" t="str">
        <f>'Dean AG'!O34</f>
        <v>xxxx</v>
      </c>
      <c r="P18" s="1111">
        <f>'Dean AG'!P34</f>
        <v>21</v>
      </c>
      <c r="Q18" s="1112" t="str">
        <f>'Dean AG'!Q34</f>
        <v>xxxx</v>
      </c>
      <c r="R18" s="1111">
        <f>'Dean AG'!R34</f>
        <v>15</v>
      </c>
      <c r="S18" s="1112" t="str">
        <f>'Dean AG'!S34</f>
        <v>xxxx</v>
      </c>
      <c r="T18" s="1284">
        <f>'Dean AG'!T34</f>
        <v>18</v>
      </c>
      <c r="U18" s="1183"/>
    </row>
    <row r="19" spans="1:21" ht="13.5" thickBot="1" x14ac:dyDescent="0.25">
      <c r="A19" s="1105" t="s">
        <v>244</v>
      </c>
      <c r="B19" s="1111">
        <f>'Dean AG'!B28+'Dean AG'!B29+'Dean AG'!B31+'Dean AG'!B30+Agronomy!B20+'Animal Sciences Industry'!B31+Entomolgy!B16+'Hort &amp; Nat Res'!B19+'Hort &amp; Nat Res'!B21</f>
        <v>1</v>
      </c>
      <c r="C19" s="1112">
        <f>'Dean AG'!C28+'Dean AG'!C29+'Dean AG'!C31+'Dean AG'!C30+Agronomy!C20+'Animal Sciences Industry'!C31+Entomolgy!C16+'Hort &amp; Nat Res'!C19+'Hort &amp; Nat Res'!C21</f>
        <v>0</v>
      </c>
      <c r="D19" s="1111">
        <f>'Dean AG'!D28+'Dean AG'!D29+'Dean AG'!D31+'Dean AG'!D30+Agronomy!D20+'Animal Sciences Industry'!D31+Entomolgy!D16+'Hort &amp; Nat Res'!D19+'Hort &amp; Nat Res'!D21</f>
        <v>2</v>
      </c>
      <c r="E19" s="1112">
        <f>'Dean AG'!E28+'Dean AG'!E29+'Dean AG'!E31+'Dean AG'!E30+Agronomy!E20+'Animal Sciences Industry'!E31+Entomolgy!E16+'Hort &amp; Nat Res'!E19+'Hort &amp; Nat Res'!E21</f>
        <v>2</v>
      </c>
      <c r="F19" s="1111">
        <f>'Dean AG'!F28+'Dean AG'!F29+'Dean AG'!F31+'Dean AG'!F30+Agronomy!F20+'Animal Sciences Industry'!F31+Entomolgy!F16+'Hort &amp; Nat Res'!F19+'Hort &amp; Nat Res'!F21</f>
        <v>3</v>
      </c>
      <c r="G19" s="1112">
        <f>'Dean AG'!G28+'Dean AG'!G29+'Dean AG'!G31+'Dean AG'!G30+Agronomy!G20+'Animal Sciences Industry'!G31+Entomolgy!G16+'Hort &amp; Nat Res'!G19+'Hort &amp; Nat Res'!G21</f>
        <v>1</v>
      </c>
      <c r="H19" s="1111">
        <f>'Dean AG'!H28+'Dean AG'!H29+'Dean AG'!H31+'Dean AG'!H30+Agronomy!H20+'Animal Sciences Industry'!H31+Entomolgy!H16+'Hort &amp; Nat Res'!H19+'Hort &amp; Nat Res'!H21</f>
        <v>7</v>
      </c>
      <c r="I19" s="1112">
        <f>'Dean AG'!I28+'Dean AG'!I29+'Dean AG'!I31+'Dean AG'!I30+Agronomy!I20+'Animal Sciences Industry'!I31+Entomolgy!I16+'Hort &amp; Nat Res'!I19+'Hort &amp; Nat Res'!I21</f>
        <v>6</v>
      </c>
      <c r="J19" s="1111">
        <f>'Dean AG'!J28+'Dean AG'!J29+'Dean AG'!J31+'Dean AG'!J30+Agronomy!J20+'Animal Sciences Industry'!J31+Entomolgy!J16+'Hort &amp; Nat Res'!J19+'Hort &amp; Nat Res'!J21</f>
        <v>6</v>
      </c>
      <c r="K19" s="1112">
        <f>'Dean AG'!K28+'Dean AG'!K29+'Dean AG'!K31+'Dean AG'!K30+Agronomy!K20+'Animal Sciences Industry'!K31+Entomolgy!K16+'Hort &amp; Nat Res'!K19+'Hort &amp; Nat Res'!K21</f>
        <v>9</v>
      </c>
      <c r="L19" s="1111">
        <f>'Dean AG'!L29+'Dean AG'!L31+'Dean AG'!L30+Agronomy!L20+'Animal Sciences Industry'!L31+Entomolgy!L16+'Hort &amp; Nat Res'!L19+'Hort &amp; Nat Res'!L21</f>
        <v>18</v>
      </c>
      <c r="M19" s="1112">
        <f>'Dean AG'!M28+'Dean AG'!M29+'Dean AG'!M31+'Dean AG'!M30+Agronomy!M20+'Animal Sciences Industry'!M31+Entomolgy!M16+'Hort &amp; Nat Res'!M19+'Hort &amp; Nat Res'!M21</f>
        <v>10</v>
      </c>
      <c r="N19" s="1111">
        <f>'Dean AG'!N29+'Dean AG'!N31+'Dean AG'!N30+Agronomy!N20+'Animal Sciences Industry'!N31+Entomolgy!N16+'Hort &amp; Nat Res'!N19+'Hort &amp; Nat Res'!N21</f>
        <v>22</v>
      </c>
      <c r="O19" s="1112">
        <f>'Dean AG'!O28+'Dean AG'!O29+'Dean AG'!O31+'Dean AG'!O30+Agronomy!O20+'Animal Sciences Industry'!O31+Entomolgy!O16+'Hort &amp; Nat Res'!O19+'Hort &amp; Nat Res'!O21</f>
        <v>12</v>
      </c>
      <c r="P19" s="1111">
        <f>'Dean AG'!P29+'Dean AG'!P31+'Dean AG'!P30+Agronomy!P20+'Animal Sciences Industry'!P31+Entomolgy!P16+'Hort &amp; Nat Res'!P19+'Hort &amp; Nat Res'!P21</f>
        <v>18</v>
      </c>
      <c r="Q19" s="1112">
        <f>'Dean AG'!Q28+'Dean AG'!Q29+'Dean AG'!Q31+'Dean AG'!Q30+Agronomy!Q20+'Animal Sciences Industry'!Q31+Entomolgy!Q16+'Hort &amp; Nat Res'!Q19+'Hort &amp; Nat Res'!Q21</f>
        <v>10</v>
      </c>
      <c r="R19" s="1111">
        <f>'Dean AG'!R29+'Dean AG'!R31+'Dean AG'!R30+Agronomy!R20+'Animal Sciences Industry'!R31+Entomolgy!R16+'Hort &amp; Nat Res'!R19+'Hort &amp; Nat Res'!R21</f>
        <v>10</v>
      </c>
      <c r="S19" s="1112">
        <f>'Dean AG'!S28+'Dean AG'!S29+'Dean AG'!S31+'Dean AG'!S30+Agronomy!S20+'Animal Sciences Industry'!S31+Entomolgy!S16+'Hort &amp; Nat Res'!S19+'Hort &amp; Nat Res'!S21</f>
        <v>5</v>
      </c>
      <c r="T19" s="1284">
        <f>'Dean AG'!T29+'Dean AG'!T31+'Dean AG'!T30+Agronomy!T20+'Animal Sciences Industry'!T31+Entomolgy!T16+'Hort &amp; Nat Res'!T19+'Hort &amp; Nat Res'!T21</f>
        <v>14</v>
      </c>
      <c r="U19" s="1183"/>
    </row>
    <row r="20" spans="1:21" ht="14.25" thickTop="1" thickBot="1" x14ac:dyDescent="0.25">
      <c r="A20" s="32" t="s">
        <v>92</v>
      </c>
      <c r="B20" s="1098"/>
      <c r="C20" s="1100"/>
      <c r="D20" s="1098"/>
      <c r="E20" s="1100"/>
      <c r="F20" s="1098"/>
      <c r="G20" s="1100"/>
      <c r="H20" s="1098"/>
      <c r="I20" s="1100"/>
      <c r="J20" s="1098"/>
      <c r="K20" s="1100"/>
      <c r="L20" s="1098"/>
      <c r="M20" s="1100"/>
      <c r="N20" s="1098"/>
      <c r="O20" s="1100"/>
      <c r="P20" s="1098"/>
      <c r="Q20" s="1100"/>
      <c r="R20" s="1098"/>
      <c r="S20" s="1100"/>
      <c r="T20" s="1098"/>
      <c r="U20" s="1099"/>
    </row>
    <row r="21" spans="1:21" x14ac:dyDescent="0.2">
      <c r="A21" s="1078" t="s">
        <v>93</v>
      </c>
      <c r="B21" s="1139"/>
      <c r="C21" s="1140">
        <f>'Dean AG'!C36+'Ag Economics '!C25+Agronomy!C22+'Animal Sciences Industry'!C33+'Comm Ag Education'!C22+'Grain Science Industry'!C32+'Hort &amp; Nat Res'!C31</f>
        <v>0</v>
      </c>
      <c r="D21" s="1139"/>
      <c r="E21" s="1140">
        <f>'Dean AG'!E36+'Ag Economics '!E25+Agronomy!E22+'Animal Sciences Industry'!E33+'Comm Ag Education'!E22+'Grain Science Industry'!E32+'Hort &amp; Nat Res'!E31</f>
        <v>0</v>
      </c>
      <c r="F21" s="1139"/>
      <c r="G21" s="1140"/>
      <c r="H21" s="1139"/>
      <c r="I21" s="1140"/>
      <c r="J21" s="1139"/>
      <c r="K21" s="1140"/>
      <c r="L21" s="1139"/>
      <c r="M21" s="1140"/>
      <c r="N21" s="1139"/>
      <c r="O21" s="1140"/>
      <c r="P21" s="1139"/>
      <c r="Q21" s="1140"/>
      <c r="R21" s="1139"/>
      <c r="S21" s="1140"/>
      <c r="T21" s="1139"/>
      <c r="U21" s="1184"/>
    </row>
    <row r="22" spans="1:21" x14ac:dyDescent="0.2">
      <c r="A22" s="679" t="s">
        <v>94</v>
      </c>
      <c r="B22" s="1094"/>
      <c r="C22" s="1141">
        <v>0.72</v>
      </c>
      <c r="D22" s="1094"/>
      <c r="E22" s="1141">
        <v>0.72</v>
      </c>
      <c r="F22" s="1094"/>
      <c r="G22" s="1141">
        <v>0.2</v>
      </c>
      <c r="H22" s="1094"/>
      <c r="I22" s="1141">
        <v>0.74</v>
      </c>
      <c r="J22" s="1094"/>
      <c r="K22" s="1141">
        <v>0.76</v>
      </c>
      <c r="L22" s="1094"/>
      <c r="M22" s="1141">
        <v>0.69</v>
      </c>
      <c r="N22" s="1094"/>
      <c r="O22" s="1141">
        <v>0.75</v>
      </c>
      <c r="P22" s="1094"/>
      <c r="Q22" s="1141">
        <v>0.76</v>
      </c>
      <c r="R22" s="1094"/>
      <c r="S22" s="1141">
        <v>0.77</v>
      </c>
      <c r="T22" s="1094"/>
      <c r="U22" s="1185"/>
    </row>
    <row r="23" spans="1:21" x14ac:dyDescent="0.2">
      <c r="A23" s="685" t="s">
        <v>245</v>
      </c>
      <c r="B23" s="1094"/>
      <c r="C23" s="1124">
        <v>0.19</v>
      </c>
      <c r="D23" s="1094"/>
      <c r="E23" s="1124">
        <v>0.19</v>
      </c>
      <c r="F23" s="1094"/>
      <c r="G23" s="1124">
        <v>0.22</v>
      </c>
      <c r="H23" s="1094"/>
      <c r="I23" s="1124">
        <v>0.2</v>
      </c>
      <c r="J23" s="1094"/>
      <c r="K23" s="1124">
        <v>0.17</v>
      </c>
      <c r="L23" s="1094"/>
      <c r="M23" s="1124">
        <v>0.26</v>
      </c>
      <c r="N23" s="1094"/>
      <c r="O23" s="1124">
        <v>0.21</v>
      </c>
      <c r="P23" s="1094"/>
      <c r="Q23" s="1124">
        <v>0.2</v>
      </c>
      <c r="R23" s="1094"/>
      <c r="S23" s="1124">
        <v>0.19</v>
      </c>
      <c r="T23" s="1094"/>
      <c r="U23" s="1185"/>
    </row>
    <row r="24" spans="1:21" ht="13.5" thickBot="1" x14ac:dyDescent="0.25">
      <c r="A24" s="681" t="s">
        <v>96</v>
      </c>
      <c r="B24" s="1096"/>
      <c r="C24" s="1103"/>
      <c r="D24" s="1096"/>
      <c r="E24" s="1103"/>
      <c r="F24" s="1096"/>
      <c r="G24" s="1103"/>
      <c r="H24" s="1096"/>
      <c r="I24" s="1103"/>
      <c r="J24" s="1096"/>
      <c r="K24" s="1103"/>
      <c r="L24" s="1096"/>
      <c r="M24" s="1103"/>
      <c r="N24" s="1096"/>
      <c r="O24" s="1103"/>
      <c r="P24" s="1096"/>
      <c r="Q24" s="1103"/>
      <c r="R24" s="1096"/>
      <c r="S24" s="1103"/>
      <c r="T24" s="1096"/>
      <c r="U24" s="1186"/>
    </row>
    <row r="25" spans="1:21" ht="14.25" thickTop="1" thickBot="1" x14ac:dyDescent="0.25">
      <c r="A25" s="39" t="s">
        <v>17</v>
      </c>
      <c r="B25" s="1098"/>
      <c r="C25" s="1100"/>
      <c r="D25" s="1098"/>
      <c r="E25" s="1100"/>
      <c r="F25" s="1098"/>
      <c r="G25" s="1100"/>
      <c r="H25" s="1098"/>
      <c r="I25" s="1100"/>
      <c r="J25" s="1098"/>
      <c r="K25" s="1100"/>
      <c r="L25" s="1098"/>
      <c r="M25" s="1100"/>
      <c r="N25" s="1098"/>
      <c r="O25" s="1100"/>
      <c r="P25" s="1098"/>
      <c r="Q25" s="1100"/>
      <c r="R25" s="1098"/>
      <c r="S25" s="1100"/>
      <c r="T25" s="1098"/>
      <c r="U25" s="1278"/>
    </row>
    <row r="26" spans="1:21" x14ac:dyDescent="0.2">
      <c r="A26" s="1106" t="s">
        <v>18</v>
      </c>
      <c r="B26" s="1125"/>
      <c r="C26" s="1138">
        <f>'Dean AG'!C49+'Ag Economics '!C35+Agronomy!C29+'Animal Sciences Industry'!C43+'Comm Ag Education'!C31+Entomolgy!C20+'Grain Science Industry'!C45+'Hort &amp; Nat Res'!C44+'Plant Pathology'!C19</f>
        <v>7707</v>
      </c>
      <c r="D26" s="1125"/>
      <c r="E26" s="1138">
        <f>'Dean AG'!E49+'Ag Economics '!E35+Agronomy!E29+'Animal Sciences Industry'!E43+'Comm Ag Education'!E31+Entomolgy!E20+'Grain Science Industry'!E45+'Hort &amp; Nat Res'!E44+'Plant Pathology'!E19</f>
        <v>8029</v>
      </c>
      <c r="F26" s="1125"/>
      <c r="G26" s="1138">
        <f>'Dean AG'!G49+'Ag Economics '!G35+Agronomy!G29+'Animal Sciences Industry'!G43+'Comm Ag Education'!G31+Entomolgy!G20+'Grain Science Industry'!G45+'Hort &amp; Nat Res'!G44+'Plant Pathology'!G19</f>
        <v>8397</v>
      </c>
      <c r="H26" s="1125"/>
      <c r="I26" s="1138">
        <f>'Dean AG'!I49+'Ag Economics '!I35+Agronomy!I29+'Animal Sciences Industry'!I43+'Comm Ag Education'!I31+Entomolgy!I20+'Grain Science Industry'!I45+'Hort &amp; Nat Res'!I44+'Plant Pathology'!I19</f>
        <v>9563</v>
      </c>
      <c r="J26" s="1125"/>
      <c r="K26" s="1138">
        <f>'Dean AG'!K49+'Ag Economics '!K35+Agronomy!K29+'Animal Sciences Industry'!K43+'Comm Ag Education'!K31+Entomolgy!K20+'Grain Science Industry'!K45+'Hort &amp; Nat Res'!K44+'Plant Pathology'!K19</f>
        <v>10218</v>
      </c>
      <c r="L26" s="1125"/>
      <c r="M26" s="1138">
        <f>'Dean AG'!M49+'Ag Economics '!M35+Agronomy!M29+'Animal Sciences Industry'!M43+'Comm Ag Education'!M31+Entomolgy!M20+'Grain Science Industry'!M45+'Hort &amp; Nat Res'!M44+'Plant Pathology'!M19</f>
        <v>10167</v>
      </c>
      <c r="N26" s="1125"/>
      <c r="O26" s="1138">
        <f>'Dean AG'!O49+'Ag Economics '!O35+Agronomy!O29+'Animal Sciences Industry'!O43+'Comm Ag Education'!O31+Entomolgy!O20+'Grain Science Industry'!O45+'Hort &amp; Nat Res'!O44+'Plant Pathology'!O19</f>
        <v>10281</v>
      </c>
      <c r="P26" s="1125"/>
      <c r="Q26" s="1138">
        <f>'Dean AG'!Q49+'Ag Economics '!Q35+Agronomy!Q29+'Animal Sciences Industry'!Q43+'Comm Ag Education'!Q31+Entomolgy!Q20+'Grain Science Industry'!Q45+'Hort &amp; Nat Res'!Q44+'Plant Pathology'!Q19</f>
        <v>10389</v>
      </c>
      <c r="R26" s="1125"/>
      <c r="S26" s="1138">
        <f>'Dean AG'!S49+'Ag Economics '!S35+Agronomy!S29+'Animal Sciences Industry'!S43+'Comm Ag Education'!S31+Entomolgy!S20+'Grain Science Industry'!S45+'Hort &amp; Nat Res'!S44+'Plant Pathology'!S19</f>
        <v>10788</v>
      </c>
      <c r="T26" s="1156"/>
      <c r="U26" s="1287">
        <f>'Dean AG'!U49+'Ag Economics '!U35+Agronomy!U29+'Animal Sciences Industry'!U43+'Comm Ag Education'!U31+Entomolgy!U20+'Grain Science Industry'!U45+'Hort &amp; Nat Res'!U44+'Plant Pathology'!U19</f>
        <v>10309</v>
      </c>
    </row>
    <row r="27" spans="1:21" x14ac:dyDescent="0.2">
      <c r="A27" s="1106" t="s">
        <v>19</v>
      </c>
      <c r="B27" s="1094"/>
      <c r="C27" s="1115">
        <f>'Dean AG'!C50+'Ag Economics '!C36+Agronomy!C30+'Animal Sciences Industry'!C44+'Comm Ag Education'!C32+Entomolgy!C21+'Grain Science Industry'!C46+'Hort &amp; Nat Res'!C45+'Plant Pathology'!C20</f>
        <v>22737</v>
      </c>
      <c r="D27" s="1094"/>
      <c r="E27" s="1115">
        <f>'Dean AG'!E50+'Ag Economics '!E36+Agronomy!E30+'Animal Sciences Industry'!E44+'Comm Ag Education'!E32+Entomolgy!E21+'Grain Science Industry'!E46+'Hort &amp; Nat Res'!E45+'Plant Pathology'!E20</f>
        <v>21916</v>
      </c>
      <c r="F27" s="1094"/>
      <c r="G27" s="1115">
        <f>'Dean AG'!G50+'Ag Economics '!G36+Agronomy!G30+'Animal Sciences Industry'!G44+'Comm Ag Education'!G32+Entomolgy!G21+'Grain Science Industry'!G46+'Hort &amp; Nat Res'!G45+'Plant Pathology'!G20</f>
        <v>23162</v>
      </c>
      <c r="H27" s="1094"/>
      <c r="I27" s="1115">
        <f>'Dean AG'!I50+'Ag Economics '!I36+Agronomy!I30+'Animal Sciences Industry'!I44+'Comm Ag Education'!I32+Entomolgy!I21+'Grain Science Industry'!I46+'Hort &amp; Nat Res'!I45+'Plant Pathology'!I20</f>
        <v>24108</v>
      </c>
      <c r="J27" s="1094"/>
      <c r="K27" s="1115">
        <f>'Dean AG'!K50+'Ag Economics '!K36+Agronomy!K30+'Animal Sciences Industry'!K44+'Comm Ag Education'!K32+Entomolgy!K21+'Grain Science Industry'!K46+'Hort &amp; Nat Res'!K45+'Plant Pathology'!K20</f>
        <v>26343</v>
      </c>
      <c r="L27" s="1094"/>
      <c r="M27" s="1115">
        <f>'Dean AG'!M50+'Ag Economics '!M36+Agronomy!M30+'Animal Sciences Industry'!M44+'Comm Ag Education'!M32+Entomolgy!M21+'Grain Science Industry'!M46+'Hort &amp; Nat Res'!M45+'Plant Pathology'!M20</f>
        <v>28092</v>
      </c>
      <c r="N27" s="1094"/>
      <c r="O27" s="1115">
        <f>'Dean AG'!O50+'Ag Economics '!O36+Agronomy!O30+'Animal Sciences Industry'!O44+'Comm Ag Education'!O32+Entomolgy!O21+'Grain Science Industry'!O46+'Hort &amp; Nat Res'!O45+'Plant Pathology'!O20</f>
        <v>29255</v>
      </c>
      <c r="P27" s="1094"/>
      <c r="Q27" s="1115">
        <f>'Dean AG'!Q50+'Ag Economics '!Q36+Agronomy!Q30+'Animal Sciences Industry'!Q44+'Comm Ag Education'!Q32+Entomolgy!Q21+'Grain Science Industry'!Q46+'Hort &amp; Nat Res'!Q45+'Plant Pathology'!Q20</f>
        <v>31176</v>
      </c>
      <c r="R27" s="1094"/>
      <c r="S27" s="1115">
        <f>'Dean AG'!S50+'Ag Economics '!S36+Agronomy!S30+'Animal Sciences Industry'!S44+'Comm Ag Education'!S32+Entomolgy!S21+'Grain Science Industry'!S46+'Hort &amp; Nat Res'!S45+'Plant Pathology'!S20</f>
        <v>30585</v>
      </c>
      <c r="T27" s="1094"/>
      <c r="U27" s="1288">
        <f>'Dean AG'!U50+'Ag Economics '!U36+Agronomy!U30+'Animal Sciences Industry'!U44+'Comm Ag Education'!U32+Entomolgy!U21+'Grain Science Industry'!U46+'Hort &amp; Nat Res'!U45+'Plant Pathology'!U20</f>
        <v>31034</v>
      </c>
    </row>
    <row r="28" spans="1:21" x14ac:dyDescent="0.2">
      <c r="A28" s="1106" t="s">
        <v>20</v>
      </c>
      <c r="B28" s="1094"/>
      <c r="C28" s="1115">
        <f>'Dean AG'!C51+'Ag Economics '!C37+Agronomy!C31+'Animal Sciences Industry'!C45+'Comm Ag Education'!C33+Entomolgy!C22+'Grain Science Industry'!C47+'Hort &amp; Nat Res'!C46+'Plant Pathology'!C21</f>
        <v>3277</v>
      </c>
      <c r="D28" s="1094"/>
      <c r="E28" s="1115">
        <f>'Dean AG'!E51+'Ag Economics '!E37+Agronomy!E31+'Animal Sciences Industry'!E45+'Comm Ag Education'!E33+Entomolgy!E22+'Grain Science Industry'!E47+'Hort &amp; Nat Res'!E46+'Plant Pathology'!E21</f>
        <v>3589</v>
      </c>
      <c r="F28" s="1094"/>
      <c r="G28" s="1115">
        <f>'Dean AG'!G51+'Ag Economics '!G37+Agronomy!G31+'Animal Sciences Industry'!G45+'Comm Ag Education'!G33+Entomolgy!G22+'Grain Science Industry'!G47+'Hort &amp; Nat Res'!G46+'Plant Pathology'!G21</f>
        <v>3821</v>
      </c>
      <c r="H28" s="1094"/>
      <c r="I28" s="1115">
        <f>'Dean AG'!I51+'Ag Economics '!I37+Agronomy!I31+'Animal Sciences Industry'!I45+'Comm Ag Education'!I33+Entomolgy!I22+'Grain Science Industry'!I47+'Hort &amp; Nat Res'!I46+'Plant Pathology'!I21</f>
        <v>3854</v>
      </c>
      <c r="J28" s="1094"/>
      <c r="K28" s="1115">
        <f>'Dean AG'!K51+'Ag Economics '!K37+Agronomy!K31+'Animal Sciences Industry'!K45+'Comm Ag Education'!K33+Entomolgy!K22+'Grain Science Industry'!K47+'Hort &amp; Nat Res'!K46+'Plant Pathology'!K21</f>
        <v>4038</v>
      </c>
      <c r="L28" s="1094"/>
      <c r="M28" s="1115">
        <f>'Dean AG'!M51+'Ag Economics '!M37+Agronomy!M31+'Animal Sciences Industry'!M45+'Comm Ag Education'!M33+Entomolgy!M22+'Grain Science Industry'!M47+'Hort &amp; Nat Res'!M46+'Plant Pathology'!M21</f>
        <v>4071</v>
      </c>
      <c r="N28" s="1094"/>
      <c r="O28" s="1115">
        <f>'Dean AG'!O51+'Ag Economics '!O37+Agronomy!O31+'Animal Sciences Industry'!O45+'Comm Ag Education'!O33+Entomolgy!O22+'Grain Science Industry'!O47+'Hort &amp; Nat Res'!O46+'Plant Pathology'!O21</f>
        <v>4623</v>
      </c>
      <c r="P28" s="1094"/>
      <c r="Q28" s="1115">
        <f>'Dean AG'!Q51+'Ag Economics '!Q37+Agronomy!Q31+'Animal Sciences Industry'!Q45+'Comm Ag Education'!Q33+Entomolgy!Q22+'Grain Science Industry'!Q47+'Hort &amp; Nat Res'!Q46+'Plant Pathology'!Q21</f>
        <v>4720</v>
      </c>
      <c r="R28" s="1094"/>
      <c r="S28" s="1115">
        <f>'Dean AG'!S51+'Ag Economics '!S37+Agronomy!S31+'Animal Sciences Industry'!S45+'Comm Ag Education'!S33+Entomolgy!S22+'Grain Science Industry'!S47+'Hort &amp; Nat Res'!S46+'Plant Pathology'!S21</f>
        <v>4469</v>
      </c>
      <c r="T28" s="1094"/>
      <c r="U28" s="1288">
        <f>'Dean AG'!U51+'Ag Economics '!U37+Agronomy!U31+'Animal Sciences Industry'!U45+'Comm Ag Education'!U33+Entomolgy!U22+'Grain Science Industry'!U47+'Hort &amp; Nat Res'!U46+'Plant Pathology'!U21</f>
        <v>4459</v>
      </c>
    </row>
    <row r="29" spans="1:21" ht="13.5" thickBot="1" x14ac:dyDescent="0.25">
      <c r="A29" s="1143" t="s">
        <v>21</v>
      </c>
      <c r="B29" s="1097"/>
      <c r="C29" s="1142">
        <f>'Dean AG'!C52+'Ag Economics '!C38+Agronomy!C32+'Animal Sciences Industry'!C46+'Comm Ag Education'!C34+Entomolgy!C23+'Grain Science Industry'!C48+'Hort &amp; Nat Res'!C47+'Plant Pathology'!C22</f>
        <v>1539</v>
      </c>
      <c r="D29" s="1097"/>
      <c r="E29" s="1142">
        <f>'Dean AG'!E52+'Ag Economics '!E38+Agronomy!E32+'Animal Sciences Industry'!E46+'Comm Ag Education'!E34+Entomolgy!E23+'Grain Science Industry'!E48+'Hort &amp; Nat Res'!E47+'Plant Pathology'!E22</f>
        <v>1349</v>
      </c>
      <c r="F29" s="1097"/>
      <c r="G29" s="1142">
        <f>'Dean AG'!G52+'Ag Economics '!G38+Agronomy!G32+'Animal Sciences Industry'!G46+'Comm Ag Education'!G34+Entomolgy!G23+'Grain Science Industry'!G48+'Hort &amp; Nat Res'!G47+'Plant Pathology'!G22</f>
        <v>1754</v>
      </c>
      <c r="H29" s="1097"/>
      <c r="I29" s="1142">
        <f>'Dean AG'!I52+'Ag Economics '!I38+Agronomy!I32+'Animal Sciences Industry'!I46+'Comm Ag Education'!I34+Entomolgy!I23+'Grain Science Industry'!I48+'Hort &amp; Nat Res'!I47+'Plant Pathology'!I22</f>
        <v>1745</v>
      </c>
      <c r="J29" s="1097"/>
      <c r="K29" s="1142">
        <f>'Dean AG'!K52+'Ag Economics '!K38+Agronomy!K32+'Animal Sciences Industry'!K46+'Comm Ag Education'!K34+Entomolgy!K23+'Grain Science Industry'!K48+'Hort &amp; Nat Res'!K47+'Plant Pathology'!K22</f>
        <v>1853</v>
      </c>
      <c r="L29" s="1097"/>
      <c r="M29" s="1142">
        <f>'Dean AG'!M52+'Ag Economics '!M38+Agronomy!M32+'Animal Sciences Industry'!M46+'Comm Ag Education'!M34+Entomolgy!M23+'Grain Science Industry'!M48+'Hort &amp; Nat Res'!M47+'Plant Pathology'!M22</f>
        <v>1872</v>
      </c>
      <c r="N29" s="1097"/>
      <c r="O29" s="1142">
        <f>'Dean AG'!O52+'Ag Economics '!O38+Agronomy!O32+'Animal Sciences Industry'!O46+'Comm Ag Education'!O34+Entomolgy!O23+'Grain Science Industry'!O48+'Hort &amp; Nat Res'!O47+'Plant Pathology'!O22</f>
        <v>2053</v>
      </c>
      <c r="P29" s="1097"/>
      <c r="Q29" s="1142">
        <f>'Dean AG'!Q52+'Ag Economics '!Q38+Agronomy!Q32+'Animal Sciences Industry'!Q46+'Comm Ag Education'!Q34+Entomolgy!Q23+'Grain Science Industry'!Q48+'Hort &amp; Nat Res'!Q47+'Plant Pathology'!Q22</f>
        <v>2221</v>
      </c>
      <c r="R29" s="1097"/>
      <c r="S29" s="1142">
        <f>'Dean AG'!S52+'Ag Economics '!S38+Agronomy!S32+'Animal Sciences Industry'!S46+'Comm Ag Education'!S34+Entomolgy!S23+'Grain Science Industry'!S48+'Hort &amp; Nat Res'!S47+'Plant Pathology'!S22</f>
        <v>2193</v>
      </c>
      <c r="T29" s="1157"/>
      <c r="U29" s="1289">
        <f>'Dean AG'!U52+'Ag Economics '!U38+Agronomy!U32+'Animal Sciences Industry'!U46+'Comm Ag Education'!U34+Entomolgy!U23+'Grain Science Industry'!U48+'Hort &amp; Nat Res'!U47+'Plant Pathology'!U22</f>
        <v>2024</v>
      </c>
    </row>
    <row r="30" spans="1:21" ht="13.5" thickBot="1" x14ac:dyDescent="0.25">
      <c r="A30" s="1144" t="s">
        <v>22</v>
      </c>
      <c r="B30" s="1145"/>
      <c r="C30" s="1146">
        <f>SUM(C26:C29)</f>
        <v>35260</v>
      </c>
      <c r="D30" s="1145"/>
      <c r="E30" s="1146">
        <f>SUM(E26:E29)</f>
        <v>34883</v>
      </c>
      <c r="F30" s="1145"/>
      <c r="G30" s="1146">
        <f>SUM(G26:G29)</f>
        <v>37134</v>
      </c>
      <c r="H30" s="1145"/>
      <c r="I30" s="1146">
        <f>SUM(I26:I29)</f>
        <v>39270</v>
      </c>
      <c r="J30" s="1145"/>
      <c r="K30" s="1146">
        <f>SUM(K26:K29)</f>
        <v>42452</v>
      </c>
      <c r="L30" s="1145"/>
      <c r="M30" s="1146">
        <f>SUM(M26:M29)</f>
        <v>44202</v>
      </c>
      <c r="N30" s="1145"/>
      <c r="O30" s="1146">
        <f>SUM(O26:O29)</f>
        <v>46212</v>
      </c>
      <c r="P30" s="1145"/>
      <c r="Q30" s="1146">
        <f>SUM(Q26:Q29)</f>
        <v>48506</v>
      </c>
      <c r="R30" s="1145"/>
      <c r="S30" s="1146">
        <f>SUM(S26:S29)</f>
        <v>48035</v>
      </c>
      <c r="T30" s="1145"/>
      <c r="U30" s="1290">
        <f>SUM(U26:U29)</f>
        <v>47826</v>
      </c>
    </row>
    <row r="31" spans="1:21" ht="14.25" thickTop="1" thickBot="1" x14ac:dyDescent="0.25">
      <c r="A31" s="24"/>
      <c r="T31" s="41"/>
      <c r="U31" s="1080"/>
    </row>
    <row r="32" spans="1:21" ht="14.25" thickTop="1" thickBot="1" x14ac:dyDescent="0.25">
      <c r="A32" s="399" t="s">
        <v>37</v>
      </c>
      <c r="B32" s="846"/>
      <c r="C32" s="983"/>
      <c r="D32" s="846" t="s">
        <v>36</v>
      </c>
      <c r="E32" s="983" t="s">
        <v>38</v>
      </c>
      <c r="F32" s="982" t="s">
        <v>36</v>
      </c>
      <c r="G32" s="845" t="s">
        <v>38</v>
      </c>
      <c r="H32" s="846" t="s">
        <v>36</v>
      </c>
      <c r="I32" s="983" t="s">
        <v>38</v>
      </c>
      <c r="J32" s="982" t="s">
        <v>36</v>
      </c>
      <c r="K32" s="845" t="s">
        <v>38</v>
      </c>
      <c r="L32" s="846" t="s">
        <v>36</v>
      </c>
      <c r="M32" s="983" t="s">
        <v>38</v>
      </c>
      <c r="N32" s="982" t="s">
        <v>36</v>
      </c>
      <c r="O32" s="845" t="s">
        <v>38</v>
      </c>
      <c r="P32" s="846" t="s">
        <v>36</v>
      </c>
      <c r="Q32" s="983" t="s">
        <v>38</v>
      </c>
      <c r="R32" s="846" t="s">
        <v>36</v>
      </c>
      <c r="S32" s="983" t="s">
        <v>38</v>
      </c>
      <c r="T32" s="982" t="s">
        <v>36</v>
      </c>
      <c r="U32" s="847" t="s">
        <v>38</v>
      </c>
    </row>
    <row r="33" spans="1:21" x14ac:dyDescent="0.2">
      <c r="A33" s="1107" t="s">
        <v>90</v>
      </c>
      <c r="B33" s="1176"/>
      <c r="C33" s="1177"/>
      <c r="D33" s="1176"/>
      <c r="E33" s="1177"/>
      <c r="F33" s="1178"/>
      <c r="G33" s="1179"/>
      <c r="H33" s="1114">
        <f>'Dean AG'!H60+'Dean AG'!H62+'Ag Economics '!H46+'Ag Economics '!H47+Agronomy!H40+'Animal Sciences Industry'!H54+'Comm Ag Education'!H42+Entomolgy!H31+'Grain Science Industry'!H56+'Hort &amp; Nat Res'!H55+'Plant Pathology'!H30</f>
        <v>131</v>
      </c>
      <c r="I33" s="1118">
        <f>H33/H16</f>
        <v>0.43092105263157893</v>
      </c>
      <c r="J33" s="1092">
        <f>'Dean AG'!J60+'Dean AG'!J62+'Ag Economics '!J46+'Ag Economics '!J47+Agronomy!J40+'Animal Sciences Industry'!J54+'Comm Ag Education'!J42+Entomolgy!J31+'Grain Science Industry'!J56+'Hort &amp; Nat Res'!J55+'Plant Pathology'!J30</f>
        <v>134</v>
      </c>
      <c r="K33" s="1118">
        <f>J33/J16</f>
        <v>0.41104294478527609</v>
      </c>
      <c r="L33" s="1114">
        <f>'Dean AG'!L60+'Dean AG'!L62+'Ag Economics '!L46+'Ag Economics '!L47+Agronomy!L40+'Animal Sciences Industry'!L54+'Comm Ag Education'!L42+Entomolgy!L31+'Grain Science Industry'!L56+'Hort &amp; Nat Res'!L55+'Plant Pathology'!L30</f>
        <v>126</v>
      </c>
      <c r="M33" s="1118">
        <f>L33/L16</f>
        <v>0.38066465256797583</v>
      </c>
      <c r="N33" s="1114">
        <f>'Dean AG'!N60+'Dean AG'!N62+'Ag Economics '!N46+'Ag Economics '!N47+Agronomy!N40+'Animal Sciences Industry'!N54+'Comm Ag Education'!N42+Entomolgy!N31+'Grain Science Industry'!N56+'Hort &amp; Nat Res'!N55+'Plant Pathology'!N30</f>
        <v>135</v>
      </c>
      <c r="O33" s="1118">
        <f>N33/N16</f>
        <v>0.35809018567639256</v>
      </c>
      <c r="P33" s="1092">
        <f>'Dean AG'!P60+'Dean AG'!P62+'Ag Economics '!P46+'Ag Economics '!P47+Agronomy!P40+'Animal Sciences Industry'!P54+'Comm Ag Education'!P42+Entomolgy!P31+'Grain Science Industry'!P56+'Hort &amp; Nat Res'!P55+'Plant Pathology'!P30</f>
        <v>143</v>
      </c>
      <c r="Q33" s="1118">
        <f>P33/P16</f>
        <v>0.36479591836734693</v>
      </c>
      <c r="R33" s="1092">
        <f>'Dean AG'!R60+'Dean AG'!R62+'Ag Economics '!R46+'Ag Economics '!R47+Agronomy!R40+'Animal Sciences Industry'!R54+'Comm Ag Education'!R42+Entomolgy!R31+'Grain Science Industry'!R56+'Hort &amp; Nat Res'!R55+'Plant Pathology'!R30</f>
        <v>145</v>
      </c>
      <c r="S33" s="1118">
        <f>R33/R16</f>
        <v>0.38770053475935828</v>
      </c>
      <c r="T33" s="1116">
        <f>'Dean AG'!T60+'Dean AG'!T62+'Ag Economics '!T46+'Ag Economics '!T47+Agronomy!T40+'Animal Sciences Industry'!T54+'Comm Ag Education'!T42+Entomolgy!T31+'Grain Science Industry'!T56+'Hort &amp; Nat Res'!T55+'Plant Pathology'!T30</f>
        <v>144</v>
      </c>
      <c r="U33" s="1119">
        <f>T33/T16</f>
        <v>0.41860465116279072</v>
      </c>
    </row>
    <row r="34" spans="1:21" ht="13.5" thickBot="1" x14ac:dyDescent="0.25">
      <c r="A34" s="1108" t="s">
        <v>91</v>
      </c>
      <c r="B34" s="1180"/>
      <c r="C34" s="1181"/>
      <c r="D34" s="1180"/>
      <c r="E34" s="1181"/>
      <c r="F34" s="1180"/>
      <c r="G34" s="1181"/>
      <c r="H34" s="1084">
        <f>'Dean AG'!H61+'Dean AG'!H63+'Ag Economics '!H48+Agronomy!H41+'Animal Sciences Industry'!H55+'Comm Ag Education'!H42+Entomolgy!H32+'Grain Science Industry'!H57+'Hort &amp; Nat Res'!H56+'Plant Pathology'!H31</f>
        <v>129</v>
      </c>
      <c r="I34" s="1121">
        <f>H34/H17</f>
        <v>0.74566473988439308</v>
      </c>
      <c r="J34" s="1084">
        <f>'Dean AG'!J61+'Dean AG'!J63+'Ag Economics '!J48+Agronomy!J41+'Animal Sciences Industry'!J55+'Comm Ag Education'!J42+Entomolgy!J32+'Grain Science Industry'!J57+'Hort &amp; Nat Res'!J56+'Plant Pathology'!J31</f>
        <v>130</v>
      </c>
      <c r="K34" s="1121">
        <f>J34/J17</f>
        <v>0.75144508670520227</v>
      </c>
      <c r="L34" s="1084">
        <f>'Dean AG'!L61+'Dean AG'!L63+'Ag Economics '!L48+Agronomy!L41+'Animal Sciences Industry'!L55+'Comm Ag Education'!L42+Entomolgy!L32+'Grain Science Industry'!L57+'Hort &amp; Nat Res'!L56+'Plant Pathology'!L31</f>
        <v>131</v>
      </c>
      <c r="M34" s="1121">
        <f>L34/L17</f>
        <v>0.74431818181818177</v>
      </c>
      <c r="N34" s="1084">
        <f>'Dean AG'!N61+'Dean AG'!N63+'Ag Economics '!N48+Agronomy!N41+'Animal Sciences Industry'!N55+'Comm Ag Education'!N42+Entomolgy!N32+'Grain Science Industry'!N57+'Hort &amp; Nat Res'!N56+'Plant Pathology'!N31</f>
        <v>148</v>
      </c>
      <c r="O34" s="1121">
        <f>N34/N17</f>
        <v>0.79569892473118276</v>
      </c>
      <c r="P34" s="1084">
        <f>'Dean AG'!P61+'Dean AG'!P63+'Ag Economics '!P48+Agronomy!P41+'Animal Sciences Industry'!P55+'Comm Ag Education'!P42+Entomolgy!P32+'Grain Science Industry'!P57+'Hort &amp; Nat Res'!P56+'Plant Pathology'!P31</f>
        <v>162</v>
      </c>
      <c r="Q34" s="1121">
        <f>P34/P17</f>
        <v>0.81818181818181823</v>
      </c>
      <c r="R34" s="1084">
        <f>'Dean AG'!R61+'Dean AG'!R63+'Ag Economics '!R48+Agronomy!R41+'Animal Sciences Industry'!R55+'Comm Ag Education'!R42+Entomolgy!R32+'Grain Science Industry'!R57+'Hort &amp; Nat Res'!R56+'Plant Pathology'!R31</f>
        <v>169</v>
      </c>
      <c r="S34" s="1121">
        <f>R34/R17</f>
        <v>0.80861244019138756</v>
      </c>
      <c r="T34" s="1122">
        <f>'Dean AG'!T61+'Dean AG'!T63+'Ag Economics '!T48+Agronomy!T41+'Animal Sciences Industry'!T55+'Comm Ag Education'!T42+Entomolgy!T32+'Grain Science Industry'!T57+'Hort &amp; Nat Res'!T56+'Plant Pathology'!T31</f>
        <v>167</v>
      </c>
      <c r="U34" s="1120">
        <f>T34/T17</f>
        <v>0.81067961165048541</v>
      </c>
    </row>
    <row r="35" spans="1:21" ht="13.5" thickTop="1" x14ac:dyDescent="0.2"/>
    <row r="36" spans="1:21" ht="13.5" thickBot="1" x14ac:dyDescent="0.25"/>
    <row r="37" spans="1:21" ht="14.25" thickTop="1" thickBot="1" x14ac:dyDescent="0.25">
      <c r="A37" s="579" t="s">
        <v>207</v>
      </c>
      <c r="B37" s="1296" t="s">
        <v>24</v>
      </c>
      <c r="C37" s="1332"/>
      <c r="D37" s="1296" t="s">
        <v>25</v>
      </c>
      <c r="E37" s="1332"/>
      <c r="F37" s="1296" t="s">
        <v>26</v>
      </c>
      <c r="G37" s="1332"/>
      <c r="H37" s="1296" t="s">
        <v>27</v>
      </c>
      <c r="I37" s="1332"/>
      <c r="J37" s="1296" t="s">
        <v>28</v>
      </c>
      <c r="K37" s="1332"/>
      <c r="L37" s="1296" t="s">
        <v>29</v>
      </c>
      <c r="M37" s="1332"/>
      <c r="N37" s="1296" t="s">
        <v>30</v>
      </c>
      <c r="O37" s="1332"/>
      <c r="P37" s="1296" t="s">
        <v>31</v>
      </c>
      <c r="Q37" s="1332"/>
      <c r="R37" s="1296" t="s">
        <v>32</v>
      </c>
      <c r="S37" s="1332"/>
      <c r="T37" s="1296" t="s">
        <v>255</v>
      </c>
      <c r="U37" s="1333"/>
    </row>
    <row r="38" spans="1:21" ht="24" x14ac:dyDescent="0.2">
      <c r="A38" s="612" t="s">
        <v>212</v>
      </c>
      <c r="B38" s="1125"/>
      <c r="C38" s="1123"/>
      <c r="D38" s="1125"/>
      <c r="E38" s="1123"/>
      <c r="F38" s="1125"/>
      <c r="G38" s="1123"/>
      <c r="H38" s="1133"/>
      <c r="I38" s="1123"/>
      <c r="J38" s="1133"/>
      <c r="K38" s="1123"/>
      <c r="L38" s="1133"/>
      <c r="M38" s="1123"/>
      <c r="N38" s="1133"/>
      <c r="O38" s="1123"/>
      <c r="P38" s="1133"/>
      <c r="Q38" s="1123"/>
      <c r="R38" s="1133"/>
      <c r="S38" s="1123"/>
      <c r="T38" s="1133"/>
      <c r="U38" s="1134"/>
    </row>
    <row r="39" spans="1:21" ht="24" x14ac:dyDescent="0.2">
      <c r="A39" s="581" t="s">
        <v>195</v>
      </c>
      <c r="B39" s="1094"/>
      <c r="C39" s="1101">
        <f>'Ag Economics '!C53+Agronomy!C46+'Animal Sciences Industry'!C60+'Comm Ag Education'!C48+Entomolgy!C37+'Grain Science Industry'!C62+'Hort &amp; Nat Res'!C61+'Plant Pathology'!C37</f>
        <v>44</v>
      </c>
      <c r="D39" s="1094"/>
      <c r="E39" s="1101">
        <f>'Ag Economics '!E53+Agronomy!E46+'Animal Sciences Industry'!E60+'Comm Ag Education'!E48+Entomolgy!E37+'Grain Science Industry'!E62+'Hort &amp; Nat Res'!E61+'Plant Pathology'!E37</f>
        <v>51</v>
      </c>
      <c r="F39" s="1094"/>
      <c r="G39" s="1101">
        <f>'Ag Economics '!G53+Agronomy!G46+'Animal Sciences Industry'!G60+'Comm Ag Education'!G48+Entomolgy!G37+'Grain Science Industry'!G62+'Hort &amp; Nat Res'!G61+'Plant Pathology'!G37</f>
        <v>53</v>
      </c>
      <c r="H39" s="1077"/>
      <c r="I39" s="1101">
        <f>'Ag Economics '!I53+Agronomy!I46+'Animal Sciences Industry'!I60+'Comm Ag Education'!I48+Entomolgy!I37+'Grain Science Industry'!I62+'Hort &amp; Nat Res'!I61+'Plant Pathology'!I37</f>
        <v>48</v>
      </c>
      <c r="J39" s="1077"/>
      <c r="K39" s="1101">
        <f>'Ag Economics '!K53+Agronomy!K46+'Animal Sciences Industry'!K60+'Comm Ag Education'!K48+Entomolgy!K37+'Grain Science Industry'!K62+'Hort &amp; Nat Res'!K61+'Plant Pathology'!K37</f>
        <v>55</v>
      </c>
      <c r="L39" s="1077"/>
      <c r="M39" s="1101">
        <f>'Ag Economics '!M53+Agronomy!M46+'Animal Sciences Industry'!M60+'Comm Ag Education'!M48+Entomolgy!M37+'Grain Science Industry'!M62+'Hort &amp; Nat Res'!M61+'Plant Pathology'!M37</f>
        <v>55</v>
      </c>
      <c r="N39" s="1077"/>
      <c r="O39" s="1101">
        <f>'Ag Economics '!O53+Agronomy!O46+'Animal Sciences Industry'!O60+'Comm Ag Education'!O48+Entomolgy!O37+'Grain Science Industry'!O62+'Hort &amp; Nat Res'!O61+'Plant Pathology'!O37</f>
        <v>79</v>
      </c>
      <c r="P39" s="1077"/>
      <c r="Q39" s="1101">
        <f>'Ag Economics '!Q53+Agronomy!Q46+'Animal Sciences Industry'!Q60+'Comm Ag Education'!Q48+Entomolgy!Q37+'Grain Science Industry'!Q62+'Hort &amp; Nat Res'!Q61+'Plant Pathology'!Q37</f>
        <v>68</v>
      </c>
      <c r="R39" s="1077"/>
      <c r="S39" s="1101">
        <f>'Ag Economics '!S53+Agronomy!S46+'Animal Sciences Industry'!S60+'Comm Ag Education'!S48+Entomolgy!S37+'Grain Science Industry'!S62+'Hort &amp; Nat Res'!S61+'Plant Pathology'!S37</f>
        <v>56</v>
      </c>
      <c r="T39" s="1077"/>
      <c r="U39" s="1095">
        <f>'Ag Economics '!U53+Agronomy!U46+'Animal Sciences Industry'!U60+'Comm Ag Education'!U48+Entomolgy!U37+'Grain Science Industry'!U62+'Hort &amp; Nat Res'!U61+'Plant Pathology'!U37</f>
        <v>53</v>
      </c>
    </row>
    <row r="40" spans="1:21" ht="24" x14ac:dyDescent="0.2">
      <c r="A40" s="589" t="s">
        <v>201</v>
      </c>
      <c r="B40" s="1094"/>
      <c r="C40" s="1101">
        <f>'Ag Economics '!C54+Agronomy!C47+'Animal Sciences Industry'!C61+'Comm Ag Education'!C49+Entomolgy!C38+'Grain Science Industry'!C63+'Hort &amp; Nat Res'!C62+'Plant Pathology'!C38</f>
        <v>44</v>
      </c>
      <c r="D40" s="1094"/>
      <c r="E40" s="1101">
        <f>'Ag Economics '!E54+Agronomy!E47+'Animal Sciences Industry'!E61+'Comm Ag Education'!E49+Entomolgy!E38+'Grain Science Industry'!E63+'Hort &amp; Nat Res'!E62+'Plant Pathology'!E38</f>
        <v>51</v>
      </c>
      <c r="F40" s="1094"/>
      <c r="G40" s="1101">
        <f>'Ag Economics '!G54+Agronomy!G47+'Animal Sciences Industry'!G61+'Comm Ag Education'!G49+Entomolgy!G38+'Grain Science Industry'!G63+'Hort &amp; Nat Res'!G62+'Plant Pathology'!G38</f>
        <v>52</v>
      </c>
      <c r="H40" s="1077"/>
      <c r="I40" s="1101">
        <f>'Ag Economics '!I54+Agronomy!I47+'Animal Sciences Industry'!I61+'Comm Ag Education'!I49+Entomolgy!I38+'Grain Science Industry'!I63+'Hort &amp; Nat Res'!I62+'Plant Pathology'!I38</f>
        <v>47</v>
      </c>
      <c r="J40" s="1077"/>
      <c r="K40" s="1101">
        <f>'Ag Economics '!K54+Agronomy!K47+'Animal Sciences Industry'!K61+'Comm Ag Education'!K49+Entomolgy!K38+'Grain Science Industry'!K63+'Hort &amp; Nat Res'!K62+'Plant Pathology'!K38</f>
        <v>54</v>
      </c>
      <c r="L40" s="1077"/>
      <c r="M40" s="1101">
        <f>'Ag Economics '!M54+Agronomy!M47+'Animal Sciences Industry'!M61+'Comm Ag Education'!M49+Entomolgy!M38+'Grain Science Industry'!M63+'Hort &amp; Nat Res'!M62+'Plant Pathology'!M38</f>
        <v>55</v>
      </c>
      <c r="N40" s="1077"/>
      <c r="O40" s="1101">
        <f>'Ag Economics '!O54+Agronomy!O47+'Animal Sciences Industry'!O61+'Comm Ag Education'!O49+Entomolgy!O38+'Grain Science Industry'!O63+'Hort &amp; Nat Res'!O62+'Plant Pathology'!O38</f>
        <v>78</v>
      </c>
      <c r="P40" s="1077"/>
      <c r="Q40" s="1101">
        <f>'Ag Economics '!Q54+Agronomy!Q47+'Animal Sciences Industry'!Q61+'Comm Ag Education'!Q49+Entomolgy!Q38+'Grain Science Industry'!Q63+'Hort &amp; Nat Res'!Q62+'Plant Pathology'!Q38</f>
        <v>68</v>
      </c>
      <c r="R40" s="1077"/>
      <c r="S40" s="1101">
        <f>'Ag Economics '!S54+Agronomy!S47+'Animal Sciences Industry'!S61+'Comm Ag Education'!S49+Entomolgy!S38+'Grain Science Industry'!S63+'Hort &amp; Nat Res'!S62+'Plant Pathology'!S38</f>
        <v>55</v>
      </c>
      <c r="T40" s="1077"/>
      <c r="U40" s="1095">
        <f>'Ag Economics '!U54+Agronomy!U47+'Animal Sciences Industry'!U61+'Comm Ag Education'!U49+Entomolgy!U38+'Grain Science Industry'!U63+'Hort &amp; Nat Res'!U62+'Plant Pathology'!U38</f>
        <v>52</v>
      </c>
    </row>
    <row r="41" spans="1:21" ht="13.5" thickBot="1" x14ac:dyDescent="0.25">
      <c r="A41" s="905" t="s">
        <v>196</v>
      </c>
      <c r="B41" s="1126"/>
      <c r="C41" s="1102">
        <f>'Ag Economics '!C55+Agronomy!C48+'Animal Sciences Industry'!C62+'Comm Ag Education'!C50+Entomolgy!C39+'Grain Science Industry'!C64+'Hort &amp; Nat Res'!C63+'Plant Pathology'!C39</f>
        <v>52.720000000000006</v>
      </c>
      <c r="D41" s="1126"/>
      <c r="E41" s="1102">
        <f>'Ag Economics '!E55+Agronomy!E48+'Animal Sciences Industry'!E62+'Comm Ag Education'!E50+Entomolgy!E39+'Grain Science Industry'!E64+'Hort &amp; Nat Res'!E63+'Plant Pathology'!E39</f>
        <v>57.02</v>
      </c>
      <c r="F41" s="1126"/>
      <c r="G41" s="1135">
        <f>'Ag Economics '!G55+Agronomy!G48+'Animal Sciences Industry'!G62+'Comm Ag Education'!G50+Entomolgy!G39+'Grain Science Industry'!G64+'Hort &amp; Nat Res'!G63+'Plant Pathology'!G39</f>
        <v>59.720000000000013</v>
      </c>
      <c r="H41" s="1136"/>
      <c r="I41" s="1135">
        <f>'Ag Economics '!I55+Agronomy!I48+'Animal Sciences Industry'!I62+'Comm Ag Education'!I50+Entomolgy!I39+'Grain Science Industry'!I64+'Hort &amp; Nat Res'!I63+'Plant Pathology'!I39</f>
        <v>53.589999999999996</v>
      </c>
      <c r="J41" s="1136"/>
      <c r="K41" s="1135">
        <f>'Ag Economics '!K55+Agronomy!K48+'Animal Sciences Industry'!K62+'Comm Ag Education'!K50+Entomolgy!K39+'Grain Science Industry'!K64+'Hort &amp; Nat Res'!K63+'Plant Pathology'!K39</f>
        <v>65.960000000000008</v>
      </c>
      <c r="L41" s="1136"/>
      <c r="M41" s="1135">
        <f>'Ag Economics '!M55+Agronomy!M48+'Animal Sciences Industry'!M62+'Comm Ag Education'!M50+Entomolgy!M39+'Grain Science Industry'!M64+'Hort &amp; Nat Res'!M63+'Plant Pathology'!M39</f>
        <v>65.84</v>
      </c>
      <c r="N41" s="1136"/>
      <c r="O41" s="1135">
        <f>'Ag Economics '!O55+Agronomy!O48+'Animal Sciences Industry'!O62+'Comm Ag Education'!O50+Entomolgy!O39+'Grain Science Industry'!O64+'Hort &amp; Nat Res'!O63+'Plant Pathology'!O39</f>
        <v>88.78</v>
      </c>
      <c r="P41" s="1136"/>
      <c r="Q41" s="1135">
        <f>'Ag Economics '!Q55+Agronomy!Q48+'Animal Sciences Industry'!Q62+'Comm Ag Education'!Q50+Entomolgy!Q39+'Grain Science Industry'!Q64+'Hort &amp; Nat Res'!Q63+'Plant Pathology'!Q39</f>
        <v>76.099999999999994</v>
      </c>
      <c r="R41" s="1136"/>
      <c r="S41" s="1135">
        <f>'Ag Economics '!S55+Agronomy!S48+'Animal Sciences Industry'!S62+'Comm Ag Education'!S50+Entomolgy!S39+'Grain Science Industry'!S64+'Hort &amp; Nat Res'!S63+'Plant Pathology'!S39</f>
        <v>62.859999999999992</v>
      </c>
      <c r="T41" s="1136"/>
      <c r="U41" s="1137">
        <f>'Ag Economics '!U55+Agronomy!U48+'Animal Sciences Industry'!U62+'Comm Ag Education'!U50+Entomolgy!U39+'Grain Science Industry'!U64+'Hort &amp; Nat Res'!U63+'Plant Pathology'!U39</f>
        <v>62.7</v>
      </c>
    </row>
    <row r="42" spans="1:21" ht="13.5" thickBot="1" x14ac:dyDescent="0.25">
      <c r="A42" s="791" t="s">
        <v>227</v>
      </c>
      <c r="B42" s="793" t="s">
        <v>89</v>
      </c>
      <c r="C42" s="810" t="s">
        <v>97</v>
      </c>
      <c r="D42" s="793" t="s">
        <v>89</v>
      </c>
      <c r="E42" s="810" t="s">
        <v>97</v>
      </c>
      <c r="F42" s="793" t="s">
        <v>89</v>
      </c>
      <c r="G42" s="810" t="s">
        <v>97</v>
      </c>
      <c r="H42" s="793" t="s">
        <v>89</v>
      </c>
      <c r="I42" s="810" t="s">
        <v>97</v>
      </c>
      <c r="J42" s="793" t="s">
        <v>89</v>
      </c>
      <c r="K42" s="810" t="s">
        <v>97</v>
      </c>
      <c r="L42" s="793" t="s">
        <v>89</v>
      </c>
      <c r="M42" s="810" t="s">
        <v>97</v>
      </c>
      <c r="N42" s="793" t="s">
        <v>89</v>
      </c>
      <c r="O42" s="810" t="s">
        <v>97</v>
      </c>
      <c r="P42" s="793" t="s">
        <v>89</v>
      </c>
      <c r="Q42" s="810" t="s">
        <v>97</v>
      </c>
      <c r="R42" s="793" t="s">
        <v>89</v>
      </c>
      <c r="S42" s="810" t="s">
        <v>97</v>
      </c>
      <c r="T42" s="793" t="s">
        <v>89</v>
      </c>
      <c r="U42" s="780" t="s">
        <v>97</v>
      </c>
    </row>
    <row r="43" spans="1:21" x14ac:dyDescent="0.2">
      <c r="A43" s="614" t="s">
        <v>98</v>
      </c>
      <c r="B43" s="1190"/>
      <c r="C43" s="1091"/>
      <c r="D43" s="1190"/>
      <c r="E43" s="1091"/>
      <c r="F43" s="1090"/>
      <c r="G43" s="1091"/>
      <c r="H43" s="1090"/>
      <c r="I43" s="1091"/>
      <c r="J43" s="1090"/>
      <c r="K43" s="1091"/>
      <c r="L43" s="1090"/>
      <c r="M43" s="1091"/>
      <c r="N43" s="1090"/>
      <c r="O43" s="1091"/>
      <c r="P43" s="1090"/>
      <c r="Q43" s="1091"/>
      <c r="R43" s="1090"/>
      <c r="S43" s="1091"/>
      <c r="T43" s="1090"/>
      <c r="U43" s="1093"/>
    </row>
    <row r="44" spans="1:21" x14ac:dyDescent="0.2">
      <c r="A44" s="604" t="s">
        <v>99</v>
      </c>
      <c r="B44" s="1187"/>
      <c r="C44" s="1085">
        <f>'Ag Economics '!C58+Agronomy!C51+'Animal Sciences Industry'!C65+'Comm Ag Education'!C53+Entomolgy!C42+'Grain Science Industry'!C67+'Hort &amp; Nat Res'!C66+'Plant Pathology'!C42</f>
        <v>49</v>
      </c>
      <c r="D44" s="1187"/>
      <c r="E44" s="1085">
        <f>'Ag Economics '!E58+Agronomy!E51+'Animal Sciences Industry'!E65+'Comm Ag Education'!E53+Entomolgy!E42+'Grain Science Industry'!E67+'Hort &amp; Nat Res'!E66+'Plant Pathology'!E42</f>
        <v>55</v>
      </c>
      <c r="F44" s="1187"/>
      <c r="G44" s="1085">
        <f>'Ag Economics '!G58+Agronomy!G51+'Animal Sciences Industry'!G65+'Comm Ag Education'!G53+Entomolgy!G42+'Grain Science Industry'!G67+'Hort &amp; Nat Res'!G66+'Plant Pathology'!G42</f>
        <v>58</v>
      </c>
      <c r="H44" s="1187"/>
      <c r="I44" s="1085">
        <f>'Ag Economics '!I58+Agronomy!I51+'Animal Sciences Industry'!I65+'Comm Ag Education'!I53+Entomolgy!I42+'Grain Science Industry'!I67+'Hort &amp; Nat Res'!I66+'Plant Pathology'!I42</f>
        <v>55</v>
      </c>
      <c r="J44" s="1148">
        <f>'Ag Economics '!J58+Agronomy!J51+'Animal Sciences Industry'!J65+'Comm Ag Education'!J53+Entomolgy!J42+'Grain Science Industry'!J67+'Hort &amp; Nat Res'!J66+'Plant Pathology'!J42+'Dean AG'!J73</f>
        <v>64</v>
      </c>
      <c r="K44" s="1085">
        <f>'Ag Economics '!K58+Agronomy!K51+'Animal Sciences Industry'!K65+'Comm Ag Education'!K53+Entomolgy!K42+'Grain Science Industry'!K67+'Hort &amp; Nat Res'!K66+'Plant Pathology'!K42+'Dean AG'!K73</f>
        <v>64</v>
      </c>
      <c r="L44" s="1148">
        <f>'Ag Economics '!L58+Agronomy!L51+'Animal Sciences Industry'!L65+'Comm Ag Education'!L53+Entomolgy!L42+'Grain Science Industry'!L67+'Hort &amp; Nat Res'!L66+'Plant Pathology'!L42+'Dean AG'!L73</f>
        <v>66</v>
      </c>
      <c r="M44" s="1085">
        <f>'Ag Economics '!M58+Agronomy!M51+'Animal Sciences Industry'!M65+'Comm Ag Education'!M53+Entomolgy!M42+'Grain Science Industry'!M67+'Hort &amp; Nat Res'!M66+'Plant Pathology'!M42+'Dean AG'!M73</f>
        <v>66</v>
      </c>
      <c r="N44" s="1148">
        <f>'Ag Economics '!N58+Agronomy!N51+'Animal Sciences Industry'!N65+'Comm Ag Education'!N53+Entomolgy!N42+'Grain Science Industry'!N67+'Hort &amp; Nat Res'!N66+'Plant Pathology'!N42+'Dean AG'!N73</f>
        <v>97</v>
      </c>
      <c r="O44" s="1085">
        <f>'Ag Economics '!O58+Agronomy!O51+'Animal Sciences Industry'!O65+'Comm Ag Education'!O53+Entomolgy!O42+'Grain Science Industry'!O67+'Hort &amp; Nat Res'!O66+'Plant Pathology'!O42+'Dean AG'!O73</f>
        <v>97</v>
      </c>
      <c r="P44" s="1148">
        <f>'Ag Economics '!P58+Agronomy!P51+'Animal Sciences Industry'!P65+'Comm Ag Education'!P53+Entomolgy!P42+'Grain Science Industry'!P67+'Hort &amp; Nat Res'!P66+'Plant Pathology'!P42+'Dean AG'!P73</f>
        <v>78</v>
      </c>
      <c r="Q44" s="1085">
        <f>'Ag Economics '!Q58+Agronomy!Q51+'Animal Sciences Industry'!Q65+'Comm Ag Education'!Q53+Entomolgy!Q42+'Grain Science Industry'!Q67+'Hort &amp; Nat Res'!Q66+'Plant Pathology'!Q42+'Dean AG'!Q73</f>
        <v>78</v>
      </c>
      <c r="R44" s="1148">
        <f>'Ag Economics '!R58+Agronomy!R51+'Animal Sciences Industry'!R65+'Comm Ag Education'!R53+Entomolgy!R42+'Grain Science Industry'!R67+'Hort &amp; Nat Res'!R66+'Plant Pathology'!R42+'Dean AG'!R73</f>
        <v>70</v>
      </c>
      <c r="S44" s="1085">
        <f>'Ag Economics '!S58+Agronomy!S51+'Animal Sciences Industry'!S65+'Comm Ag Education'!S53+Entomolgy!S42+'Grain Science Industry'!S67+'Hort &amp; Nat Res'!S66+'Plant Pathology'!S42+'Dean AG'!S73</f>
        <v>70</v>
      </c>
      <c r="T44" s="1151">
        <f>'Ag Economics '!T58+Agronomy!T51+'Animal Sciences Industry'!T65+'Comm Ag Education'!T53+Entomolgy!T42+'Grain Science Industry'!T67+'Hort &amp; Nat Res'!T66+'Plant Pathology'!T42+'Dean AG'!T73</f>
        <v>68</v>
      </c>
      <c r="U44" s="1083">
        <f>'Ag Economics '!U58+Agronomy!U51+'Animal Sciences Industry'!U65+'Comm Ag Education'!U53+Entomolgy!U42+'Grain Science Industry'!U67+'Hort &amp; Nat Res'!U66+'Plant Pathology'!U42+'Dean AG'!U73</f>
        <v>68</v>
      </c>
    </row>
    <row r="45" spans="1:21" x14ac:dyDescent="0.2">
      <c r="A45" s="604" t="s">
        <v>100</v>
      </c>
      <c r="B45" s="1187"/>
      <c r="C45" s="1085">
        <f>'Ag Economics '!C59+Agronomy!C52+'Animal Sciences Industry'!C66+'Comm Ag Education'!C54+Entomolgy!C43+'Grain Science Industry'!C68+'Hort &amp; Nat Res'!C67+'Plant Pathology'!C43</f>
        <v>7</v>
      </c>
      <c r="D45" s="1187"/>
      <c r="E45" s="1085">
        <f>'Ag Economics '!E59+Agronomy!E52+'Animal Sciences Industry'!E66+'Comm Ag Education'!E54+Entomolgy!E43+'Grain Science Industry'!E68+'Hort &amp; Nat Res'!E67+'Plant Pathology'!E43</f>
        <v>5</v>
      </c>
      <c r="F45" s="1187"/>
      <c r="G45" s="1085">
        <f>'Ag Economics '!G59+Agronomy!G52+'Animal Sciences Industry'!G66+'Comm Ag Education'!G54+Entomolgy!G43+'Grain Science Industry'!G68+'Hort &amp; Nat Res'!G67+'Plant Pathology'!G43</f>
        <v>2</v>
      </c>
      <c r="H45" s="1187"/>
      <c r="I45" s="1085">
        <f>'Ag Economics '!I59+Agronomy!I52+'Animal Sciences Industry'!I66+'Comm Ag Education'!I54+Entomolgy!I43+'Grain Science Industry'!I68+'Hort &amp; Nat Res'!I67+'Plant Pathology'!I43</f>
        <v>2</v>
      </c>
      <c r="J45" s="1148">
        <f>'Ag Economics '!J59+Agronomy!J52+'Animal Sciences Industry'!J66+'Comm Ag Education'!J54+Entomolgy!J43+'Grain Science Industry'!J68+'Hort &amp; Nat Res'!J67+'Plant Pathology'!J43+'Dean AG'!J74</f>
        <v>1.05</v>
      </c>
      <c r="K45" s="1085">
        <f>'Ag Economics '!K59+Agronomy!K52+'Animal Sciences Industry'!K66+'Comm Ag Education'!K54+Entomolgy!K43+'Grain Science Industry'!K68+'Hort &amp; Nat Res'!K67+'Plant Pathology'!K43+'Dean AG'!K74</f>
        <v>2</v>
      </c>
      <c r="L45" s="1148">
        <f>'Ag Economics '!L59+Agronomy!L52+'Animal Sciences Industry'!L66+'Comm Ag Education'!L54+Entomolgy!L43+'Grain Science Industry'!L68+'Hort &amp; Nat Res'!L67+'Plant Pathology'!L43+'Dean AG'!L74</f>
        <v>2.0499999999999998</v>
      </c>
      <c r="M45" s="1085">
        <f>'Ag Economics '!M59+Agronomy!M52+'Animal Sciences Industry'!M66+'Comm Ag Education'!M54+Entomolgy!M43+'Grain Science Industry'!M68+'Hort &amp; Nat Res'!M67+'Plant Pathology'!M43+'Dean AG'!M74</f>
        <v>4</v>
      </c>
      <c r="N45" s="1148">
        <f>'Ag Economics '!N59+Agronomy!N52+'Animal Sciences Industry'!N66+'Comm Ag Education'!N54+Entomolgy!N43+'Grain Science Industry'!N68+'Hort &amp; Nat Res'!N67+'Plant Pathology'!N43+'Dean AG'!N74</f>
        <v>1.7000000000000002</v>
      </c>
      <c r="O45" s="1085">
        <f>'Ag Economics '!O59+Agronomy!O52+'Animal Sciences Industry'!O66+'Comm Ag Education'!O54+Entomolgy!O43+'Grain Science Industry'!O68+'Hort &amp; Nat Res'!O67+'Plant Pathology'!O43+'Dean AG'!O74</f>
        <v>2</v>
      </c>
      <c r="P45" s="1148">
        <f>'Ag Economics '!P59+Agronomy!P52+'Animal Sciences Industry'!P66+'Comm Ag Education'!P54+Entomolgy!P43+'Grain Science Industry'!P68+'Hort &amp; Nat Res'!P67+'Plant Pathology'!P43+'Dean AG'!P74</f>
        <v>1.4</v>
      </c>
      <c r="Q45" s="1085">
        <f>'Ag Economics '!Q59+Agronomy!Q52+'Animal Sciences Industry'!Q66+'Comm Ag Education'!Q54+Entomolgy!Q43+'Grain Science Industry'!Q68+'Hort &amp; Nat Res'!Q67+'Plant Pathology'!Q43+'Dean AG'!Q74</f>
        <v>3</v>
      </c>
      <c r="R45" s="1148">
        <f>'Ag Economics '!R59+Agronomy!R52+'Animal Sciences Industry'!R66+'Comm Ag Education'!R54+Entomolgy!R43+'Grain Science Industry'!R68+'Hort &amp; Nat Res'!R67+'Plant Pathology'!R43+'Dean AG'!R74</f>
        <v>0.6</v>
      </c>
      <c r="S45" s="1085">
        <f>'Ag Economics '!S59+Agronomy!S52+'Animal Sciences Industry'!S66+'Comm Ag Education'!S54+Entomolgy!S43+'Grain Science Industry'!S68+'Hort &amp; Nat Res'!S67+'Plant Pathology'!S43+'Dean AG'!S74</f>
        <v>1</v>
      </c>
      <c r="T45" s="1151">
        <f>'Ag Economics '!T59+Agronomy!T52+'Animal Sciences Industry'!T66+'Comm Ag Education'!T54+Entomolgy!T43+'Grain Science Industry'!T68+'Hort &amp; Nat Res'!T67+'Plant Pathology'!T43+'Dean AG'!T74</f>
        <v>2.7</v>
      </c>
      <c r="U45" s="1083">
        <f>'Ag Economics '!U59+Agronomy!U52+'Animal Sciences Industry'!U66+'Comm Ag Education'!U54+Entomolgy!U43+'Grain Science Industry'!U68+'Hort &amp; Nat Res'!U67+'Plant Pathology'!U43+'Dean AG'!U74</f>
        <v>7</v>
      </c>
    </row>
    <row r="46" spans="1:21" x14ac:dyDescent="0.2">
      <c r="A46" s="603" t="s">
        <v>101</v>
      </c>
      <c r="B46" s="1187"/>
      <c r="C46" s="1085"/>
      <c r="D46" s="1187"/>
      <c r="E46" s="1085"/>
      <c r="F46" s="1187"/>
      <c r="G46" s="1085"/>
      <c r="H46" s="1187"/>
      <c r="I46" s="1085"/>
      <c r="J46" s="1148"/>
      <c r="K46" s="1085"/>
      <c r="L46" s="1148"/>
      <c r="M46" s="1085"/>
      <c r="N46" s="1148"/>
      <c r="O46" s="1085"/>
      <c r="P46" s="1148"/>
      <c r="Q46" s="1085"/>
      <c r="R46" s="1148"/>
      <c r="S46" s="1085"/>
      <c r="T46" s="1151"/>
      <c r="U46" s="1083"/>
    </row>
    <row r="47" spans="1:21" x14ac:dyDescent="0.2">
      <c r="A47" s="604" t="s">
        <v>99</v>
      </c>
      <c r="B47" s="1187"/>
      <c r="C47" s="1085">
        <f>'Ag Economics '!C61+Agronomy!C54+'Animal Sciences Industry'!C68+'Comm Ag Education'!C56+Entomolgy!C45+'Grain Science Industry'!C70+'Hort &amp; Nat Res'!C69+'Plant Pathology'!C45</f>
        <v>148</v>
      </c>
      <c r="D47" s="1187"/>
      <c r="E47" s="1085">
        <f>'Ag Economics '!E61+Agronomy!E54+'Animal Sciences Industry'!E68+'Comm Ag Education'!E56+Entomolgy!E45+'Grain Science Industry'!E70+'Hort &amp; Nat Res'!E69+'Plant Pathology'!E45</f>
        <v>149</v>
      </c>
      <c r="F47" s="1187"/>
      <c r="G47" s="1085">
        <f>'Ag Economics '!G61+Agronomy!G54+'Animal Sciences Industry'!G68+'Comm Ag Education'!G56+Entomolgy!G45+'Grain Science Industry'!G70+'Hort &amp; Nat Res'!G69+'Plant Pathology'!G45</f>
        <v>146</v>
      </c>
      <c r="H47" s="1187"/>
      <c r="I47" s="1085">
        <f>'Ag Economics '!I61+Agronomy!I54+'Animal Sciences Industry'!I68+'Comm Ag Education'!I56+Entomolgy!I45+'Grain Science Industry'!I70+'Hort &amp; Nat Res'!I69+'Plant Pathology'!I45</f>
        <v>136</v>
      </c>
      <c r="J47" s="1148">
        <f>'Ag Economics '!J61+Agronomy!J54+'Animal Sciences Industry'!J68+'Comm Ag Education'!J56+Entomolgy!J45+'Grain Science Industry'!J70+'Hort &amp; Nat Res'!J69+'Plant Pathology'!J45+'Dean AG'!J76</f>
        <v>158</v>
      </c>
      <c r="K47" s="1085">
        <f>'Ag Economics '!K61+Agronomy!K54+'Animal Sciences Industry'!K68+'Comm Ag Education'!K56+Entomolgy!K45+'Grain Science Industry'!K70+'Hort &amp; Nat Res'!K69+'Plant Pathology'!K45+'Dean AG'!K76</f>
        <v>158</v>
      </c>
      <c r="L47" s="1148">
        <f>'Ag Economics '!L61+Agronomy!L54+'Animal Sciences Industry'!L68+'Comm Ag Education'!L56+Entomolgy!L45+'Grain Science Industry'!L70+'Hort &amp; Nat Res'!L69+'Plant Pathology'!L45+'Dean AG'!L76</f>
        <v>156</v>
      </c>
      <c r="M47" s="1085">
        <f>'Ag Economics '!M61+Agronomy!M54+'Animal Sciences Industry'!M68+'Comm Ag Education'!M56+Entomolgy!M45+'Grain Science Industry'!M70+'Hort &amp; Nat Res'!M69+'Plant Pathology'!M45+'Dean AG'!M76</f>
        <v>156</v>
      </c>
      <c r="N47" s="1148">
        <f>'Ag Economics '!N61+Agronomy!N54+'Animal Sciences Industry'!N68+'Comm Ag Education'!N56+Entomolgy!N45+'Grain Science Industry'!N70+'Hort &amp; Nat Res'!N69+'Plant Pathology'!N45+'Dean AG'!N76</f>
        <v>135</v>
      </c>
      <c r="O47" s="1085">
        <f>'Ag Economics '!O61+Agronomy!O54+'Animal Sciences Industry'!O68+'Comm Ag Education'!O56+Entomolgy!O45+'Grain Science Industry'!O70+'Hort &amp; Nat Res'!O69+'Plant Pathology'!O45+'Dean AG'!O76</f>
        <v>135</v>
      </c>
      <c r="P47" s="1148">
        <f>'Ag Economics '!P61+Agronomy!P54+'Animal Sciences Industry'!P68+'Comm Ag Education'!P56+Entomolgy!P45+'Grain Science Industry'!P70+'Hort &amp; Nat Res'!P69+'Plant Pathology'!P45+'Dean AG'!P76</f>
        <v>145</v>
      </c>
      <c r="Q47" s="1085">
        <f>'Ag Economics '!Q61+Agronomy!Q54+'Animal Sciences Industry'!Q68+'Comm Ag Education'!Q56+Entomolgy!Q45+'Grain Science Industry'!Q70+'Hort &amp; Nat Res'!Q69+'Plant Pathology'!Q45+'Dean AG'!Q76</f>
        <v>145</v>
      </c>
      <c r="R47" s="1148">
        <f>'Ag Economics '!R61+Agronomy!R54+'Animal Sciences Industry'!R68+'Comm Ag Education'!R56+Entomolgy!R45+'Grain Science Industry'!R70+'Hort &amp; Nat Res'!R69+'Plant Pathology'!R45+'Dean AG'!R76</f>
        <v>152</v>
      </c>
      <c r="S47" s="1085">
        <f>'Ag Economics '!S61+Agronomy!S54+'Animal Sciences Industry'!S68+'Comm Ag Education'!S56+Entomolgy!S45+'Grain Science Industry'!S70+'Hort &amp; Nat Res'!S69+'Plant Pathology'!S45+'Dean AG'!S76</f>
        <v>152</v>
      </c>
      <c r="T47" s="1151">
        <f>'Ag Economics '!T61+Agronomy!T54+'Animal Sciences Industry'!T68+'Comm Ag Education'!T56+Entomolgy!T45+'Grain Science Industry'!T70+'Hort &amp; Nat Res'!T69+'Plant Pathology'!T45+'Dean AG'!T76</f>
        <v>166</v>
      </c>
      <c r="U47" s="1083">
        <f>'Ag Economics '!U61+Agronomy!U54+'Animal Sciences Industry'!U68+'Comm Ag Education'!U56+Entomolgy!U45+'Grain Science Industry'!U70+'Hort &amp; Nat Res'!U69+'Plant Pathology'!U45+'Dean AG'!U76</f>
        <v>166</v>
      </c>
    </row>
    <row r="48" spans="1:21" ht="13.5" thickBot="1" x14ac:dyDescent="0.25">
      <c r="A48" s="605" t="s">
        <v>100</v>
      </c>
      <c r="B48" s="1188"/>
      <c r="C48" s="1088">
        <f>'Ag Economics '!C62+Agronomy!C55+'Animal Sciences Industry'!C69+'Comm Ag Education'!C57+Entomolgy!C46+'Grain Science Industry'!C71+'Hort &amp; Nat Res'!C70+'Plant Pathology'!C46</f>
        <v>5</v>
      </c>
      <c r="D48" s="1188"/>
      <c r="E48" s="1088">
        <f>'Ag Economics '!E62+Agronomy!E55+'Animal Sciences Industry'!E69+'Comm Ag Education'!E57+Entomolgy!E46+'Grain Science Industry'!E71+'Hort &amp; Nat Res'!E70+'Plant Pathology'!E46</f>
        <v>8</v>
      </c>
      <c r="F48" s="1188"/>
      <c r="G48" s="1088">
        <f>'Ag Economics '!G62+Agronomy!G55+'Animal Sciences Industry'!G69+'Comm Ag Education'!G57+Entomolgy!G46+'Grain Science Industry'!G71+'Hort &amp; Nat Res'!G70+'Plant Pathology'!G46</f>
        <v>7</v>
      </c>
      <c r="H48" s="1188"/>
      <c r="I48" s="1088">
        <f>'Ag Economics '!I62+Agronomy!I55+'Animal Sciences Industry'!I69+'Comm Ag Education'!I57+Entomolgy!I46+'Grain Science Industry'!I71+'Hort &amp; Nat Res'!I70+'Plant Pathology'!I46</f>
        <v>6</v>
      </c>
      <c r="J48" s="1149">
        <f>'Ag Economics '!J62+Agronomy!J55+'Animal Sciences Industry'!J69+'Comm Ag Education'!J57+Entomolgy!J46+'Grain Science Industry'!J71+'Hort &amp; Nat Res'!J70+'Plant Pathology'!J46+'Dean AG'!J77</f>
        <v>2.5</v>
      </c>
      <c r="K48" s="1088">
        <f>'Ag Economics '!K62+Agronomy!K55+'Animal Sciences Industry'!K69+'Comm Ag Education'!K57+Entomolgy!K46+'Grain Science Industry'!K71+'Hort &amp; Nat Res'!K70+'Plant Pathology'!K46+'Dean AG'!K77</f>
        <v>6</v>
      </c>
      <c r="L48" s="1149">
        <f>'Ag Economics '!L62+Agronomy!L55+'Animal Sciences Industry'!L69+'Comm Ag Education'!L57+Entomolgy!L46+'Grain Science Industry'!L71+'Hort &amp; Nat Res'!L70+'Plant Pathology'!L46+'Dean AG'!L77</f>
        <v>2</v>
      </c>
      <c r="M48" s="1088">
        <f>'Ag Economics '!M62+Agronomy!M55+'Animal Sciences Industry'!M69+'Comm Ag Education'!M57+Entomolgy!M46+'Grain Science Industry'!M71+'Hort &amp; Nat Res'!M70+'Plant Pathology'!M46+'Dean AG'!M77</f>
        <v>5</v>
      </c>
      <c r="N48" s="1149">
        <f>'Ag Economics '!N62+Agronomy!N55+'Animal Sciences Industry'!N69+'Comm Ag Education'!N57+Entomolgy!N46+'Grain Science Industry'!N71+'Hort &amp; Nat Res'!N70+'Plant Pathology'!N46+'Dean AG'!N77</f>
        <v>1.8</v>
      </c>
      <c r="O48" s="1088">
        <f>'Ag Economics '!O62+Agronomy!O55+'Animal Sciences Industry'!O69+'Comm Ag Education'!O57+Entomolgy!O46+'Grain Science Industry'!O71+'Hort &amp; Nat Res'!O70+'Plant Pathology'!O46+'Dean AG'!O77</f>
        <v>4</v>
      </c>
      <c r="P48" s="1149">
        <f>'Ag Economics '!P62+Agronomy!P55+'Animal Sciences Industry'!P69+'Comm Ag Education'!P57+Entomolgy!P46+'Grain Science Industry'!P71+'Hort &amp; Nat Res'!P70+'Plant Pathology'!P46+'Dean AG'!P77</f>
        <v>4.2</v>
      </c>
      <c r="Q48" s="1088">
        <f>'Ag Economics '!Q62+Agronomy!Q55+'Animal Sciences Industry'!Q69+'Comm Ag Education'!Q57+Entomolgy!Q46+'Grain Science Industry'!Q71+'Hort &amp; Nat Res'!Q70+'Plant Pathology'!Q46+'Dean AG'!Q77</f>
        <v>8</v>
      </c>
      <c r="R48" s="1149">
        <f>'Ag Economics '!R62+Agronomy!R55+'Animal Sciences Industry'!R69+'Comm Ag Education'!R57+Entomolgy!R46+'Grain Science Industry'!R71+'Hort &amp; Nat Res'!R70+'Plant Pathology'!R46+'Dean AG'!R77</f>
        <v>5.4</v>
      </c>
      <c r="S48" s="1088">
        <f>'Ag Economics '!S62+Agronomy!S55+'Animal Sciences Industry'!S69+'Comm Ag Education'!S57+Entomolgy!S46+'Grain Science Industry'!S71+'Hort &amp; Nat Res'!S70+'Plant Pathology'!S46+'Dean AG'!S77</f>
        <v>10</v>
      </c>
      <c r="T48" s="1152">
        <f>'Ag Economics '!T62+Agronomy!T55+'Animal Sciences Industry'!T69+'Comm Ag Education'!T57+Entomolgy!T46+'Grain Science Industry'!T71+'Hort &amp; Nat Res'!T70+'Plant Pathology'!T46+'Dean AG'!T77</f>
        <v>2.5</v>
      </c>
      <c r="U48" s="1089">
        <f>'Ag Economics '!U62+Agronomy!U55+'Animal Sciences Industry'!U69+'Comm Ag Education'!U57+Entomolgy!U46+'Grain Science Industry'!U71+'Hort &amp; Nat Res'!U70+'Plant Pathology'!U46+'Dean AG'!U77</f>
        <v>5</v>
      </c>
    </row>
    <row r="49" spans="1:21" ht="13.5" thickBot="1" x14ac:dyDescent="0.25">
      <c r="A49" s="795" t="s">
        <v>22</v>
      </c>
      <c r="B49" s="1189"/>
      <c r="C49" s="1129">
        <f>'Ag Economics '!C63+Agronomy!C56+'Animal Sciences Industry'!C70+'Comm Ag Education'!C58+Entomolgy!C47+'Grain Science Industry'!C72+'Hort &amp; Nat Res'!C71+'Plant Pathology'!C47</f>
        <v>209</v>
      </c>
      <c r="D49" s="1189"/>
      <c r="E49" s="1129">
        <f>'Ag Economics '!E63+Agronomy!E56+'Animal Sciences Industry'!E70+'Comm Ag Education'!E58+Entomolgy!E47+'Grain Science Industry'!E72+'Hort &amp; Nat Res'!E71+'Plant Pathology'!E47</f>
        <v>217</v>
      </c>
      <c r="F49" s="1189"/>
      <c r="G49" s="1129">
        <f>'Ag Economics '!G63+Agronomy!G56+'Animal Sciences Industry'!G70+'Comm Ag Education'!G58+Entomolgy!G47+'Grain Science Industry'!G72+'Hort &amp; Nat Res'!G71+'Plant Pathology'!G47</f>
        <v>213</v>
      </c>
      <c r="H49" s="1189"/>
      <c r="I49" s="1129">
        <f>'Ag Economics '!I63+Agronomy!I56+'Animal Sciences Industry'!I70+'Comm Ag Education'!I58+Entomolgy!I47+'Grain Science Industry'!I72+'Hort &amp; Nat Res'!I71+'Plant Pathology'!I47</f>
        <v>199</v>
      </c>
      <c r="J49" s="1150">
        <f>'Ag Economics '!J63+Agronomy!J56+'Animal Sciences Industry'!J70+'Comm Ag Education'!J58+Entomolgy!J47+'Grain Science Industry'!J72+'Hort &amp; Nat Res'!J71+'Plant Pathology'!J47+'Dean AG'!J78</f>
        <v>225.55</v>
      </c>
      <c r="K49" s="1129">
        <f>'Ag Economics '!K63+Agronomy!K56+'Animal Sciences Industry'!K70+'Comm Ag Education'!K58+Entomolgy!K47+'Grain Science Industry'!K72+'Hort &amp; Nat Res'!K71+'Plant Pathology'!K47+'Dean AG'!K78</f>
        <v>230</v>
      </c>
      <c r="L49" s="1150">
        <f>'Ag Economics '!L63+Agronomy!L56+'Animal Sciences Industry'!L70+'Comm Ag Education'!L58+Entomolgy!L47+'Grain Science Industry'!L72+'Hort &amp; Nat Res'!L71+'Plant Pathology'!L47+'Dean AG'!L78</f>
        <v>226.05</v>
      </c>
      <c r="M49" s="1129">
        <f>'Ag Economics '!M63+Agronomy!M56+'Animal Sciences Industry'!M70+'Comm Ag Education'!M58+Entomolgy!M47+'Grain Science Industry'!M72+'Hort &amp; Nat Res'!M71+'Plant Pathology'!M47+'Dean AG'!M78</f>
        <v>231</v>
      </c>
      <c r="N49" s="1150">
        <f>'Ag Economics '!N63+Agronomy!N56+'Animal Sciences Industry'!N70+'Comm Ag Education'!N58+Entomolgy!N47+'Grain Science Industry'!N72+'Hort &amp; Nat Res'!N71+'Plant Pathology'!N47+'Dean AG'!N78</f>
        <v>235.5</v>
      </c>
      <c r="O49" s="1129">
        <f>'Ag Economics '!O63+Agronomy!O56+'Animal Sciences Industry'!O70+'Comm Ag Education'!O58+Entomolgy!O47+'Grain Science Industry'!O72+'Hort &amp; Nat Res'!O71+'Plant Pathology'!O47+'Dean AG'!O78</f>
        <v>238</v>
      </c>
      <c r="P49" s="1150">
        <f>'Ag Economics '!P63+Agronomy!P56+'Animal Sciences Industry'!P70+'Comm Ag Education'!P58+Entomolgy!P47+'Grain Science Industry'!P72+'Hort &amp; Nat Res'!P71+'Plant Pathology'!P47+'Dean AG'!P78</f>
        <v>228.60000000000002</v>
      </c>
      <c r="Q49" s="1129">
        <f>'Ag Economics '!Q63+Agronomy!Q56+'Animal Sciences Industry'!Q70+'Comm Ag Education'!Q58+Entomolgy!Q47+'Grain Science Industry'!Q72+'Hort &amp; Nat Res'!Q71+'Plant Pathology'!Q47+'Dean AG'!Q78</f>
        <v>234</v>
      </c>
      <c r="R49" s="1150">
        <f>'Ag Economics '!R63+Agronomy!R56+'Animal Sciences Industry'!R70+'Comm Ag Education'!R58+Entomolgy!R47+'Grain Science Industry'!R72+'Hort &amp; Nat Res'!R71+'Plant Pathology'!R47+'Dean AG'!R78</f>
        <v>228</v>
      </c>
      <c r="S49" s="1129">
        <f>'Ag Economics '!S63+Agronomy!S56+'Animal Sciences Industry'!S70+'Comm Ag Education'!S58+Entomolgy!S47+'Grain Science Industry'!S72+'Hort &amp; Nat Res'!S71+'Plant Pathology'!S47+'Dean AG'!S78</f>
        <v>233</v>
      </c>
      <c r="T49" s="1153">
        <f>'Ag Economics '!T63+Agronomy!T56+'Animal Sciences Industry'!T70+'Comm Ag Education'!T58+Entomolgy!T47+'Grain Science Industry'!T72+'Hort &amp; Nat Res'!T71+'Plant Pathology'!T47+'Dean AG'!T78</f>
        <v>239.20000000000002</v>
      </c>
      <c r="U49" s="1130">
        <f>'Ag Economics '!U63+Agronomy!U56+'Animal Sciences Industry'!U70+'Comm Ag Education'!U58+Entomolgy!U47+'Grain Science Industry'!U72+'Hort &amp; Nat Res'!U71+'Plant Pathology'!U47+'Dean AG'!U78</f>
        <v>246</v>
      </c>
    </row>
    <row r="50" spans="1:21" ht="13.5" thickBot="1" x14ac:dyDescent="0.25">
      <c r="A50" s="796" t="s">
        <v>200</v>
      </c>
      <c r="B50" s="793" t="s">
        <v>36</v>
      </c>
      <c r="C50" s="810" t="s">
        <v>102</v>
      </c>
      <c r="D50" s="793" t="s">
        <v>36</v>
      </c>
      <c r="E50" s="810" t="s">
        <v>102</v>
      </c>
      <c r="F50" s="793" t="s">
        <v>36</v>
      </c>
      <c r="G50" s="810" t="s">
        <v>102</v>
      </c>
      <c r="H50" s="793" t="s">
        <v>36</v>
      </c>
      <c r="I50" s="810" t="s">
        <v>102</v>
      </c>
      <c r="J50" s="793" t="s">
        <v>36</v>
      </c>
      <c r="K50" s="810" t="s">
        <v>102</v>
      </c>
      <c r="L50" s="793" t="s">
        <v>36</v>
      </c>
      <c r="M50" s="810" t="s">
        <v>102</v>
      </c>
      <c r="N50" s="793" t="s">
        <v>36</v>
      </c>
      <c r="O50" s="810" t="s">
        <v>102</v>
      </c>
      <c r="P50" s="793" t="s">
        <v>36</v>
      </c>
      <c r="Q50" s="810" t="s">
        <v>102</v>
      </c>
      <c r="R50" s="793" t="s">
        <v>36</v>
      </c>
      <c r="S50" s="810" t="s">
        <v>102</v>
      </c>
      <c r="T50" s="793" t="s">
        <v>36</v>
      </c>
      <c r="U50" s="780" t="s">
        <v>102</v>
      </c>
    </row>
    <row r="51" spans="1:21" x14ac:dyDescent="0.2">
      <c r="A51" s="782" t="s">
        <v>226</v>
      </c>
      <c r="B51" s="1090"/>
      <c r="C51" s="1091"/>
      <c r="D51" s="1090"/>
      <c r="E51" s="1091"/>
      <c r="F51" s="1090"/>
      <c r="G51" s="1091"/>
      <c r="H51" s="1090"/>
      <c r="I51" s="1091"/>
      <c r="J51" s="1090"/>
      <c r="K51" s="1091"/>
      <c r="L51" s="1090"/>
      <c r="M51" s="1091"/>
      <c r="N51" s="1090"/>
      <c r="O51" s="1091"/>
      <c r="P51" s="1090"/>
      <c r="Q51" s="1091"/>
      <c r="R51" s="1090"/>
      <c r="S51" s="1091"/>
      <c r="T51" s="1090"/>
      <c r="U51" s="1093"/>
    </row>
    <row r="52" spans="1:21" x14ac:dyDescent="0.2">
      <c r="A52" s="326" t="s">
        <v>103</v>
      </c>
      <c r="B52" s="1082">
        <f>'Ag Economics '!B66+Agronomy!B59+'Animal Sciences Industry'!B73+'Comm Ag Education'!B61+Entomolgy!B50+'Grain Science Industry'!B75+'Hort &amp; Nat Res'!B74+'Plant Pathology'!B50</f>
        <v>172</v>
      </c>
      <c r="C52" s="1113">
        <f>B52/$E$49</f>
        <v>0.79262672811059909</v>
      </c>
      <c r="D52" s="1082">
        <f>'Ag Economics '!D66+Agronomy!D59+'Animal Sciences Industry'!D73+'Comm Ag Education'!D61+Entomolgy!D50+'Grain Science Industry'!D75+'Hort &amp; Nat Res'!D74+'Plant Pathology'!D50</f>
        <v>180</v>
      </c>
      <c r="E52" s="1113">
        <f>D52/$E$49</f>
        <v>0.82949308755760365</v>
      </c>
      <c r="F52" s="1082">
        <f>'Ag Economics '!F66+Agronomy!F59+'Animal Sciences Industry'!F73+'Comm Ag Education'!F61+Entomolgy!F50+'Grain Science Industry'!F75+'Hort &amp; Nat Res'!F74+'Plant Pathology'!F50</f>
        <v>177</v>
      </c>
      <c r="G52" s="1113">
        <f>F52/$G$49</f>
        <v>0.83098591549295775</v>
      </c>
      <c r="H52" s="1082">
        <f>'Ag Economics '!H66+Agronomy!H59+'Animal Sciences Industry'!H73+'Comm Ag Education'!H61+Entomolgy!H50+'Grain Science Industry'!H75+'Hort &amp; Nat Res'!H74+'Plant Pathology'!H50</f>
        <v>151</v>
      </c>
      <c r="I52" s="1113">
        <f>H52/$I$49</f>
        <v>0.75879396984924619</v>
      </c>
      <c r="J52" s="1082">
        <f>'Ag Economics '!J66+Agronomy!J59+'Animal Sciences Industry'!J73+'Comm Ag Education'!J61+Entomolgy!J50+'Grain Science Industry'!J75+'Hort &amp; Nat Res'!J74+'Plant Pathology'!J50</f>
        <v>146</v>
      </c>
      <c r="K52" s="1113">
        <f>J52/$K$49</f>
        <v>0.63478260869565217</v>
      </c>
      <c r="L52" s="1082">
        <f>'Ag Economics '!L66+Agronomy!L59+'Animal Sciences Industry'!L73+'Comm Ag Education'!L61+Entomolgy!L50+'Grain Science Industry'!L75+'Hort &amp; Nat Res'!L74+'Plant Pathology'!L50</f>
        <v>167</v>
      </c>
      <c r="M52" s="1113">
        <f>L52/$M$49</f>
        <v>0.72294372294372289</v>
      </c>
      <c r="N52" s="1082">
        <f>'Ag Economics '!N66+Agronomy!N59+'Animal Sciences Industry'!N73+'Comm Ag Education'!N61+Entomolgy!N50+'Grain Science Industry'!N75+'Hort &amp; Nat Res'!N74+'Plant Pathology'!N50</f>
        <v>168</v>
      </c>
      <c r="O52" s="1113">
        <f>N52/$O$49</f>
        <v>0.70588235294117652</v>
      </c>
      <c r="P52" s="1082">
        <f>'Ag Economics '!P66+Agronomy!P59+'Animal Sciences Industry'!P73+'Comm Ag Education'!P61+Entomolgy!P50+'Grain Science Industry'!P75+'Hort &amp; Nat Res'!P74+'Plant Pathology'!P50</f>
        <v>168</v>
      </c>
      <c r="Q52" s="1113">
        <f>P52/$Q$49</f>
        <v>0.71794871794871795</v>
      </c>
      <c r="R52" s="1082">
        <f>'Ag Economics '!R66+Agronomy!R59+'Animal Sciences Industry'!R73+'Comm Ag Education'!R61+Entomolgy!R50+'Grain Science Industry'!R75+'Hort &amp; Nat Res'!R74+'Plant Pathology'!R50</f>
        <v>167</v>
      </c>
      <c r="S52" s="1113">
        <f>R52/$Q$49</f>
        <v>0.71367521367521369</v>
      </c>
      <c r="T52" s="1082">
        <f>'Ag Economics '!T66+Agronomy!T59+'Animal Sciences Industry'!T73+'Comm Ag Education'!T61+Entomolgy!T50+'Grain Science Industry'!T75+'Hort &amp; Nat Res'!T74+'Plant Pathology'!T50</f>
        <v>173</v>
      </c>
      <c r="U52" s="1127">
        <f>T52/$Q$49</f>
        <v>0.73931623931623935</v>
      </c>
    </row>
    <row r="53" spans="1:21" x14ac:dyDescent="0.2">
      <c r="A53" s="336" t="s">
        <v>104</v>
      </c>
      <c r="B53" s="1082">
        <f>'Ag Economics '!B67+Agronomy!B60+'Animal Sciences Industry'!B74+'Comm Ag Education'!B62+Entomolgy!B51+'Grain Science Industry'!B76+'Hort &amp; Nat Res'!B75+'Plant Pathology'!B51</f>
        <v>1</v>
      </c>
      <c r="C53" s="1113">
        <f t="shared" ref="C53:C59" si="0">B53/$E$49</f>
        <v>4.608294930875576E-3</v>
      </c>
      <c r="D53" s="1082">
        <f>'Ag Economics '!D67+Agronomy!D60+'Animal Sciences Industry'!D74+'Comm Ag Education'!D62+Entomolgy!D51+'Grain Science Industry'!D76+'Hort &amp; Nat Res'!D75+'Plant Pathology'!D51</f>
        <v>2</v>
      </c>
      <c r="E53" s="1113">
        <f t="shared" ref="E53:E70" si="1">D53/$E$49</f>
        <v>9.2165898617511521E-3</v>
      </c>
      <c r="F53" s="1082">
        <f>'Ag Economics '!F67+Agronomy!F60+'Animal Sciences Industry'!F74+'Comm Ag Education'!F62+Entomolgy!F51+'Grain Science Industry'!F76+'Hort &amp; Nat Res'!F75+'Plant Pathology'!F51</f>
        <v>2</v>
      </c>
      <c r="G53" s="1113">
        <f t="shared" ref="G53:G71" si="2">F53/$G$49</f>
        <v>9.3896713615023476E-3</v>
      </c>
      <c r="H53" s="1082">
        <f>'Ag Economics '!H67+Agronomy!H60+'Animal Sciences Industry'!H74+'Comm Ag Education'!H62+Entomolgy!H51+'Grain Science Industry'!H76+'Hort &amp; Nat Res'!H75+'Plant Pathology'!H51</f>
        <v>3</v>
      </c>
      <c r="I53" s="1113">
        <f t="shared" ref="I53:I71" si="3">H53/$I$49</f>
        <v>1.507537688442211E-2</v>
      </c>
      <c r="J53" s="1082">
        <f>'Ag Economics '!J67+Agronomy!J60+'Animal Sciences Industry'!J74+'Comm Ag Education'!J62+Entomolgy!J51+'Grain Science Industry'!J76+'Hort &amp; Nat Res'!J75+'Plant Pathology'!J51</f>
        <v>3</v>
      </c>
      <c r="K53" s="1113">
        <f t="shared" ref="K53:K71" si="4">J53/$K$49</f>
        <v>1.3043478260869565E-2</v>
      </c>
      <c r="L53" s="1082">
        <f>'Ag Economics '!L67+Agronomy!L60+'Animal Sciences Industry'!L74+'Comm Ag Education'!L62+Entomolgy!L51+'Grain Science Industry'!L76+'Hort &amp; Nat Res'!L75+'Plant Pathology'!L51</f>
        <v>4</v>
      </c>
      <c r="M53" s="1113">
        <f t="shared" ref="M53:M71" si="5">L53/$M$49</f>
        <v>1.7316017316017316E-2</v>
      </c>
      <c r="N53" s="1082">
        <f>'Ag Economics '!N67+Agronomy!N60+'Animal Sciences Industry'!N74+'Comm Ag Education'!N62+Entomolgy!N51+'Grain Science Industry'!N76+'Hort &amp; Nat Res'!N75+'Plant Pathology'!N51</f>
        <v>4</v>
      </c>
      <c r="O53" s="1113">
        <f t="shared" ref="O53:O71" si="6">N53/$O$49</f>
        <v>1.680672268907563E-2</v>
      </c>
      <c r="P53" s="1082">
        <f>'Ag Economics '!P67+Agronomy!P60+'Animal Sciences Industry'!P74+'Comm Ag Education'!P62+Entomolgy!P51+'Grain Science Industry'!P76+'Hort &amp; Nat Res'!P75+'Plant Pathology'!P51</f>
        <v>4</v>
      </c>
      <c r="Q53" s="1113">
        <f t="shared" ref="Q53:Q71" si="7">P53/$Q$49</f>
        <v>1.7094017094017096E-2</v>
      </c>
      <c r="R53" s="1082">
        <f>'Ag Economics '!R67+Agronomy!R60+'Animal Sciences Industry'!R74+'Comm Ag Education'!R62+Entomolgy!R51+'Grain Science Industry'!R76+'Hort &amp; Nat Res'!R75+'Plant Pathology'!R51</f>
        <v>4</v>
      </c>
      <c r="S53" s="1113">
        <f t="shared" ref="S53:S59" si="8">R53/$Q$49</f>
        <v>1.7094017094017096E-2</v>
      </c>
      <c r="T53" s="1082">
        <f>'Ag Economics '!T67+Agronomy!T60+'Animal Sciences Industry'!T74+'Comm Ag Education'!T62+Entomolgy!T51+'Grain Science Industry'!T76+'Hort &amp; Nat Res'!T75+'Plant Pathology'!T51</f>
        <v>4</v>
      </c>
      <c r="U53" s="1127">
        <f t="shared" ref="U53:U59" si="9">T53/$Q$49</f>
        <v>1.7094017094017096E-2</v>
      </c>
    </row>
    <row r="54" spans="1:21" x14ac:dyDescent="0.2">
      <c r="A54" s="336" t="s">
        <v>105</v>
      </c>
      <c r="B54" s="1082">
        <f>'Ag Economics '!B68+Agronomy!B61+'Animal Sciences Industry'!B75+'Comm Ag Education'!B63+Entomolgy!B52+'Grain Science Industry'!B77+'Hort &amp; Nat Res'!B76+'Plant Pathology'!B52</f>
        <v>1</v>
      </c>
      <c r="C54" s="1113">
        <f t="shared" si="0"/>
        <v>4.608294930875576E-3</v>
      </c>
      <c r="D54" s="1082">
        <f>'Ag Economics '!D68+Agronomy!D61+'Animal Sciences Industry'!D75+'Comm Ag Education'!D63+Entomolgy!D52+'Grain Science Industry'!D77+'Hort &amp; Nat Res'!D76+'Plant Pathology'!D52</f>
        <v>0</v>
      </c>
      <c r="E54" s="1113">
        <f t="shared" si="1"/>
        <v>0</v>
      </c>
      <c r="F54" s="1082">
        <f>'Ag Economics '!F68+Agronomy!F61+'Animal Sciences Industry'!F75+'Comm Ag Education'!F63+Entomolgy!F52+'Grain Science Industry'!F77+'Hort &amp; Nat Res'!F76+'Plant Pathology'!F52</f>
        <v>0</v>
      </c>
      <c r="G54" s="1113">
        <f t="shared" si="2"/>
        <v>0</v>
      </c>
      <c r="H54" s="1082">
        <f>'Ag Economics '!H68+Agronomy!H61+'Animal Sciences Industry'!H75+'Comm Ag Education'!H63+Entomolgy!H52+'Grain Science Industry'!H77+'Hort &amp; Nat Res'!H76+'Plant Pathology'!H52</f>
        <v>1</v>
      </c>
      <c r="I54" s="1113">
        <f t="shared" si="3"/>
        <v>5.0251256281407036E-3</v>
      </c>
      <c r="J54" s="1082">
        <f>'Ag Economics '!J68+Agronomy!J61+'Animal Sciences Industry'!J75+'Comm Ag Education'!J63+Entomolgy!J52+'Grain Science Industry'!J77+'Hort &amp; Nat Res'!J76+'Plant Pathology'!J52</f>
        <v>3</v>
      </c>
      <c r="K54" s="1113">
        <f t="shared" si="4"/>
        <v>1.3043478260869565E-2</v>
      </c>
      <c r="L54" s="1082">
        <f>'Ag Economics '!L68+Agronomy!L61+'Animal Sciences Industry'!L75+'Comm Ag Education'!L63+Entomolgy!L52+'Grain Science Industry'!L77+'Hort &amp; Nat Res'!L76+'Plant Pathology'!L52</f>
        <v>3</v>
      </c>
      <c r="M54" s="1113">
        <f t="shared" si="5"/>
        <v>1.2987012987012988E-2</v>
      </c>
      <c r="N54" s="1082">
        <f>'Ag Economics '!N68+Agronomy!N61+'Animal Sciences Industry'!N75+'Comm Ag Education'!N63+Entomolgy!N52+'Grain Science Industry'!N77+'Hort &amp; Nat Res'!N76+'Plant Pathology'!N52</f>
        <v>3</v>
      </c>
      <c r="O54" s="1113">
        <f t="shared" si="6"/>
        <v>1.2605042016806723E-2</v>
      </c>
      <c r="P54" s="1082">
        <f>'Ag Economics '!P68+Agronomy!P61+'Animal Sciences Industry'!P75+'Comm Ag Education'!P63+Entomolgy!P52+'Grain Science Industry'!P77+'Hort &amp; Nat Res'!P76+'Plant Pathology'!P52</f>
        <v>3</v>
      </c>
      <c r="Q54" s="1113">
        <f t="shared" si="7"/>
        <v>1.282051282051282E-2</v>
      </c>
      <c r="R54" s="1082">
        <f>'Ag Economics '!R68+Agronomy!R61+'Animal Sciences Industry'!R75+'Comm Ag Education'!R63+Entomolgy!R52+'Grain Science Industry'!R77+'Hort &amp; Nat Res'!R76+'Plant Pathology'!R52</f>
        <v>8</v>
      </c>
      <c r="S54" s="1113">
        <f t="shared" si="8"/>
        <v>3.4188034188034191E-2</v>
      </c>
      <c r="T54" s="1082">
        <f>'Ag Economics '!T68+Agronomy!T61+'Animal Sciences Industry'!T75+'Comm Ag Education'!T63+Entomolgy!T52+'Grain Science Industry'!T77+'Hort &amp; Nat Res'!T76+'Plant Pathology'!T52</f>
        <v>7</v>
      </c>
      <c r="U54" s="1127">
        <f t="shared" si="9"/>
        <v>2.9914529914529916E-2</v>
      </c>
    </row>
    <row r="55" spans="1:21" x14ac:dyDescent="0.2">
      <c r="A55" s="336" t="s">
        <v>106</v>
      </c>
      <c r="B55" s="1082">
        <f>'Ag Economics '!B69+Agronomy!B62+'Animal Sciences Industry'!B76+'Comm Ag Education'!B64+Entomolgy!B53+'Grain Science Industry'!B78+'Hort &amp; Nat Res'!B77+'Plant Pathology'!B53</f>
        <v>3</v>
      </c>
      <c r="C55" s="1113">
        <f t="shared" si="0"/>
        <v>1.3824884792626729E-2</v>
      </c>
      <c r="D55" s="1082">
        <f>'Ag Economics '!D69+Agronomy!D62+'Animal Sciences Industry'!D76+'Comm Ag Education'!D64+Entomolgy!D53+'Grain Science Industry'!D78+'Hort &amp; Nat Res'!D77+'Plant Pathology'!D53</f>
        <v>3</v>
      </c>
      <c r="E55" s="1113">
        <f t="shared" si="1"/>
        <v>1.3824884792626729E-2</v>
      </c>
      <c r="F55" s="1082">
        <f>'Ag Economics '!F69+Agronomy!F62+'Animal Sciences Industry'!F76+'Comm Ag Education'!F64+Entomolgy!F53+'Grain Science Industry'!F78+'Hort &amp; Nat Res'!F77+'Plant Pathology'!F53</f>
        <v>3</v>
      </c>
      <c r="G55" s="1113">
        <f t="shared" si="2"/>
        <v>1.4084507042253521E-2</v>
      </c>
      <c r="H55" s="1082">
        <f>'Ag Economics '!H69+Agronomy!H62+'Animal Sciences Industry'!H76+'Comm Ag Education'!H64+Entomolgy!H53+'Grain Science Industry'!H78+'Hort &amp; Nat Res'!H77+'Plant Pathology'!H53</f>
        <v>2</v>
      </c>
      <c r="I55" s="1113">
        <f t="shared" si="3"/>
        <v>1.0050251256281407E-2</v>
      </c>
      <c r="J55" s="1082">
        <f>'Ag Economics '!J69+Agronomy!J62+'Animal Sciences Industry'!J76+'Comm Ag Education'!J64+Entomolgy!J53+'Grain Science Industry'!J78+'Hort &amp; Nat Res'!J77+'Plant Pathology'!J53</f>
        <v>2</v>
      </c>
      <c r="K55" s="1113">
        <f t="shared" si="4"/>
        <v>8.6956521739130436E-3</v>
      </c>
      <c r="L55" s="1082">
        <f>'Ag Economics '!L69+Agronomy!L62+'Animal Sciences Industry'!L76+'Comm Ag Education'!L64+Entomolgy!L53+'Grain Science Industry'!L78+'Hort &amp; Nat Res'!L77+'Plant Pathology'!L53</f>
        <v>2</v>
      </c>
      <c r="M55" s="1113">
        <f t="shared" si="5"/>
        <v>8.658008658008658E-3</v>
      </c>
      <c r="N55" s="1082">
        <f>'Ag Economics '!N69+Agronomy!N62+'Animal Sciences Industry'!N76+'Comm Ag Education'!N64+Entomolgy!N53+'Grain Science Industry'!N78+'Hort &amp; Nat Res'!N77+'Plant Pathology'!N53</f>
        <v>2</v>
      </c>
      <c r="O55" s="1113">
        <f t="shared" si="6"/>
        <v>8.4033613445378148E-3</v>
      </c>
      <c r="P55" s="1082">
        <f>'Ag Economics '!P69+Agronomy!P62+'Animal Sciences Industry'!P76+'Comm Ag Education'!P64+Entomolgy!P53+'Grain Science Industry'!P78+'Hort &amp; Nat Res'!P77+'Plant Pathology'!P53</f>
        <v>2</v>
      </c>
      <c r="Q55" s="1113">
        <f t="shared" si="7"/>
        <v>8.5470085470085479E-3</v>
      </c>
      <c r="R55" s="1082">
        <f>'Ag Economics '!R69+Agronomy!R62+'Animal Sciences Industry'!R76+'Comm Ag Education'!R64+Entomolgy!R53+'Grain Science Industry'!R78+'Hort &amp; Nat Res'!R77+'Plant Pathology'!R53</f>
        <v>2</v>
      </c>
      <c r="S55" s="1113">
        <f t="shared" si="8"/>
        <v>8.5470085470085479E-3</v>
      </c>
      <c r="T55" s="1082">
        <f>'Ag Economics '!T69+Agronomy!T62+'Animal Sciences Industry'!T76+'Comm Ag Education'!T64+Entomolgy!T53+'Grain Science Industry'!T78+'Hort &amp; Nat Res'!T77+'Plant Pathology'!T53</f>
        <v>2</v>
      </c>
      <c r="U55" s="1127">
        <f t="shared" si="9"/>
        <v>8.5470085470085479E-3</v>
      </c>
    </row>
    <row r="56" spans="1:21" x14ac:dyDescent="0.2">
      <c r="A56" s="336" t="s">
        <v>107</v>
      </c>
      <c r="B56" s="1082">
        <f>'Ag Economics '!B70+Agronomy!B63+'Animal Sciences Industry'!B77+'Comm Ag Education'!B65+Entomolgy!B54+'Grain Science Industry'!B79+'Hort &amp; Nat Res'!B78+'Plant Pathology'!B54</f>
        <v>21</v>
      </c>
      <c r="C56" s="1113">
        <f t="shared" si="0"/>
        <v>9.6774193548387094E-2</v>
      </c>
      <c r="D56" s="1082">
        <f>'Ag Economics '!D70+Agronomy!D63+'Animal Sciences Industry'!D77+'Comm Ag Education'!D65+Entomolgy!D54+'Grain Science Industry'!D79+'Hort &amp; Nat Res'!D78+'Plant Pathology'!D54</f>
        <v>20</v>
      </c>
      <c r="E56" s="1113">
        <f t="shared" si="1"/>
        <v>9.2165898617511524E-2</v>
      </c>
      <c r="F56" s="1082">
        <f>'Ag Economics '!F70+Agronomy!F63+'Animal Sciences Industry'!F77+'Comm Ag Education'!F65+Entomolgy!F54+'Grain Science Industry'!F79+'Hort &amp; Nat Res'!F78+'Plant Pathology'!F54</f>
        <v>19</v>
      </c>
      <c r="G56" s="1113">
        <f t="shared" si="2"/>
        <v>8.9201877934272297E-2</v>
      </c>
      <c r="H56" s="1082">
        <f>'Ag Economics '!H70+Agronomy!H63+'Animal Sciences Industry'!H77+'Comm Ag Education'!H65+Entomolgy!H54+'Grain Science Industry'!H79+'Hort &amp; Nat Res'!H78+'Plant Pathology'!H54</f>
        <v>17</v>
      </c>
      <c r="I56" s="1113">
        <f t="shared" si="3"/>
        <v>8.5427135678391955E-2</v>
      </c>
      <c r="J56" s="1082">
        <f>'Ag Economics '!J70+Agronomy!J63+'Animal Sciences Industry'!J77+'Comm Ag Education'!J65+Entomolgy!J54+'Grain Science Industry'!J79+'Hort &amp; Nat Res'!J78+'Plant Pathology'!J54</f>
        <v>18</v>
      </c>
      <c r="K56" s="1113">
        <f t="shared" si="4"/>
        <v>7.8260869565217397E-2</v>
      </c>
      <c r="L56" s="1082">
        <f>'Ag Economics '!L70+Agronomy!L63+'Animal Sciences Industry'!L77+'Comm Ag Education'!L65+Entomolgy!L54+'Grain Science Industry'!L79+'Hort &amp; Nat Res'!L78+'Plant Pathology'!L54</f>
        <v>18</v>
      </c>
      <c r="M56" s="1113">
        <f t="shared" si="5"/>
        <v>7.792207792207792E-2</v>
      </c>
      <c r="N56" s="1082">
        <f>'Ag Economics '!N70+Agronomy!N63+'Animal Sciences Industry'!N77+'Comm Ag Education'!N65+Entomolgy!N54+'Grain Science Industry'!N79+'Hort &amp; Nat Res'!N78+'Plant Pathology'!N54</f>
        <v>24</v>
      </c>
      <c r="O56" s="1113">
        <f t="shared" si="6"/>
        <v>0.10084033613445378</v>
      </c>
      <c r="P56" s="1082">
        <f>'Ag Economics '!P70+Agronomy!P63+'Animal Sciences Industry'!P77+'Comm Ag Education'!P65+Entomolgy!P54+'Grain Science Industry'!P79+'Hort &amp; Nat Res'!P78+'Plant Pathology'!P54</f>
        <v>23</v>
      </c>
      <c r="Q56" s="1113">
        <f t="shared" si="7"/>
        <v>9.8290598290598288E-2</v>
      </c>
      <c r="R56" s="1082">
        <f>'Ag Economics '!R70+Agronomy!R63+'Animal Sciences Industry'!R77+'Comm Ag Education'!R65+Entomolgy!R54+'Grain Science Industry'!R79+'Hort &amp; Nat Res'!R78+'Plant Pathology'!R54</f>
        <v>19</v>
      </c>
      <c r="S56" s="1113">
        <f t="shared" si="8"/>
        <v>8.11965811965812E-2</v>
      </c>
      <c r="T56" s="1082">
        <f>'Ag Economics '!T70+Agronomy!T63+'Animal Sciences Industry'!T77+'Comm Ag Education'!T65+Entomolgy!T54+'Grain Science Industry'!T79+'Hort &amp; Nat Res'!T78+'Plant Pathology'!T54</f>
        <v>20</v>
      </c>
      <c r="U56" s="1127">
        <f t="shared" si="9"/>
        <v>8.5470085470085472E-2</v>
      </c>
    </row>
    <row r="57" spans="1:21" x14ac:dyDescent="0.2">
      <c r="A57" s="336" t="s">
        <v>108</v>
      </c>
      <c r="B57" s="1082">
        <f>'Ag Economics '!B71+Agronomy!B64+'Animal Sciences Industry'!B78+'Comm Ag Education'!B66+Entomolgy!B55+'Grain Science Industry'!B80+'Hort &amp; Nat Res'!B79+'Plant Pathology'!B55</f>
        <v>9</v>
      </c>
      <c r="C57" s="1113">
        <f t="shared" si="0"/>
        <v>4.1474654377880185E-2</v>
      </c>
      <c r="D57" s="1082">
        <f>'Ag Economics '!D71+Agronomy!D64+'Animal Sciences Industry'!D78+'Comm Ag Education'!D66+Entomolgy!D55+'Grain Science Industry'!D80+'Hort &amp; Nat Res'!D79+'Plant Pathology'!D55</f>
        <v>12</v>
      </c>
      <c r="E57" s="1113">
        <f t="shared" si="1"/>
        <v>5.5299539170506916E-2</v>
      </c>
      <c r="F57" s="1082">
        <f>'Ag Economics '!F71+Agronomy!F64+'Animal Sciences Industry'!F78+'Comm Ag Education'!F66+Entomolgy!F55+'Grain Science Industry'!F80+'Hort &amp; Nat Res'!F79+'Plant Pathology'!F55</f>
        <v>9</v>
      </c>
      <c r="G57" s="1113">
        <f t="shared" si="2"/>
        <v>4.2253521126760563E-2</v>
      </c>
      <c r="H57" s="1082">
        <f>'Ag Economics '!H71+Agronomy!H64+'Animal Sciences Industry'!H78+'Comm Ag Education'!H66+Entomolgy!H55+'Grain Science Industry'!H80+'Hort &amp; Nat Res'!H79+'Plant Pathology'!H55</f>
        <v>9</v>
      </c>
      <c r="I57" s="1113">
        <f t="shared" si="3"/>
        <v>4.5226130653266333E-2</v>
      </c>
      <c r="J57" s="1082">
        <f>'Ag Economics '!J71+Agronomy!J64+'Animal Sciences Industry'!J78+'Comm Ag Education'!J66+Entomolgy!J55+'Grain Science Industry'!J80+'Hort &amp; Nat Res'!J79+'Plant Pathology'!J55</f>
        <v>6</v>
      </c>
      <c r="K57" s="1113">
        <f t="shared" si="4"/>
        <v>2.6086956521739129E-2</v>
      </c>
      <c r="L57" s="1082">
        <f>'Ag Economics '!L71+Agronomy!L64+'Animal Sciences Industry'!L78+'Comm Ag Education'!L66+Entomolgy!L55+'Grain Science Industry'!L80+'Hort &amp; Nat Res'!L79+'Plant Pathology'!L55</f>
        <v>10</v>
      </c>
      <c r="M57" s="1113">
        <f t="shared" si="5"/>
        <v>4.3290043290043288E-2</v>
      </c>
      <c r="N57" s="1082">
        <f>'Ag Economics '!N71+Agronomy!N64+'Animal Sciences Industry'!N78+'Comm Ag Education'!N66+Entomolgy!N55+'Grain Science Industry'!N80+'Hort &amp; Nat Res'!N79+'Plant Pathology'!N55</f>
        <v>10</v>
      </c>
      <c r="O57" s="1113">
        <f t="shared" si="6"/>
        <v>4.2016806722689079E-2</v>
      </c>
      <c r="P57" s="1082">
        <f>'Ag Economics '!P71+Agronomy!P64+'Animal Sciences Industry'!P78+'Comm Ag Education'!P66+Entomolgy!P55+'Grain Science Industry'!P80+'Hort &amp; Nat Res'!P79+'Plant Pathology'!P55</f>
        <v>9</v>
      </c>
      <c r="Q57" s="1113">
        <f t="shared" si="7"/>
        <v>3.8461538461538464E-2</v>
      </c>
      <c r="R57" s="1082">
        <f>'Ag Economics '!R71+Agronomy!R64+'Animal Sciences Industry'!R78+'Comm Ag Education'!R66+Entomolgy!R55+'Grain Science Industry'!R80+'Hort &amp; Nat Res'!R79+'Plant Pathology'!R55</f>
        <v>6</v>
      </c>
      <c r="S57" s="1113">
        <f t="shared" si="8"/>
        <v>2.564102564102564E-2</v>
      </c>
      <c r="T57" s="1082">
        <f>'Ag Economics '!T71+Agronomy!T64+'Animal Sciences Industry'!T78+'Comm Ag Education'!T66+Entomolgy!T55+'Grain Science Industry'!T80+'Hort &amp; Nat Res'!T79+'Plant Pathology'!T55</f>
        <v>9</v>
      </c>
      <c r="U57" s="1127">
        <f t="shared" si="9"/>
        <v>3.8461538461538464E-2</v>
      </c>
    </row>
    <row r="58" spans="1:21" x14ac:dyDescent="0.2">
      <c r="A58" s="336" t="s">
        <v>109</v>
      </c>
      <c r="B58" s="1082">
        <f>'Ag Economics '!B72+Agronomy!B65+'Animal Sciences Industry'!B79+'Comm Ag Education'!B67+Entomolgy!B56+'Grain Science Industry'!B81+'Hort &amp; Nat Res'!B80+'Plant Pathology'!B56</f>
        <v>0</v>
      </c>
      <c r="C58" s="1113">
        <f t="shared" si="0"/>
        <v>0</v>
      </c>
      <c r="D58" s="1082">
        <f>'Ag Economics '!D72+Agronomy!D65+'Animal Sciences Industry'!D79+'Comm Ag Education'!D67+Entomolgy!D56+'Grain Science Industry'!D81+'Hort &amp; Nat Res'!D80+'Plant Pathology'!D56</f>
        <v>0</v>
      </c>
      <c r="E58" s="1113">
        <f t="shared" si="1"/>
        <v>0</v>
      </c>
      <c r="F58" s="1082">
        <f>'Ag Economics '!F72+Agronomy!F65+'Animal Sciences Industry'!F79+'Comm Ag Education'!F67+Entomolgy!F56+'Grain Science Industry'!F81+'Hort &amp; Nat Res'!F80+'Plant Pathology'!F56</f>
        <v>0</v>
      </c>
      <c r="G58" s="1113">
        <f t="shared" si="2"/>
        <v>0</v>
      </c>
      <c r="H58" s="1082">
        <f>'Ag Economics '!H72+Agronomy!H65+'Animal Sciences Industry'!H79+'Comm Ag Education'!H67+Entomolgy!H56+'Grain Science Industry'!H81+'Hort &amp; Nat Res'!H80+'Plant Pathology'!H56</f>
        <v>13</v>
      </c>
      <c r="I58" s="1113">
        <f t="shared" si="3"/>
        <v>6.5326633165829151E-2</v>
      </c>
      <c r="J58" s="1082">
        <f>'Ag Economics '!J72+Agronomy!J65+'Animal Sciences Industry'!J79+'Comm Ag Education'!J67+Entomolgy!J56+'Grain Science Industry'!J81+'Hort &amp; Nat Res'!J80+'Plant Pathology'!J56</f>
        <v>26</v>
      </c>
      <c r="K58" s="1113">
        <f t="shared" si="4"/>
        <v>0.11304347826086956</v>
      </c>
      <c r="L58" s="1082">
        <f>'Ag Economics '!L72+Agronomy!L65+'Animal Sciences Industry'!L79+'Comm Ag Education'!L67+Entomolgy!L56+'Grain Science Industry'!L81+'Hort &amp; Nat Res'!L80+'Plant Pathology'!L56</f>
        <v>2</v>
      </c>
      <c r="M58" s="1113">
        <f t="shared" si="5"/>
        <v>8.658008658008658E-3</v>
      </c>
      <c r="N58" s="1082">
        <f>'Ag Economics '!N72+Agronomy!N65+'Animal Sciences Industry'!N79+'Comm Ag Education'!N67+Entomolgy!N56+'Grain Science Industry'!N81+'Hort &amp; Nat Res'!N80+'Plant Pathology'!N56</f>
        <v>1</v>
      </c>
      <c r="O58" s="1113">
        <f t="shared" si="6"/>
        <v>4.2016806722689074E-3</v>
      </c>
      <c r="P58" s="1082">
        <f>'Ag Economics '!P72+Agronomy!P65+'Animal Sciences Industry'!P79+'Comm Ag Education'!P67+Entomolgy!P56+'Grain Science Industry'!P81+'Hort &amp; Nat Res'!P80+'Plant Pathology'!P56</f>
        <v>1</v>
      </c>
      <c r="Q58" s="1113">
        <f t="shared" si="7"/>
        <v>4.2735042735042739E-3</v>
      </c>
      <c r="R58" s="1082">
        <f>'Ag Economics '!R72+Agronomy!R65+'Animal Sciences Industry'!R79+'Comm Ag Education'!R67+Entomolgy!R56+'Grain Science Industry'!R81+'Hort &amp; Nat Res'!R80+'Plant Pathology'!R56</f>
        <v>0</v>
      </c>
      <c r="S58" s="1113">
        <f t="shared" si="8"/>
        <v>0</v>
      </c>
      <c r="T58" s="1082">
        <f>'Ag Economics '!T72+Agronomy!T65+'Animal Sciences Industry'!T79+'Comm Ag Education'!T67+Entomolgy!T56+'Grain Science Industry'!T81+'Hort &amp; Nat Res'!T80+'Plant Pathology'!T56</f>
        <v>2</v>
      </c>
      <c r="U58" s="1127">
        <f t="shared" si="9"/>
        <v>8.5470085470085479E-3</v>
      </c>
    </row>
    <row r="59" spans="1:21" ht="13.5" thickBot="1" x14ac:dyDescent="0.25">
      <c r="A59" s="336" t="s">
        <v>110</v>
      </c>
      <c r="B59" s="1087">
        <f>'Ag Economics '!B73+Agronomy!B66+'Animal Sciences Industry'!B80+'Comm Ag Education'!B68+Entomolgy!B57+'Grain Science Industry'!B82+'Hort &amp; Nat Res'!B81+'Plant Pathology'!B57</f>
        <v>0</v>
      </c>
      <c r="C59" s="1131">
        <f t="shared" si="0"/>
        <v>0</v>
      </c>
      <c r="D59" s="1087">
        <f>'Ag Economics '!D73+Agronomy!D66+'Animal Sciences Industry'!D80+'Comm Ag Education'!D68+Entomolgy!D57+'Grain Science Industry'!D82+'Hort &amp; Nat Res'!D81+'Plant Pathology'!D57</f>
        <v>0</v>
      </c>
      <c r="E59" s="1131">
        <f t="shared" si="1"/>
        <v>0</v>
      </c>
      <c r="F59" s="1087">
        <f>'Ag Economics '!F73+Agronomy!F66+'Animal Sciences Industry'!F80+'Comm Ag Education'!F68+Entomolgy!F57+'Grain Science Industry'!F82+'Hort &amp; Nat Res'!F81+'Plant Pathology'!F57</f>
        <v>3</v>
      </c>
      <c r="G59" s="1131">
        <f t="shared" si="2"/>
        <v>1.4084507042253521E-2</v>
      </c>
      <c r="H59" s="1087">
        <f>'Ag Economics '!H73+Agronomy!H66+'Animal Sciences Industry'!H80+'Comm Ag Education'!H68+Entomolgy!H57+'Grain Science Industry'!H82+'Hort &amp; Nat Res'!H81+'Plant Pathology'!H57</f>
        <v>5</v>
      </c>
      <c r="I59" s="1131">
        <f t="shared" si="3"/>
        <v>2.5125628140703519E-2</v>
      </c>
      <c r="J59" s="1087">
        <f>'Ag Economics '!J73+Agronomy!J66+'Animal Sciences Industry'!J80+'Comm Ag Education'!J68+Entomolgy!J57+'Grain Science Industry'!J82+'Hort &amp; Nat Res'!J81+'Plant Pathology'!J57</f>
        <v>4</v>
      </c>
      <c r="K59" s="1131">
        <f t="shared" si="4"/>
        <v>1.7391304347826087E-2</v>
      </c>
      <c r="L59" s="1087">
        <f>'Ag Economics '!L73+Agronomy!L66+'Animal Sciences Industry'!L80+'Comm Ag Education'!L68+Entomolgy!L57+'Grain Science Industry'!L82+'Hort &amp; Nat Res'!L81+'Plant Pathology'!L57</f>
        <v>5</v>
      </c>
      <c r="M59" s="1131">
        <f t="shared" si="5"/>
        <v>2.1645021645021644E-2</v>
      </c>
      <c r="N59" s="1087">
        <f>'Ag Economics '!N73+Agronomy!N66+'Animal Sciences Industry'!N80+'Comm Ag Education'!N68+Entomolgy!N57+'Grain Science Industry'!N82+'Hort &amp; Nat Res'!N81+'Plant Pathology'!N57</f>
        <v>5</v>
      </c>
      <c r="O59" s="1131">
        <f t="shared" si="6"/>
        <v>2.100840336134454E-2</v>
      </c>
      <c r="P59" s="1087">
        <f>'Ag Economics '!P73+Agronomy!P66+'Animal Sciences Industry'!P80+'Comm Ag Education'!P68+Entomolgy!P57+'Grain Science Industry'!P82+'Hort &amp; Nat Res'!P81+'Plant Pathology'!P57</f>
        <v>2</v>
      </c>
      <c r="Q59" s="1131">
        <f t="shared" si="7"/>
        <v>8.5470085470085479E-3</v>
      </c>
      <c r="R59" s="1087">
        <f>'Ag Economics '!R73+Agronomy!R66+'Animal Sciences Industry'!R80+'Comm Ag Education'!R68+Entomolgy!R57+'Grain Science Industry'!R82+'Hort &amp; Nat Res'!R81+'Plant Pathology'!R57</f>
        <v>3</v>
      </c>
      <c r="S59" s="1131">
        <f t="shared" si="8"/>
        <v>1.282051282051282E-2</v>
      </c>
      <c r="T59" s="1087">
        <f>'Ag Economics '!T73+Agronomy!T66+'Animal Sciences Industry'!T80+'Comm Ag Education'!T68+Entomolgy!T57+'Grain Science Industry'!T82+'Hort &amp; Nat Res'!T81+'Plant Pathology'!T57</f>
        <v>4</v>
      </c>
      <c r="U59" s="1132">
        <f t="shared" si="9"/>
        <v>1.7094017094017096E-2</v>
      </c>
    </row>
    <row r="60" spans="1:21" x14ac:dyDescent="0.2">
      <c r="A60" s="614" t="s">
        <v>111</v>
      </c>
      <c r="B60" s="1081"/>
      <c r="C60" s="1117"/>
      <c r="D60" s="1081"/>
      <c r="E60" s="1117"/>
      <c r="F60" s="1081"/>
      <c r="G60" s="1117"/>
      <c r="H60" s="1081"/>
      <c r="I60" s="1117"/>
      <c r="J60" s="1081"/>
      <c r="K60" s="1117"/>
      <c r="L60" s="1081"/>
      <c r="M60" s="1117"/>
      <c r="N60" s="1081"/>
      <c r="O60" s="1117"/>
      <c r="P60" s="1081"/>
      <c r="Q60" s="1117"/>
      <c r="R60" s="1081"/>
      <c r="S60" s="1117"/>
      <c r="T60" s="1081"/>
      <c r="U60" s="1119"/>
    </row>
    <row r="61" spans="1:21" x14ac:dyDescent="0.2">
      <c r="A61" s="326" t="s">
        <v>112</v>
      </c>
      <c r="B61" s="1082">
        <f>'Ag Economics '!B75+Agronomy!B68+'Animal Sciences Industry'!B82+'Comm Ag Education'!B70+Entomolgy!B59+'Grain Science Industry'!B84+'Hort &amp; Nat Res'!B83+'Plant Pathology'!B59</f>
        <v>178</v>
      </c>
      <c r="C61" s="1113">
        <f t="shared" ref="C61:C62" si="10">B61/$E$49</f>
        <v>0.82027649769585254</v>
      </c>
      <c r="D61" s="1082">
        <f>'Ag Economics '!D75+Agronomy!D68+'Animal Sciences Industry'!D82+'Comm Ag Education'!D70+Entomolgy!D59+'Grain Science Industry'!D84+'Hort &amp; Nat Res'!D83+'Plant Pathology'!D59</f>
        <v>182</v>
      </c>
      <c r="E61" s="1113">
        <f t="shared" si="1"/>
        <v>0.83870967741935487</v>
      </c>
      <c r="F61" s="1082">
        <f>'Ag Economics '!F75+Agronomy!F68+'Animal Sciences Industry'!F82+'Comm Ag Education'!F70+Entomolgy!F59+'Grain Science Industry'!F84+'Hort &amp; Nat Res'!F83+'Plant Pathology'!F59</f>
        <v>177</v>
      </c>
      <c r="G61" s="1113">
        <f t="shared" si="2"/>
        <v>0.83098591549295775</v>
      </c>
      <c r="H61" s="1082">
        <f>'Ag Economics '!H75+Agronomy!H68+'Animal Sciences Industry'!H82+'Comm Ag Education'!H70+Entomolgy!H59+'Grain Science Industry'!H84+'Hort &amp; Nat Res'!H83+'Plant Pathology'!H59</f>
        <v>168</v>
      </c>
      <c r="I61" s="1113">
        <f t="shared" si="3"/>
        <v>0.84422110552763818</v>
      </c>
      <c r="J61" s="1082">
        <f>'Ag Economics '!J75+Agronomy!J68+'Animal Sciences Industry'!J82+'Comm Ag Education'!J70+Entomolgy!J59+'Grain Science Industry'!J84+'Hort &amp; Nat Res'!J83+'Plant Pathology'!J59</f>
        <v>168</v>
      </c>
      <c r="K61" s="1113">
        <f t="shared" si="4"/>
        <v>0.73043478260869565</v>
      </c>
      <c r="L61" s="1082">
        <f>'Ag Economics '!L75+Agronomy!L68+'Animal Sciences Industry'!L82+'Comm Ag Education'!L70+Entomolgy!L59+'Grain Science Industry'!L84+'Hort &amp; Nat Res'!L83+'Plant Pathology'!L59</f>
        <v>168</v>
      </c>
      <c r="M61" s="1113">
        <f t="shared" si="5"/>
        <v>0.72727272727272729</v>
      </c>
      <c r="N61" s="1082">
        <f>'Ag Economics '!N75+Agronomy!N68+'Animal Sciences Industry'!N82+'Comm Ag Education'!N70+Entomolgy!N59+'Grain Science Industry'!N84+'Hort &amp; Nat Res'!N83+'Plant Pathology'!N59</f>
        <v>173</v>
      </c>
      <c r="O61" s="1113">
        <f t="shared" si="6"/>
        <v>0.72689075630252098</v>
      </c>
      <c r="P61" s="1082">
        <f>'Ag Economics '!P75+Agronomy!P68+'Animal Sciences Industry'!P82+'Comm Ag Education'!P70+Entomolgy!P59+'Grain Science Industry'!P84+'Hort &amp; Nat Res'!P83+'Plant Pathology'!P59</f>
        <v>167</v>
      </c>
      <c r="Q61" s="1113">
        <f t="shared" si="7"/>
        <v>0.71367521367521369</v>
      </c>
      <c r="R61" s="1082">
        <f>'Ag Economics '!R75+Agronomy!R68+'Animal Sciences Industry'!R82+'Comm Ag Education'!R70+Entomolgy!R59+'Grain Science Industry'!R84+'Hort &amp; Nat Res'!R83+'Plant Pathology'!R59</f>
        <v>164</v>
      </c>
      <c r="S61" s="1113">
        <f t="shared" ref="S61:S62" si="11">R61/$Q$49</f>
        <v>0.70085470085470081</v>
      </c>
      <c r="T61" s="1082">
        <f>'Ag Economics '!T75+Agronomy!T68+'Animal Sciences Industry'!T82+'Comm Ag Education'!T70+Entomolgy!T59+'Grain Science Industry'!T84+'Hort &amp; Nat Res'!T83+'Plant Pathology'!T59</f>
        <v>173</v>
      </c>
      <c r="U61" s="1127">
        <f t="shared" ref="U61:U62" si="12">T61/$Q$49</f>
        <v>0.73931623931623935</v>
      </c>
    </row>
    <row r="62" spans="1:21" ht="13.5" thickBot="1" x14ac:dyDescent="0.25">
      <c r="A62" s="336" t="s">
        <v>113</v>
      </c>
      <c r="B62" s="1087">
        <f>'Ag Economics '!B76+Agronomy!B69+'Animal Sciences Industry'!B83+'Comm Ag Education'!B71+Entomolgy!B60+'Grain Science Industry'!B85+'Hort &amp; Nat Res'!B84+'Plant Pathology'!B60</f>
        <v>31</v>
      </c>
      <c r="C62" s="1131">
        <f t="shared" si="10"/>
        <v>0.14285714285714285</v>
      </c>
      <c r="D62" s="1087">
        <f>'Ag Economics '!D76+Agronomy!D69+'Animal Sciences Industry'!D83+'Comm Ag Education'!D71+Entomolgy!D60+'Grain Science Industry'!D85+'Hort &amp; Nat Res'!D84+'Plant Pathology'!D60</f>
        <v>35</v>
      </c>
      <c r="E62" s="1131">
        <f t="shared" si="1"/>
        <v>0.16129032258064516</v>
      </c>
      <c r="F62" s="1087">
        <f>'Ag Economics '!F76+Agronomy!F69+'Animal Sciences Industry'!F83+'Comm Ag Education'!F71+Entomolgy!F60+'Grain Science Industry'!F85+'Hort &amp; Nat Res'!F84+'Plant Pathology'!F60</f>
        <v>36</v>
      </c>
      <c r="G62" s="1131">
        <f t="shared" si="2"/>
        <v>0.16901408450704225</v>
      </c>
      <c r="H62" s="1087">
        <f>'Ag Economics '!H76+Agronomy!H69+'Animal Sciences Industry'!H83+'Comm Ag Education'!H71+Entomolgy!H60+'Grain Science Industry'!H85+'Hort &amp; Nat Res'!H84+'Plant Pathology'!H60</f>
        <v>33</v>
      </c>
      <c r="I62" s="1131">
        <f t="shared" si="3"/>
        <v>0.16582914572864321</v>
      </c>
      <c r="J62" s="1087">
        <f>'Ag Economics '!J76+Agronomy!J69+'Animal Sciences Industry'!J83+'Comm Ag Education'!J71+Entomolgy!J60+'Grain Science Industry'!J85+'Hort &amp; Nat Res'!J84+'Plant Pathology'!J60</f>
        <v>40</v>
      </c>
      <c r="K62" s="1131">
        <f t="shared" si="4"/>
        <v>0.17391304347826086</v>
      </c>
      <c r="L62" s="1087">
        <f>'Ag Economics '!L76+Agronomy!L69+'Animal Sciences Industry'!L83+'Comm Ag Education'!L71+Entomolgy!L60+'Grain Science Industry'!L85+'Hort &amp; Nat Res'!L84+'Plant Pathology'!L60</f>
        <v>43</v>
      </c>
      <c r="M62" s="1131">
        <f t="shared" si="5"/>
        <v>0.18614718614718614</v>
      </c>
      <c r="N62" s="1087">
        <f>'Ag Economics '!N76+Agronomy!N69+'Animal Sciences Industry'!N83+'Comm Ag Education'!N71+Entomolgy!N60+'Grain Science Industry'!N85+'Hort &amp; Nat Res'!N84+'Plant Pathology'!N60</f>
        <v>44</v>
      </c>
      <c r="O62" s="1131">
        <f t="shared" si="6"/>
        <v>0.18487394957983194</v>
      </c>
      <c r="P62" s="1087">
        <f>'Ag Economics '!P76+Agronomy!P69+'Animal Sciences Industry'!P83+'Comm Ag Education'!P71+Entomolgy!P60+'Grain Science Industry'!P85+'Hort &amp; Nat Res'!P84+'Plant Pathology'!P60</f>
        <v>45</v>
      </c>
      <c r="Q62" s="1131">
        <f t="shared" si="7"/>
        <v>0.19230769230769232</v>
      </c>
      <c r="R62" s="1087">
        <f>'Ag Economics '!R76+Agronomy!R69+'Animal Sciences Industry'!R83+'Comm Ag Education'!R71+Entomolgy!R60+'Grain Science Industry'!R85+'Hort &amp; Nat Res'!R84+'Plant Pathology'!R60</f>
        <v>45</v>
      </c>
      <c r="S62" s="1131">
        <f t="shared" si="11"/>
        <v>0.19230769230769232</v>
      </c>
      <c r="T62" s="1087">
        <f>'Ag Economics '!T76+Agronomy!T69+'Animal Sciences Industry'!T83+'Comm Ag Education'!T71+Entomolgy!T60+'Grain Science Industry'!T85+'Hort &amp; Nat Res'!T84+'Plant Pathology'!T60</f>
        <v>48</v>
      </c>
      <c r="U62" s="1132">
        <f t="shared" si="12"/>
        <v>0.20512820512820512</v>
      </c>
    </row>
    <row r="63" spans="1:21" x14ac:dyDescent="0.2">
      <c r="A63" s="614" t="s">
        <v>114</v>
      </c>
      <c r="B63" s="1081"/>
      <c r="C63" s="1117"/>
      <c r="D63" s="1081"/>
      <c r="E63" s="1117"/>
      <c r="F63" s="1081"/>
      <c r="G63" s="1117"/>
      <c r="H63" s="1081"/>
      <c r="I63" s="1117"/>
      <c r="J63" s="1081"/>
      <c r="K63" s="1117"/>
      <c r="L63" s="1081"/>
      <c r="M63" s="1117"/>
      <c r="N63" s="1081"/>
      <c r="O63" s="1117"/>
      <c r="P63" s="1081"/>
      <c r="Q63" s="1117"/>
      <c r="R63" s="1081"/>
      <c r="S63" s="1117"/>
      <c r="T63" s="1081"/>
      <c r="U63" s="1119"/>
    </row>
    <row r="64" spans="1:21" x14ac:dyDescent="0.2">
      <c r="A64" s="326" t="s">
        <v>115</v>
      </c>
      <c r="B64" s="1082">
        <f>'Ag Economics '!B78+Agronomy!B71+'Animal Sciences Industry'!B85+'Comm Ag Education'!B73+Entomolgy!B62+'Grain Science Industry'!B87+'Hort &amp; Nat Res'!B86+'Plant Pathology'!B62</f>
        <v>147</v>
      </c>
      <c r="C64" s="1113">
        <f t="shared" ref="C64:C66" si="13">B64/$E$49</f>
        <v>0.67741935483870963</v>
      </c>
      <c r="D64" s="1082">
        <f>'Ag Economics '!D78+Agronomy!D71+'Animal Sciences Industry'!D85+'Comm Ag Education'!D73+Entomolgy!D62+'Grain Science Industry'!D87+'Hort &amp; Nat Res'!D86+'Plant Pathology'!D62</f>
        <v>150</v>
      </c>
      <c r="E64" s="1113">
        <f t="shared" si="1"/>
        <v>0.69124423963133641</v>
      </c>
      <c r="F64" s="1082">
        <f>'Ag Economics '!F78+Agronomy!F71+'Animal Sciences Industry'!F85+'Comm Ag Education'!F73+Entomolgy!F62+'Grain Science Industry'!F87+'Hort &amp; Nat Res'!F86+'Plant Pathology'!F62</f>
        <v>145</v>
      </c>
      <c r="G64" s="1113">
        <f t="shared" si="2"/>
        <v>0.68075117370892024</v>
      </c>
      <c r="H64" s="1082">
        <f>'Ag Economics '!H78+Agronomy!H71+'Animal Sciences Industry'!H85+'Comm Ag Education'!H73+Entomolgy!H62+'Grain Science Industry'!H87+'Hort &amp; Nat Res'!H86+'Plant Pathology'!H62</f>
        <v>139</v>
      </c>
      <c r="I64" s="1113">
        <f t="shared" si="3"/>
        <v>0.69849246231155782</v>
      </c>
      <c r="J64" s="1082">
        <f>'Ag Economics '!J78+Agronomy!J71+'Animal Sciences Industry'!J85+'Comm Ag Education'!J73+Entomolgy!J62+'Grain Science Industry'!J87+'Hort &amp; Nat Res'!J86+'Plant Pathology'!J62</f>
        <v>143</v>
      </c>
      <c r="K64" s="1113">
        <f t="shared" si="4"/>
        <v>0.62173913043478257</v>
      </c>
      <c r="L64" s="1082">
        <f>'Ag Economics '!L78+Agronomy!L71+'Animal Sciences Industry'!L85+'Comm Ag Education'!L73+Entomolgy!L62+'Grain Science Industry'!L87+'Hort &amp; Nat Res'!L86+'Plant Pathology'!L62</f>
        <v>148</v>
      </c>
      <c r="M64" s="1113">
        <f t="shared" si="5"/>
        <v>0.64069264069264065</v>
      </c>
      <c r="N64" s="1082">
        <f>'Ag Economics '!N78+Agronomy!N71+'Animal Sciences Industry'!N85+'Comm Ag Education'!N73+Entomolgy!N62+'Grain Science Industry'!N87+'Hort &amp; Nat Res'!N86+'Plant Pathology'!N62</f>
        <v>150</v>
      </c>
      <c r="O64" s="1113">
        <f t="shared" si="6"/>
        <v>0.63025210084033612</v>
      </c>
      <c r="P64" s="1082">
        <f>'Ag Economics '!P78+Agronomy!P71+'Animal Sciences Industry'!P85+'Comm Ag Education'!P73+Entomolgy!P62+'Grain Science Industry'!P87+'Hort &amp; Nat Res'!P86+'Plant Pathology'!P62</f>
        <v>142</v>
      </c>
      <c r="Q64" s="1113">
        <f t="shared" si="7"/>
        <v>0.60683760683760679</v>
      </c>
      <c r="R64" s="1082">
        <f>'Ag Economics '!R78+Agronomy!R71+'Animal Sciences Industry'!R85+'Comm Ag Education'!R73+Entomolgy!R62+'Grain Science Industry'!R87+'Hort &amp; Nat Res'!R86+'Plant Pathology'!R62</f>
        <v>135</v>
      </c>
      <c r="S64" s="1113">
        <f t="shared" ref="S64:S66" si="14">R64/$Q$49</f>
        <v>0.57692307692307687</v>
      </c>
      <c r="T64" s="1082">
        <f>'Ag Economics '!T78+Agronomy!T71+'Animal Sciences Industry'!T85+'Comm Ag Education'!T73+Entomolgy!T62+'Grain Science Industry'!T87+'Hort &amp; Nat Res'!T86+'Plant Pathology'!T62</f>
        <v>132</v>
      </c>
      <c r="U64" s="1127">
        <f t="shared" ref="U64:U66" si="15">T64/$Q$49</f>
        <v>0.5641025641025641</v>
      </c>
    </row>
    <row r="65" spans="1:21" x14ac:dyDescent="0.2">
      <c r="A65" s="326" t="s">
        <v>116</v>
      </c>
      <c r="B65" s="1082">
        <f>'Ag Economics '!B79+Agronomy!B72+'Animal Sciences Industry'!B86+'Comm Ag Education'!B74+Entomolgy!B63+'Grain Science Industry'!B88+'Hort &amp; Nat Res'!B87+'Plant Pathology'!B63</f>
        <v>37</v>
      </c>
      <c r="C65" s="1113">
        <f t="shared" si="13"/>
        <v>0.17050691244239632</v>
      </c>
      <c r="D65" s="1082">
        <f>'Ag Economics '!D79+Agronomy!D72+'Animal Sciences Industry'!D86+'Comm Ag Education'!D74+Entomolgy!D63+'Grain Science Industry'!D88+'Hort &amp; Nat Res'!D87+'Plant Pathology'!D63</f>
        <v>40</v>
      </c>
      <c r="E65" s="1113">
        <f t="shared" si="1"/>
        <v>0.18433179723502305</v>
      </c>
      <c r="F65" s="1082">
        <f>'Ag Economics '!F79+Agronomy!F72+'Animal Sciences Industry'!F86+'Comm Ag Education'!F74+Entomolgy!F63+'Grain Science Industry'!F88+'Hort &amp; Nat Res'!F87+'Plant Pathology'!F63</f>
        <v>36</v>
      </c>
      <c r="G65" s="1113">
        <f t="shared" si="2"/>
        <v>0.16901408450704225</v>
      </c>
      <c r="H65" s="1082">
        <f>'Ag Economics '!H79+Agronomy!H72+'Animal Sciences Industry'!H86+'Comm Ag Education'!H74+Entomolgy!H63+'Grain Science Industry'!H88+'Hort &amp; Nat Res'!H87+'Plant Pathology'!H63</f>
        <v>31</v>
      </c>
      <c r="I65" s="1113">
        <f t="shared" si="3"/>
        <v>0.15577889447236182</v>
      </c>
      <c r="J65" s="1082">
        <f>'Ag Economics '!J79+Agronomy!J72+'Animal Sciences Industry'!J86+'Comm Ag Education'!J74+Entomolgy!J63+'Grain Science Industry'!J88+'Hort &amp; Nat Res'!J87+'Plant Pathology'!J63</f>
        <v>35</v>
      </c>
      <c r="K65" s="1113">
        <f t="shared" si="4"/>
        <v>0.15217391304347827</v>
      </c>
      <c r="L65" s="1082">
        <f>'Ag Economics '!L79+Agronomy!L72+'Animal Sciences Industry'!L86+'Comm Ag Education'!L74+Entomolgy!L63+'Grain Science Industry'!L88+'Hort &amp; Nat Res'!L87+'Plant Pathology'!L63</f>
        <v>28</v>
      </c>
      <c r="M65" s="1113">
        <f t="shared" si="5"/>
        <v>0.12121212121212122</v>
      </c>
      <c r="N65" s="1082">
        <f>'Ag Economics '!N79+Agronomy!N72+'Animal Sciences Industry'!N86+'Comm Ag Education'!N74+Entomolgy!N63+'Grain Science Industry'!N88+'Hort &amp; Nat Res'!N87+'Plant Pathology'!N63</f>
        <v>33</v>
      </c>
      <c r="O65" s="1113">
        <f t="shared" si="6"/>
        <v>0.13865546218487396</v>
      </c>
      <c r="P65" s="1082">
        <f>'Ag Economics '!P79+Agronomy!P72+'Animal Sciences Industry'!P86+'Comm Ag Education'!P74+Entomolgy!P63+'Grain Science Industry'!P88+'Hort &amp; Nat Res'!P87+'Plant Pathology'!P63</f>
        <v>36</v>
      </c>
      <c r="Q65" s="1113">
        <f t="shared" si="7"/>
        <v>0.15384615384615385</v>
      </c>
      <c r="R65" s="1082">
        <f>'Ag Economics '!R79+Agronomy!R72+'Animal Sciences Industry'!R86+'Comm Ag Education'!R74+Entomolgy!R63+'Grain Science Industry'!R88+'Hort &amp; Nat Res'!R87+'Plant Pathology'!R63</f>
        <v>40</v>
      </c>
      <c r="S65" s="1113">
        <f t="shared" si="14"/>
        <v>0.17094017094017094</v>
      </c>
      <c r="T65" s="1082">
        <f>'Ag Economics '!T79+Agronomy!T72+'Animal Sciences Industry'!T86+'Comm Ag Education'!T74+Entomolgy!T63+'Grain Science Industry'!T88+'Hort &amp; Nat Res'!T87+'Plant Pathology'!T63</f>
        <v>48</v>
      </c>
      <c r="U65" s="1127">
        <f t="shared" si="15"/>
        <v>0.20512820512820512</v>
      </c>
    </row>
    <row r="66" spans="1:21" ht="13.5" thickBot="1" x14ac:dyDescent="0.25">
      <c r="A66" s="336" t="s">
        <v>117</v>
      </c>
      <c r="B66" s="1087">
        <f>'Ag Economics '!B80+Agronomy!B73+'Animal Sciences Industry'!B87+'Comm Ag Education'!B75+Entomolgy!B64+'Grain Science Industry'!B89+'Hort &amp; Nat Res'!B88+'Plant Pathology'!B64</f>
        <v>25</v>
      </c>
      <c r="C66" s="1131">
        <f t="shared" si="13"/>
        <v>0.1152073732718894</v>
      </c>
      <c r="D66" s="1087">
        <f>'Ag Economics '!D80+Agronomy!D73+'Animal Sciences Industry'!D87+'Comm Ag Education'!D75+Entomolgy!D64+'Grain Science Industry'!D89+'Hort &amp; Nat Res'!D88+'Plant Pathology'!D64</f>
        <v>27</v>
      </c>
      <c r="E66" s="1131">
        <f t="shared" si="1"/>
        <v>0.12442396313364056</v>
      </c>
      <c r="F66" s="1087">
        <f>'Ag Economics '!F80+Agronomy!F73+'Animal Sciences Industry'!F87+'Comm Ag Education'!F75+Entomolgy!F64+'Grain Science Industry'!F89+'Hort &amp; Nat Res'!F88+'Plant Pathology'!F64</f>
        <v>32</v>
      </c>
      <c r="G66" s="1131">
        <f t="shared" si="2"/>
        <v>0.15023474178403756</v>
      </c>
      <c r="H66" s="1087">
        <f>'Ag Economics '!H80+Agronomy!H73+'Animal Sciences Industry'!H87+'Comm Ag Education'!H75+Entomolgy!H64+'Grain Science Industry'!H89+'Hort &amp; Nat Res'!H88+'Plant Pathology'!H64</f>
        <v>31</v>
      </c>
      <c r="I66" s="1131">
        <f t="shared" si="3"/>
        <v>0.15577889447236182</v>
      </c>
      <c r="J66" s="1087">
        <f>'Ag Economics '!J80+Agronomy!J73+'Animal Sciences Industry'!J87+'Comm Ag Education'!J75+Entomolgy!J64+'Grain Science Industry'!J89+'Hort &amp; Nat Res'!J88+'Plant Pathology'!J64</f>
        <v>30</v>
      </c>
      <c r="K66" s="1131">
        <f t="shared" si="4"/>
        <v>0.13043478260869565</v>
      </c>
      <c r="L66" s="1087">
        <f>'Ag Economics '!L80+Agronomy!L73+'Animal Sciences Industry'!L87+'Comm Ag Education'!L75+Entomolgy!L64+'Grain Science Industry'!L89+'Hort &amp; Nat Res'!L88+'Plant Pathology'!L64</f>
        <v>35</v>
      </c>
      <c r="M66" s="1131">
        <f t="shared" si="5"/>
        <v>0.15151515151515152</v>
      </c>
      <c r="N66" s="1087">
        <f>'Ag Economics '!N80+Agronomy!N73+'Animal Sciences Industry'!N87+'Comm Ag Education'!N75+Entomolgy!N64+'Grain Science Industry'!N89+'Hort &amp; Nat Res'!N88+'Plant Pathology'!N64</f>
        <v>34</v>
      </c>
      <c r="O66" s="1131">
        <f t="shared" si="6"/>
        <v>0.14285714285714285</v>
      </c>
      <c r="P66" s="1087">
        <f>'Ag Economics '!P80+Agronomy!P73+'Animal Sciences Industry'!P87+'Comm Ag Education'!P75+Entomolgy!P64+'Grain Science Industry'!P89+'Hort &amp; Nat Res'!P88+'Plant Pathology'!P64</f>
        <v>34</v>
      </c>
      <c r="Q66" s="1131">
        <f t="shared" si="7"/>
        <v>0.14529914529914531</v>
      </c>
      <c r="R66" s="1087">
        <f>'Ag Economics '!R80+Agronomy!R73+'Animal Sciences Industry'!R87+'Comm Ag Education'!R75+Entomolgy!R64+'Grain Science Industry'!R89+'Hort &amp; Nat Res'!R88+'Plant Pathology'!R64</f>
        <v>34</v>
      </c>
      <c r="S66" s="1131">
        <f t="shared" si="14"/>
        <v>0.14529914529914531</v>
      </c>
      <c r="T66" s="1087">
        <f>'Ag Economics '!T80+Agronomy!T73+'Animal Sciences Industry'!T87+'Comm Ag Education'!T75+Entomolgy!T64+'Grain Science Industry'!T89+'Hort &amp; Nat Res'!T88+'Plant Pathology'!T64</f>
        <v>41</v>
      </c>
      <c r="U66" s="1132">
        <f t="shared" si="15"/>
        <v>0.1752136752136752</v>
      </c>
    </row>
    <row r="67" spans="1:21" x14ac:dyDescent="0.2">
      <c r="A67" s="614" t="s">
        <v>118</v>
      </c>
      <c r="B67" s="1081"/>
      <c r="C67" s="1117"/>
      <c r="D67" s="1081"/>
      <c r="E67" s="1117"/>
      <c r="F67" s="1081"/>
      <c r="G67" s="1117"/>
      <c r="H67" s="1081"/>
      <c r="I67" s="1117"/>
      <c r="J67" s="1081"/>
      <c r="K67" s="1117"/>
      <c r="L67" s="1081"/>
      <c r="M67" s="1117"/>
      <c r="N67" s="1081"/>
      <c r="O67" s="1117"/>
      <c r="P67" s="1081"/>
      <c r="Q67" s="1117"/>
      <c r="R67" s="1081"/>
      <c r="S67" s="1117"/>
      <c r="T67" s="1081"/>
      <c r="U67" s="1119"/>
    </row>
    <row r="68" spans="1:21" x14ac:dyDescent="0.2">
      <c r="A68" s="326" t="s">
        <v>119</v>
      </c>
      <c r="B68" s="1082">
        <f>'Ag Economics '!B82+Agronomy!B75+'Animal Sciences Industry'!B89+'Comm Ag Education'!B77+Entomolgy!B66+'Grain Science Industry'!B91+'Hort &amp; Nat Res'!B90+'Plant Pathology'!B66</f>
        <v>195</v>
      </c>
      <c r="C68" s="1113">
        <f t="shared" ref="C68:C70" si="16">B68/$E$49</f>
        <v>0.89861751152073732</v>
      </c>
      <c r="D68" s="1082">
        <f>'Ag Economics '!D82+Agronomy!D75+'Animal Sciences Industry'!D89+'Comm Ag Education'!D77+Entomolgy!D66+'Grain Science Industry'!D91+'Hort &amp; Nat Res'!D90+'Plant Pathology'!D66</f>
        <v>202</v>
      </c>
      <c r="E68" s="1113">
        <f t="shared" si="1"/>
        <v>0.93087557603686633</v>
      </c>
      <c r="F68" s="1082">
        <f>'Ag Economics '!F82+Agronomy!F75+'Animal Sciences Industry'!F89+'Comm Ag Education'!F77+Entomolgy!F66+'Grain Science Industry'!F91+'Hort &amp; Nat Res'!F90+'Plant Pathology'!F66</f>
        <v>199</v>
      </c>
      <c r="G68" s="1113">
        <f t="shared" si="2"/>
        <v>0.93427230046948362</v>
      </c>
      <c r="H68" s="1082">
        <f>'Ag Economics '!H82+Agronomy!H75+'Animal Sciences Industry'!H89+'Comm Ag Education'!H77+Entomolgy!H66+'Grain Science Industry'!H91+'Hort &amp; Nat Res'!H90+'Plant Pathology'!H66</f>
        <v>186</v>
      </c>
      <c r="I68" s="1113">
        <f t="shared" si="3"/>
        <v>0.9346733668341709</v>
      </c>
      <c r="J68" s="1082">
        <f>'Ag Economics '!J82+Agronomy!J75+'Animal Sciences Industry'!J89+'Comm Ag Education'!J77+Entomolgy!J66+'Grain Science Industry'!J91+'Hort &amp; Nat Res'!J90+'Plant Pathology'!J66</f>
        <v>196</v>
      </c>
      <c r="K68" s="1113">
        <f t="shared" si="4"/>
        <v>0.85217391304347823</v>
      </c>
      <c r="L68" s="1082">
        <f>'Ag Economics '!L82+Agronomy!L75+'Animal Sciences Industry'!L89+'Comm Ag Education'!L77+Entomolgy!L66+'Grain Science Industry'!L91+'Hort &amp; Nat Res'!L90+'Plant Pathology'!L66</f>
        <v>196</v>
      </c>
      <c r="M68" s="1113">
        <f t="shared" si="5"/>
        <v>0.84848484848484851</v>
      </c>
      <c r="N68" s="1082">
        <f>'Ag Economics '!N82+Agronomy!N75+'Animal Sciences Industry'!N89+'Comm Ag Education'!N77+Entomolgy!N66+'Grain Science Industry'!N91+'Hort &amp; Nat Res'!N90+'Plant Pathology'!N66</f>
        <v>204</v>
      </c>
      <c r="O68" s="1113">
        <f t="shared" si="6"/>
        <v>0.8571428571428571</v>
      </c>
      <c r="P68" s="1082">
        <f>'Ag Economics '!P82+Agronomy!P75+'Animal Sciences Industry'!P89+'Comm Ag Education'!P77+Entomolgy!P66+'Grain Science Industry'!P91+'Hort &amp; Nat Res'!P90+'Plant Pathology'!P66</f>
        <v>200</v>
      </c>
      <c r="Q68" s="1113">
        <f t="shared" si="7"/>
        <v>0.85470085470085466</v>
      </c>
      <c r="R68" s="1082">
        <f>'Ag Economics '!R82+Agronomy!R75+'Animal Sciences Industry'!R89+'Comm Ag Education'!R77+Entomolgy!R66+'Grain Science Industry'!R91+'Hort &amp; Nat Res'!R90+'Plant Pathology'!R66</f>
        <v>194</v>
      </c>
      <c r="S68" s="1113">
        <f t="shared" ref="S68:S71" si="17">R68/$Q$49</f>
        <v>0.82905982905982911</v>
      </c>
      <c r="T68" s="1082">
        <f>'Ag Economics '!T82+Agronomy!T75+'Animal Sciences Industry'!T89+'Comm Ag Education'!T77+Entomolgy!T66+'Grain Science Industry'!T91+'Hort &amp; Nat Res'!T90+'Plant Pathology'!T66</f>
        <v>204</v>
      </c>
      <c r="U68" s="1127">
        <f t="shared" ref="U68:U71" si="18">T68/$Q$49</f>
        <v>0.87179487179487181</v>
      </c>
    </row>
    <row r="69" spans="1:21" x14ac:dyDescent="0.2">
      <c r="A69" s="326" t="s">
        <v>120</v>
      </c>
      <c r="B69" s="1082">
        <f>'Ag Economics '!B83+Agronomy!B76+'Animal Sciences Industry'!B90+'Comm Ag Education'!B78+Entomolgy!B67+'Grain Science Industry'!B92+'Hort &amp; Nat Res'!B91+'Plant Pathology'!B67</f>
        <v>11</v>
      </c>
      <c r="C69" s="1113">
        <f t="shared" si="16"/>
        <v>5.0691244239631339E-2</v>
      </c>
      <c r="D69" s="1082">
        <f>'Ag Economics '!D83+Agronomy!D76+'Animal Sciences Industry'!D90+'Comm Ag Education'!D78+Entomolgy!D67+'Grain Science Industry'!D92+'Hort &amp; Nat Res'!D91+'Plant Pathology'!D67</f>
        <v>11</v>
      </c>
      <c r="E69" s="1113">
        <f t="shared" si="1"/>
        <v>5.0691244239631339E-2</v>
      </c>
      <c r="F69" s="1082">
        <f>'Ag Economics '!F83+Agronomy!F76+'Animal Sciences Industry'!F90+'Comm Ag Education'!F78+Entomolgy!F67+'Grain Science Industry'!F92+'Hort &amp; Nat Res'!F91+'Plant Pathology'!F67</f>
        <v>12</v>
      </c>
      <c r="G69" s="1113">
        <f t="shared" si="2"/>
        <v>5.6338028169014086E-2</v>
      </c>
      <c r="H69" s="1082">
        <f>'Ag Economics '!H83+Agronomy!H76+'Animal Sciences Industry'!H90+'Comm Ag Education'!H78+Entomolgy!H67+'Grain Science Industry'!H92+'Hort &amp; Nat Res'!H91+'Plant Pathology'!H67</f>
        <v>12</v>
      </c>
      <c r="I69" s="1113">
        <f t="shared" si="3"/>
        <v>6.030150753768844E-2</v>
      </c>
      <c r="J69" s="1082">
        <f>'Ag Economics '!J83+Agronomy!J76+'Animal Sciences Industry'!J90+'Comm Ag Education'!J78+Entomolgy!J67+'Grain Science Industry'!J92+'Hort &amp; Nat Res'!J91+'Plant Pathology'!J67</f>
        <v>8</v>
      </c>
      <c r="K69" s="1113">
        <f t="shared" si="4"/>
        <v>3.4782608695652174E-2</v>
      </c>
      <c r="L69" s="1082">
        <f>'Ag Economics '!L83+Agronomy!L76+'Animal Sciences Industry'!L90+'Comm Ag Education'!L78+Entomolgy!L67+'Grain Science Industry'!L92+'Hort &amp; Nat Res'!L91+'Plant Pathology'!L67</f>
        <v>11</v>
      </c>
      <c r="M69" s="1113">
        <f t="shared" si="5"/>
        <v>4.7619047619047616E-2</v>
      </c>
      <c r="N69" s="1082">
        <f>'Ag Economics '!N83+Agronomy!N76+'Animal Sciences Industry'!N90+'Comm Ag Education'!N78+Entomolgy!N67+'Grain Science Industry'!N92+'Hort &amp; Nat Res'!N91+'Plant Pathology'!N67</f>
        <v>8</v>
      </c>
      <c r="O69" s="1113">
        <f t="shared" si="6"/>
        <v>3.3613445378151259E-2</v>
      </c>
      <c r="P69" s="1082">
        <f>'Ag Economics '!P83+Agronomy!P76+'Animal Sciences Industry'!P90+'Comm Ag Education'!P78+Entomolgy!P67+'Grain Science Industry'!P92+'Hort &amp; Nat Res'!P91+'Plant Pathology'!P67</f>
        <v>11</v>
      </c>
      <c r="Q69" s="1113">
        <f t="shared" si="7"/>
        <v>4.7008547008547008E-2</v>
      </c>
      <c r="R69" s="1082">
        <f>'Ag Economics '!R83+Agronomy!R76+'Animal Sciences Industry'!R90+'Comm Ag Education'!R78+Entomolgy!R67+'Grain Science Industry'!R92+'Hort &amp; Nat Res'!R91+'Plant Pathology'!R67</f>
        <v>9</v>
      </c>
      <c r="S69" s="1113">
        <f t="shared" si="17"/>
        <v>3.8461538461538464E-2</v>
      </c>
      <c r="T69" s="1082">
        <f>'Ag Economics '!T83+Agronomy!T76+'Animal Sciences Industry'!T90+'Comm Ag Education'!T78+Entomolgy!T67+'Grain Science Industry'!T92+'Hort &amp; Nat Res'!T91+'Plant Pathology'!T67</f>
        <v>9</v>
      </c>
      <c r="U69" s="1127">
        <f t="shared" si="18"/>
        <v>3.8461538461538464E-2</v>
      </c>
    </row>
    <row r="70" spans="1:21" x14ac:dyDescent="0.2">
      <c r="A70" s="326" t="s">
        <v>121</v>
      </c>
      <c r="B70" s="1082">
        <f>'Ag Economics '!B84+Agronomy!B77+'Animal Sciences Industry'!B91+'Comm Ag Education'!B79+Entomolgy!B68+'Grain Science Industry'!B93+'Hort &amp; Nat Res'!B92+'Plant Pathology'!B68</f>
        <v>3</v>
      </c>
      <c r="C70" s="1113">
        <f t="shared" si="16"/>
        <v>1.3824884792626729E-2</v>
      </c>
      <c r="D70" s="1082">
        <f>'Ag Economics '!D84+Agronomy!D77+'Animal Sciences Industry'!D91+'Comm Ag Education'!D79+Entomolgy!D68+'Grain Science Industry'!D93+'Hort &amp; Nat Res'!D92+'Plant Pathology'!D68</f>
        <v>4</v>
      </c>
      <c r="E70" s="1113">
        <f t="shared" si="1"/>
        <v>1.8433179723502304E-2</v>
      </c>
      <c r="F70" s="1082">
        <f>'Ag Economics '!F84+Agronomy!F77+'Animal Sciences Industry'!F91+'Comm Ag Education'!F79+Entomolgy!F68+'Grain Science Industry'!F93+'Hort &amp; Nat Res'!F92+'Plant Pathology'!F68</f>
        <v>2</v>
      </c>
      <c r="G70" s="1113">
        <f t="shared" si="2"/>
        <v>9.3896713615023476E-3</v>
      </c>
      <c r="H70" s="1082">
        <f>'Ag Economics '!H84+Agronomy!H77+'Animal Sciences Industry'!H91+'Comm Ag Education'!H79+Entomolgy!H68+'Grain Science Industry'!H93+'Hort &amp; Nat Res'!H92+'Plant Pathology'!H68</f>
        <v>3</v>
      </c>
      <c r="I70" s="1113">
        <f t="shared" si="3"/>
        <v>1.507537688442211E-2</v>
      </c>
      <c r="J70" s="1082">
        <f>'Ag Economics '!J84+Agronomy!J77+'Animal Sciences Industry'!J91+'Comm Ag Education'!J79+Entomolgy!J68+'Grain Science Industry'!J93+'Hort &amp; Nat Res'!J92+'Plant Pathology'!J68</f>
        <v>4</v>
      </c>
      <c r="K70" s="1113">
        <f t="shared" si="4"/>
        <v>1.7391304347826087E-2</v>
      </c>
      <c r="L70" s="1082">
        <f>'Ag Economics '!L84+Agronomy!L77+'Animal Sciences Industry'!L91+'Comm Ag Education'!L79+Entomolgy!L68+'Grain Science Industry'!L93+'Hort &amp; Nat Res'!L92+'Plant Pathology'!L68</f>
        <v>4</v>
      </c>
      <c r="M70" s="1113">
        <f t="shared" si="5"/>
        <v>1.7316017316017316E-2</v>
      </c>
      <c r="N70" s="1082">
        <f>'Ag Economics '!N84+Agronomy!N77+'Animal Sciences Industry'!N91+'Comm Ag Education'!N79+Entomolgy!N68+'Grain Science Industry'!N93+'Hort &amp; Nat Res'!N92+'Plant Pathology'!N68</f>
        <v>5</v>
      </c>
      <c r="O70" s="1113">
        <f t="shared" si="6"/>
        <v>2.100840336134454E-2</v>
      </c>
      <c r="P70" s="1082">
        <f>'Ag Economics '!P84+Agronomy!P77+'Animal Sciences Industry'!P91+'Comm Ag Education'!P79+Entomolgy!P68+'Grain Science Industry'!P93+'Hort &amp; Nat Res'!P92+'Plant Pathology'!P68</f>
        <v>0</v>
      </c>
      <c r="Q70" s="1113">
        <f t="shared" si="7"/>
        <v>0</v>
      </c>
      <c r="R70" s="1082">
        <f>'Ag Economics '!R84+Agronomy!R77+'Animal Sciences Industry'!R91+'Comm Ag Education'!R79+Entomolgy!R68+'Grain Science Industry'!R93+'Hort &amp; Nat Res'!R92+'Plant Pathology'!R68</f>
        <v>6</v>
      </c>
      <c r="S70" s="1113">
        <f t="shared" si="17"/>
        <v>2.564102564102564E-2</v>
      </c>
      <c r="T70" s="1082">
        <f>'Ag Economics '!T84+Agronomy!T77+'Animal Sciences Industry'!T91+'Comm Ag Education'!T79+Entomolgy!T68+'Grain Science Industry'!T93+'Hort &amp; Nat Res'!T92+'Plant Pathology'!T68</f>
        <v>8</v>
      </c>
      <c r="U70" s="1127">
        <f t="shared" si="18"/>
        <v>3.4188034188034191E-2</v>
      </c>
    </row>
    <row r="71" spans="1:21" ht="13.5" thickBot="1" x14ac:dyDescent="0.25">
      <c r="A71" s="344" t="s">
        <v>122</v>
      </c>
      <c r="B71" s="1084">
        <f>'Ag Economics '!B85+Agronomy!B78+'Animal Sciences Industry'!B92+'Comm Ag Education'!B80+Entomolgy!B69+'Grain Science Industry'!B94+'Hort &amp; Nat Res'!B93+'Plant Pathology'!B69</f>
        <v>0</v>
      </c>
      <c r="C71" s="1121">
        <f>B71/$E$49</f>
        <v>0</v>
      </c>
      <c r="D71" s="1084">
        <f>'Ag Economics '!D85+Agronomy!D78+'Animal Sciences Industry'!D92+'Comm Ag Education'!D80+Entomolgy!D69+'Grain Science Industry'!D94+'Hort &amp; Nat Res'!D93+'Plant Pathology'!D69</f>
        <v>0</v>
      </c>
      <c r="E71" s="1121">
        <f>D71/$E$49</f>
        <v>0</v>
      </c>
      <c r="F71" s="1084">
        <f>'Ag Economics '!F85+Agronomy!F78+'Animal Sciences Industry'!F92+'Comm Ag Education'!F80+Entomolgy!F69+'Grain Science Industry'!F94+'Hort &amp; Nat Res'!F93+'Plant Pathology'!F69</f>
        <v>0</v>
      </c>
      <c r="G71" s="1121">
        <f t="shared" si="2"/>
        <v>0</v>
      </c>
      <c r="H71" s="1084">
        <f>'Ag Economics '!H85+Agronomy!H78+'Animal Sciences Industry'!H92+'Comm Ag Education'!H80+Entomolgy!H69+'Grain Science Industry'!H94+'Hort &amp; Nat Res'!H93+'Plant Pathology'!H69</f>
        <v>0</v>
      </c>
      <c r="I71" s="1121">
        <f t="shared" si="3"/>
        <v>0</v>
      </c>
      <c r="J71" s="1084">
        <f>'Ag Economics '!J85+Agronomy!J78+'Animal Sciences Industry'!J92+'Comm Ag Education'!J80+Entomolgy!J69+'Grain Science Industry'!J94+'Hort &amp; Nat Res'!J93+'Plant Pathology'!J69</f>
        <v>0</v>
      </c>
      <c r="K71" s="1121">
        <f t="shared" si="4"/>
        <v>0</v>
      </c>
      <c r="L71" s="1084">
        <f>'Ag Economics '!L85+Agronomy!L78+'Animal Sciences Industry'!L92+'Comm Ag Education'!L80+Entomolgy!L69+'Grain Science Industry'!L94+'Hort &amp; Nat Res'!L93+'Plant Pathology'!L69</f>
        <v>0</v>
      </c>
      <c r="M71" s="1121">
        <f t="shared" si="5"/>
        <v>0</v>
      </c>
      <c r="N71" s="1084">
        <f>'Ag Economics '!N85+Agronomy!N78+'Animal Sciences Industry'!N92+'Comm Ag Education'!N80+Entomolgy!N69+'Grain Science Industry'!N94+'Hort &amp; Nat Res'!N93+'Plant Pathology'!N69</f>
        <v>0</v>
      </c>
      <c r="O71" s="1121">
        <f t="shared" si="6"/>
        <v>0</v>
      </c>
      <c r="P71" s="1084">
        <f>'Ag Economics '!P85+Agronomy!P78+'Animal Sciences Industry'!P92+'Comm Ag Education'!P80+Entomolgy!P69+'Grain Science Industry'!P94+'Hort &amp; Nat Res'!P93+'Plant Pathology'!P69</f>
        <v>1</v>
      </c>
      <c r="Q71" s="1121">
        <f t="shared" si="7"/>
        <v>4.2735042735042739E-3</v>
      </c>
      <c r="R71" s="1084">
        <f>'Ag Economics '!R85+Agronomy!R78+'Animal Sciences Industry'!R92+'Comm Ag Education'!R80+Entomolgy!R69+'Grain Science Industry'!R94+'Hort &amp; Nat Res'!R93+'Plant Pathology'!R69</f>
        <v>0</v>
      </c>
      <c r="S71" s="1121">
        <f t="shared" si="17"/>
        <v>0</v>
      </c>
      <c r="T71" s="1084">
        <f>'Ag Economics '!T85+Agronomy!T78+'Animal Sciences Industry'!T92+'Comm Ag Education'!T80+Entomolgy!T69+'Grain Science Industry'!T94+'Hort &amp; Nat Res'!T93+'Plant Pathology'!T69</f>
        <v>0</v>
      </c>
      <c r="U71" s="1128">
        <f t="shared" si="18"/>
        <v>0</v>
      </c>
    </row>
    <row r="72" spans="1:21" ht="13.5" thickTop="1" x14ac:dyDescent="0.2">
      <c r="A72" t="s">
        <v>251</v>
      </c>
    </row>
  </sheetData>
  <mergeCells count="20">
    <mergeCell ref="B9:C9"/>
    <mergeCell ref="B37:C37"/>
    <mergeCell ref="D37:E37"/>
    <mergeCell ref="F37:G37"/>
    <mergeCell ref="H37:I37"/>
    <mergeCell ref="J37:K37"/>
    <mergeCell ref="L37:M37"/>
    <mergeCell ref="D9:E9"/>
    <mergeCell ref="F9:G9"/>
    <mergeCell ref="H9:I9"/>
    <mergeCell ref="J9:K9"/>
    <mergeCell ref="L9:M9"/>
    <mergeCell ref="T37:U37"/>
    <mergeCell ref="T9:U9"/>
    <mergeCell ref="N9:O9"/>
    <mergeCell ref="P9:Q9"/>
    <mergeCell ref="R9:S9"/>
    <mergeCell ref="N37:O37"/>
    <mergeCell ref="P37:Q37"/>
    <mergeCell ref="R37:S37"/>
  </mergeCells>
  <printOptions horizontalCentered="1"/>
  <pageMargins left="0.7" right="0.7" top="0.75" bottom="0.75" header="0.3" footer="0.3"/>
  <pageSetup scale="77" fitToHeight="2" orientation="landscape" r:id="rId1"/>
  <rowBreaks count="1" manualBreakCount="1">
    <brk id="34" max="16383" man="1"/>
  </rowBreaks>
  <ignoredErrors>
    <ignoredError sqref="J34:Q34 J33:Q33 R52:R72 R33:R34 D52:D72 T33:T34 T52:T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432"/>
  <sheetViews>
    <sheetView view="pageBreakPreview" topLeftCell="A13" zoomScale="98" zoomScaleNormal="100" zoomScaleSheetLayoutView="98" workbookViewId="0">
      <pane xSplit="5" topLeftCell="F1" activePane="topRight" state="frozen"/>
      <selection activeCell="U23" sqref="U23"/>
      <selection pane="topRight" activeCell="U23" sqref="U23"/>
    </sheetView>
  </sheetViews>
  <sheetFormatPr defaultColWidth="10.28515625" defaultRowHeight="12.75" x14ac:dyDescent="0.2"/>
  <cols>
    <col min="1" max="1" width="35.710937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4" ht="15.75" x14ac:dyDescent="0.25">
      <c r="A1" s="636" t="s">
        <v>208</v>
      </c>
    </row>
    <row r="2" spans="1:24" ht="15.75" x14ac:dyDescent="0.25">
      <c r="A2" s="636" t="s">
        <v>209</v>
      </c>
    </row>
    <row r="3" spans="1:24" ht="6" customHeight="1" x14ac:dyDescent="0.25">
      <c r="A3" s="636"/>
    </row>
    <row r="4" spans="1:24" ht="15.75" x14ac:dyDescent="0.25">
      <c r="A4" s="157" t="s">
        <v>211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</row>
    <row r="5" spans="1:24" ht="5.25" customHeight="1" x14ac:dyDescent="0.25">
      <c r="A5" s="157"/>
    </row>
    <row r="6" spans="1:24" x14ac:dyDescent="0.2">
      <c r="A6" s="2" t="s">
        <v>123</v>
      </c>
      <c r="T6" s="232"/>
    </row>
    <row r="7" spans="1:24" x14ac:dyDescent="0.2">
      <c r="A7" s="24">
        <v>3670010030</v>
      </c>
    </row>
    <row r="8" spans="1:24" ht="13.5" thickBot="1" x14ac:dyDescent="0.25">
      <c r="A8" s="1"/>
    </row>
    <row r="9" spans="1:24" ht="18" customHeight="1" thickTop="1" thickBot="1" x14ac:dyDescent="0.25">
      <c r="A9" s="215"/>
      <c r="B9" s="1304" t="s">
        <v>0</v>
      </c>
      <c r="C9" s="1305"/>
      <c r="D9" s="1304" t="s">
        <v>1</v>
      </c>
      <c r="E9" s="1305"/>
      <c r="F9" s="1304" t="s">
        <v>2</v>
      </c>
      <c r="G9" s="1305"/>
      <c r="H9" s="1304" t="s">
        <v>3</v>
      </c>
      <c r="I9" s="1305"/>
      <c r="J9" s="1304" t="s">
        <v>4</v>
      </c>
      <c r="K9" s="1305"/>
      <c r="L9" s="1304" t="s">
        <v>5</v>
      </c>
      <c r="M9" s="1305"/>
      <c r="N9" s="1304" t="s">
        <v>6</v>
      </c>
      <c r="O9" s="1305"/>
      <c r="P9" s="1304" t="s">
        <v>7</v>
      </c>
      <c r="Q9" s="1305"/>
      <c r="R9" s="1304" t="s">
        <v>8</v>
      </c>
      <c r="S9" s="1305"/>
      <c r="T9" s="1304" t="s">
        <v>254</v>
      </c>
      <c r="U9" s="1306"/>
      <c r="W9" s="1302" t="s">
        <v>9</v>
      </c>
      <c r="X9" s="1303"/>
    </row>
    <row r="10" spans="1:24" ht="30" customHeight="1" thickBot="1" x14ac:dyDescent="0.25">
      <c r="A10" s="30" t="s">
        <v>214</v>
      </c>
      <c r="B10" s="677" t="s">
        <v>213</v>
      </c>
      <c r="C10" s="568" t="s">
        <v>198</v>
      </c>
      <c r="D10" s="676" t="s">
        <v>213</v>
      </c>
      <c r="E10" s="568" t="s">
        <v>198</v>
      </c>
      <c r="F10" s="677" t="s">
        <v>213</v>
      </c>
      <c r="G10" s="568" t="s">
        <v>198</v>
      </c>
      <c r="H10" s="677" t="s">
        <v>213</v>
      </c>
      <c r="I10" s="568" t="s">
        <v>198</v>
      </c>
      <c r="J10" s="677" t="s">
        <v>213</v>
      </c>
      <c r="K10" s="568" t="s">
        <v>198</v>
      </c>
      <c r="L10" s="677" t="s">
        <v>213</v>
      </c>
      <c r="M10" s="568" t="s">
        <v>198</v>
      </c>
      <c r="N10" s="677" t="s">
        <v>213</v>
      </c>
      <c r="O10" s="568" t="s">
        <v>198</v>
      </c>
      <c r="P10" s="677" t="s">
        <v>213</v>
      </c>
      <c r="Q10" s="568" t="s">
        <v>198</v>
      </c>
      <c r="R10" s="677" t="s">
        <v>213</v>
      </c>
      <c r="S10" s="568" t="s">
        <v>198</v>
      </c>
      <c r="T10" s="677" t="s">
        <v>213</v>
      </c>
      <c r="U10" s="646" t="s">
        <v>198</v>
      </c>
      <c r="W10" s="678" t="s">
        <v>213</v>
      </c>
      <c r="X10" s="645" t="s">
        <v>198</v>
      </c>
    </row>
    <row r="11" spans="1:24" ht="15" customHeight="1" x14ac:dyDescent="0.2">
      <c r="A11" s="257" t="s">
        <v>125</v>
      </c>
      <c r="B11" s="597"/>
      <c r="C11" s="687"/>
      <c r="D11" s="594"/>
      <c r="E11" s="688"/>
      <c r="F11" s="597"/>
      <c r="G11" s="688"/>
      <c r="H11" s="597"/>
      <c r="I11" s="688"/>
      <c r="J11" s="597"/>
      <c r="K11" s="688"/>
      <c r="L11" s="597"/>
      <c r="M11" s="688"/>
      <c r="N11" s="597"/>
      <c r="O11" s="688"/>
      <c r="P11" s="597"/>
      <c r="Q11" s="688"/>
      <c r="R11" s="597"/>
      <c r="S11" s="688"/>
      <c r="T11" s="597"/>
      <c r="U11" s="689"/>
      <c r="W11" s="657"/>
      <c r="X11" s="694"/>
    </row>
    <row r="12" spans="1:24" s="232" customFormat="1" ht="15" customHeight="1" x14ac:dyDescent="0.2">
      <c r="A12" s="224" t="s">
        <v>85</v>
      </c>
      <c r="B12" s="225">
        <v>54</v>
      </c>
      <c r="C12" s="226"/>
      <c r="D12" s="227">
        <v>44</v>
      </c>
      <c r="E12" s="228"/>
      <c r="F12" s="225">
        <v>48</v>
      </c>
      <c r="G12" s="228"/>
      <c r="H12" s="225">
        <v>61</v>
      </c>
      <c r="I12" s="228"/>
      <c r="J12" s="225">
        <v>67</v>
      </c>
      <c r="K12" s="228"/>
      <c r="L12" s="225">
        <v>66</v>
      </c>
      <c r="M12" s="228"/>
      <c r="N12" s="225">
        <v>64</v>
      </c>
      <c r="O12" s="228"/>
      <c r="P12" s="225">
        <v>64</v>
      </c>
      <c r="Q12" s="229"/>
      <c r="R12" s="225">
        <f>36+29</f>
        <v>65</v>
      </c>
      <c r="S12" s="229"/>
      <c r="T12" s="230">
        <v>62</v>
      </c>
      <c r="U12" s="231"/>
      <c r="W12" s="515">
        <f>AVERAGE(N12,L12,R12,T12,P12)</f>
        <v>64.2</v>
      </c>
      <c r="X12" s="516"/>
    </row>
    <row r="13" spans="1:24" s="232" customFormat="1" ht="15" customHeight="1" thickBot="1" x14ac:dyDescent="0.25">
      <c r="A13" s="234" t="s">
        <v>86</v>
      </c>
      <c r="B13" s="235">
        <v>100</v>
      </c>
      <c r="C13" s="236"/>
      <c r="D13" s="237">
        <v>105</v>
      </c>
      <c r="E13" s="238"/>
      <c r="F13" s="235">
        <v>92</v>
      </c>
      <c r="G13" s="238"/>
      <c r="H13" s="235">
        <v>86</v>
      </c>
      <c r="I13" s="238"/>
      <c r="J13" s="235">
        <v>86</v>
      </c>
      <c r="K13" s="238"/>
      <c r="L13" s="235">
        <v>88</v>
      </c>
      <c r="M13" s="238"/>
      <c r="N13" s="235">
        <v>110</v>
      </c>
      <c r="O13" s="238"/>
      <c r="P13" s="235">
        <v>122</v>
      </c>
      <c r="Q13" s="239"/>
      <c r="R13" s="235">
        <f>38+62</f>
        <v>100</v>
      </c>
      <c r="S13" s="239"/>
      <c r="T13" s="235">
        <v>96</v>
      </c>
      <c r="U13" s="240"/>
      <c r="W13" s="515">
        <f t="shared" ref="W13:W17" si="0">AVERAGE(N13,L13,R13,T13,P13)</f>
        <v>103.2</v>
      </c>
      <c r="X13" s="517"/>
    </row>
    <row r="14" spans="1:24" s="33" customFormat="1" ht="15" customHeight="1" thickBot="1" x14ac:dyDescent="0.25">
      <c r="A14" s="871" t="s">
        <v>87</v>
      </c>
      <c r="B14" s="242">
        <f t="shared" ref="B14:R14" si="1">SUM(B12:B13)</f>
        <v>154</v>
      </c>
      <c r="C14" s="243">
        <v>40</v>
      </c>
      <c r="D14" s="242">
        <f t="shared" si="1"/>
        <v>149</v>
      </c>
      <c r="E14" s="243">
        <v>41</v>
      </c>
      <c r="F14" s="242">
        <f t="shared" si="1"/>
        <v>140</v>
      </c>
      <c r="G14" s="243">
        <v>39</v>
      </c>
      <c r="H14" s="242">
        <f t="shared" si="1"/>
        <v>147</v>
      </c>
      <c r="I14" s="243">
        <v>38</v>
      </c>
      <c r="J14" s="242">
        <f t="shared" si="1"/>
        <v>153</v>
      </c>
      <c r="K14" s="243">
        <v>41</v>
      </c>
      <c r="L14" s="242">
        <f t="shared" si="1"/>
        <v>154</v>
      </c>
      <c r="M14" s="243">
        <v>35</v>
      </c>
      <c r="N14" s="242">
        <f t="shared" si="1"/>
        <v>174</v>
      </c>
      <c r="O14" s="243">
        <v>33</v>
      </c>
      <c r="P14" s="242">
        <f t="shared" si="1"/>
        <v>186</v>
      </c>
      <c r="Q14" s="243">
        <v>56</v>
      </c>
      <c r="R14" s="242">
        <f t="shared" si="1"/>
        <v>165</v>
      </c>
      <c r="S14" s="243">
        <v>47</v>
      </c>
      <c r="T14" s="242">
        <v>158</v>
      </c>
      <c r="U14" s="892"/>
      <c r="W14" s="850">
        <f t="shared" si="0"/>
        <v>167.4</v>
      </c>
      <c r="X14" s="832">
        <f>AVERAGE(O14,M14,S14,K14,Q14)</f>
        <v>42.4</v>
      </c>
    </row>
    <row r="15" spans="1:24" s="33" customFormat="1" ht="15" customHeight="1" x14ac:dyDescent="0.2">
      <c r="A15" s="259" t="s">
        <v>126</v>
      </c>
      <c r="B15" s="260">
        <v>23</v>
      </c>
      <c r="C15" s="261">
        <v>11</v>
      </c>
      <c r="D15" s="260">
        <v>15</v>
      </c>
      <c r="E15" s="262">
        <v>9</v>
      </c>
      <c r="F15" s="263">
        <v>10</v>
      </c>
      <c r="G15" s="262">
        <v>11</v>
      </c>
      <c r="H15" s="263">
        <v>7</v>
      </c>
      <c r="I15" s="262">
        <v>4</v>
      </c>
      <c r="J15" s="263">
        <v>14</v>
      </c>
      <c r="K15" s="262">
        <v>10</v>
      </c>
      <c r="L15" s="263">
        <v>10</v>
      </c>
      <c r="M15" s="262">
        <v>6</v>
      </c>
      <c r="N15" s="263">
        <v>17</v>
      </c>
      <c r="O15" s="262">
        <v>11</v>
      </c>
      <c r="P15" s="263">
        <v>13</v>
      </c>
      <c r="Q15" s="262">
        <v>7</v>
      </c>
      <c r="R15" s="263">
        <v>14</v>
      </c>
      <c r="S15" s="262">
        <v>7</v>
      </c>
      <c r="T15" s="263">
        <v>15</v>
      </c>
      <c r="U15" s="893"/>
      <c r="W15" s="515">
        <f t="shared" si="0"/>
        <v>13.8</v>
      </c>
      <c r="X15" s="518">
        <f t="shared" ref="X15:X17" si="2">AVERAGE(O15,M15,S15,K15,Q15)</f>
        <v>8.1999999999999993</v>
      </c>
    </row>
    <row r="16" spans="1:24" s="33" customFormat="1" ht="15" customHeight="1" x14ac:dyDescent="0.2">
      <c r="A16" s="224" t="s">
        <v>88</v>
      </c>
      <c r="B16" s="260">
        <v>31</v>
      </c>
      <c r="C16" s="261">
        <v>14</v>
      </c>
      <c r="D16" s="260">
        <v>22</v>
      </c>
      <c r="E16" s="262">
        <v>13</v>
      </c>
      <c r="F16" s="263">
        <v>27</v>
      </c>
      <c r="G16" s="262">
        <v>12</v>
      </c>
      <c r="H16" s="263">
        <v>28</v>
      </c>
      <c r="I16" s="262">
        <v>15</v>
      </c>
      <c r="J16" s="263">
        <v>23</v>
      </c>
      <c r="K16" s="262">
        <v>6</v>
      </c>
      <c r="L16" s="263">
        <v>20</v>
      </c>
      <c r="M16" s="262">
        <v>6</v>
      </c>
      <c r="N16" s="263">
        <v>18</v>
      </c>
      <c r="O16" s="262">
        <v>12</v>
      </c>
      <c r="P16" s="263">
        <v>19</v>
      </c>
      <c r="Q16" s="262">
        <v>9</v>
      </c>
      <c r="R16" s="263">
        <v>20</v>
      </c>
      <c r="S16" s="262">
        <v>10</v>
      </c>
      <c r="T16" s="263">
        <v>23</v>
      </c>
      <c r="U16" s="897"/>
      <c r="W16" s="515">
        <f t="shared" si="0"/>
        <v>20</v>
      </c>
      <c r="X16" s="519">
        <f t="shared" si="2"/>
        <v>8.6</v>
      </c>
    </row>
    <row r="17" spans="1:24" s="33" customFormat="1" ht="15" customHeight="1" thickBot="1" x14ac:dyDescent="0.25">
      <c r="A17" s="872" t="s">
        <v>40</v>
      </c>
      <c r="B17" s="575">
        <v>16</v>
      </c>
      <c r="C17" s="574">
        <v>2</v>
      </c>
      <c r="D17" s="575">
        <v>19</v>
      </c>
      <c r="E17" s="576">
        <v>6</v>
      </c>
      <c r="F17" s="573">
        <v>18</v>
      </c>
      <c r="G17" s="576">
        <v>1</v>
      </c>
      <c r="H17" s="573">
        <v>22</v>
      </c>
      <c r="I17" s="576">
        <v>4</v>
      </c>
      <c r="J17" s="573">
        <v>20</v>
      </c>
      <c r="K17" s="576">
        <v>3</v>
      </c>
      <c r="L17" s="573">
        <v>21</v>
      </c>
      <c r="M17" s="576">
        <v>3</v>
      </c>
      <c r="N17" s="573">
        <v>25</v>
      </c>
      <c r="O17" s="576">
        <v>3</v>
      </c>
      <c r="P17" s="876">
        <v>27</v>
      </c>
      <c r="Q17" s="576">
        <v>3</v>
      </c>
      <c r="R17" s="876">
        <v>34</v>
      </c>
      <c r="S17" s="576">
        <v>5</v>
      </c>
      <c r="T17" s="573">
        <v>38</v>
      </c>
      <c r="U17" s="295"/>
      <c r="W17" s="515">
        <f t="shared" si="0"/>
        <v>29</v>
      </c>
      <c r="X17" s="880">
        <f t="shared" si="2"/>
        <v>3.4</v>
      </c>
    </row>
    <row r="18" spans="1:24" ht="24" customHeight="1" x14ac:dyDescent="0.2">
      <c r="A18" s="877" t="s">
        <v>127</v>
      </c>
      <c r="B18" s="620"/>
      <c r="C18" s="878"/>
      <c r="D18" s="617"/>
      <c r="E18" s="879"/>
      <c r="F18" s="620"/>
      <c r="G18" s="879"/>
      <c r="H18" s="620"/>
      <c r="I18" s="879"/>
      <c r="J18" s="620"/>
      <c r="K18" s="879"/>
      <c r="L18" s="620"/>
      <c r="M18" s="879"/>
      <c r="N18" s="620"/>
      <c r="O18" s="879"/>
      <c r="P18" s="620"/>
      <c r="Q18" s="879"/>
      <c r="R18" s="620"/>
      <c r="S18" s="879"/>
      <c r="T18" s="620"/>
      <c r="U18" s="736"/>
      <c r="W18" s="657"/>
      <c r="X18" s="694"/>
    </row>
    <row r="19" spans="1:24" s="232" customFormat="1" ht="15" customHeight="1" x14ac:dyDescent="0.2">
      <c r="A19" s="224" t="s">
        <v>85</v>
      </c>
      <c r="B19" s="225">
        <v>70</v>
      </c>
      <c r="C19" s="226"/>
      <c r="D19" s="227">
        <v>68</v>
      </c>
      <c r="E19" s="228"/>
      <c r="F19" s="225">
        <v>72</v>
      </c>
      <c r="G19" s="228"/>
      <c r="H19" s="225">
        <v>89</v>
      </c>
      <c r="I19" s="228"/>
      <c r="J19" s="225">
        <v>103</v>
      </c>
      <c r="K19" s="228"/>
      <c r="L19" s="225">
        <v>119</v>
      </c>
      <c r="M19" s="228"/>
      <c r="N19" s="225">
        <v>130</v>
      </c>
      <c r="O19" s="228"/>
      <c r="P19" s="225">
        <v>133</v>
      </c>
      <c r="Q19" s="229"/>
      <c r="R19" s="225">
        <v>138</v>
      </c>
      <c r="S19" s="229"/>
      <c r="T19" s="230">
        <f>127+2</f>
        <v>129</v>
      </c>
      <c r="U19" s="231"/>
      <c r="W19" s="515">
        <f>AVERAGE(N19,L19,R19,T19,P19)</f>
        <v>129.80000000000001</v>
      </c>
      <c r="X19" s="516"/>
    </row>
    <row r="20" spans="1:24" s="232" customFormat="1" ht="15" customHeight="1" thickBot="1" x14ac:dyDescent="0.25">
      <c r="A20" s="234" t="s">
        <v>86</v>
      </c>
      <c r="B20" s="235">
        <v>111</v>
      </c>
      <c r="C20" s="236"/>
      <c r="D20" s="237">
        <v>127</v>
      </c>
      <c r="E20" s="238"/>
      <c r="F20" s="235">
        <v>128</v>
      </c>
      <c r="G20" s="238"/>
      <c r="H20" s="235">
        <v>121</v>
      </c>
      <c r="I20" s="238"/>
      <c r="J20" s="235">
        <v>111</v>
      </c>
      <c r="K20" s="238"/>
      <c r="L20" s="235">
        <v>135</v>
      </c>
      <c r="M20" s="238"/>
      <c r="N20" s="235">
        <v>175</v>
      </c>
      <c r="O20" s="238"/>
      <c r="P20" s="235">
        <v>170</v>
      </c>
      <c r="Q20" s="239"/>
      <c r="R20" s="235">
        <v>168</v>
      </c>
      <c r="S20" s="239"/>
      <c r="T20" s="235">
        <v>192</v>
      </c>
      <c r="U20" s="240"/>
      <c r="W20" s="515">
        <f>AVERAGE(N20,L20,R20,T20,P20)</f>
        <v>168</v>
      </c>
      <c r="X20" s="517"/>
    </row>
    <row r="21" spans="1:24" s="33" customFormat="1" ht="15" customHeight="1" thickBot="1" x14ac:dyDescent="0.25">
      <c r="A21" s="871" t="s">
        <v>87</v>
      </c>
      <c r="B21" s="242">
        <f t="shared" ref="B21" si="3">SUM(B19:B20)</f>
        <v>181</v>
      </c>
      <c r="C21" s="243">
        <v>42</v>
      </c>
      <c r="D21" s="242">
        <f t="shared" ref="D21" si="4">SUM(D19:D20)</f>
        <v>195</v>
      </c>
      <c r="E21" s="243">
        <v>44</v>
      </c>
      <c r="F21" s="513">
        <f t="shared" ref="F21" si="5">SUM(F19:F20)</f>
        <v>200</v>
      </c>
      <c r="G21" s="243">
        <v>56</v>
      </c>
      <c r="H21" s="242">
        <f t="shared" ref="H21" si="6">SUM(H19:H20)</f>
        <v>210</v>
      </c>
      <c r="I21" s="243">
        <v>53</v>
      </c>
      <c r="J21" s="242">
        <f t="shared" ref="J21" si="7">SUM(J19:J20)</f>
        <v>214</v>
      </c>
      <c r="K21" s="243">
        <v>47</v>
      </c>
      <c r="L21" s="242">
        <f t="shared" ref="L21" si="8">SUM(L19:L20)</f>
        <v>254</v>
      </c>
      <c r="M21" s="243">
        <v>45</v>
      </c>
      <c r="N21" s="242">
        <f t="shared" ref="N21" si="9">SUM(N19:N20)</f>
        <v>305</v>
      </c>
      <c r="O21" s="243">
        <v>65</v>
      </c>
      <c r="P21" s="242">
        <f t="shared" ref="P21" si="10">SUM(P19:P20)</f>
        <v>303</v>
      </c>
      <c r="Q21" s="243">
        <v>68</v>
      </c>
      <c r="R21" s="242">
        <f t="shared" ref="R21" si="11">SUM(R19:R20)</f>
        <v>306</v>
      </c>
      <c r="S21" s="243">
        <v>60</v>
      </c>
      <c r="T21" s="242">
        <v>321</v>
      </c>
      <c r="U21" s="892"/>
      <c r="W21" s="850">
        <f>AVERAGE(N21,L21,R21,T21,P21)</f>
        <v>297.8</v>
      </c>
      <c r="X21" s="832">
        <f t="shared" ref="X21:X23" si="12">AVERAGE(O21,M21,S21,K21,Q21)</f>
        <v>57</v>
      </c>
    </row>
    <row r="22" spans="1:24" s="33" customFormat="1" ht="15" customHeight="1" x14ac:dyDescent="0.2">
      <c r="A22" s="873" t="s">
        <v>126</v>
      </c>
      <c r="B22" s="264">
        <v>9</v>
      </c>
      <c r="C22" s="265">
        <v>4</v>
      </c>
      <c r="D22" s="264">
        <v>8</v>
      </c>
      <c r="E22" s="266">
        <v>7</v>
      </c>
      <c r="F22" s="267">
        <v>15</v>
      </c>
      <c r="G22" s="265">
        <v>4</v>
      </c>
      <c r="H22" s="875">
        <f>17</f>
        <v>17</v>
      </c>
      <c r="I22" s="266">
        <v>7</v>
      </c>
      <c r="J22" s="267">
        <v>18</v>
      </c>
      <c r="K22" s="266">
        <v>2</v>
      </c>
      <c r="L22" s="267">
        <v>21</v>
      </c>
      <c r="M22" s="266">
        <v>12</v>
      </c>
      <c r="N22" s="267">
        <v>19</v>
      </c>
      <c r="O22" s="266">
        <v>11</v>
      </c>
      <c r="P22" s="267">
        <v>19</v>
      </c>
      <c r="Q22" s="266">
        <v>8</v>
      </c>
      <c r="R22" s="267">
        <v>22</v>
      </c>
      <c r="S22" s="266">
        <v>7</v>
      </c>
      <c r="T22" s="267">
        <v>21</v>
      </c>
      <c r="U22" s="893"/>
      <c r="W22" s="515">
        <f>AVERAGE(N22,L22,R22,T22,P22)</f>
        <v>20.399999999999999</v>
      </c>
      <c r="X22" s="518">
        <f t="shared" si="12"/>
        <v>8</v>
      </c>
    </row>
    <row r="23" spans="1:24" s="232" customFormat="1" ht="15" customHeight="1" thickBot="1" x14ac:dyDescent="0.25">
      <c r="A23" s="874" t="s">
        <v>88</v>
      </c>
      <c r="B23" s="268">
        <v>52</v>
      </c>
      <c r="C23" s="269">
        <v>20</v>
      </c>
      <c r="D23" s="268">
        <v>55</v>
      </c>
      <c r="E23" s="270">
        <v>16</v>
      </c>
      <c r="F23" s="271">
        <v>68</v>
      </c>
      <c r="G23" s="269">
        <v>14</v>
      </c>
      <c r="H23" s="268">
        <v>52</v>
      </c>
      <c r="I23" s="270">
        <v>21</v>
      </c>
      <c r="J23" s="271">
        <v>60</v>
      </c>
      <c r="K23" s="270">
        <v>16</v>
      </c>
      <c r="L23" s="271">
        <v>60</v>
      </c>
      <c r="M23" s="270">
        <v>23</v>
      </c>
      <c r="N23" s="271">
        <v>69</v>
      </c>
      <c r="O23" s="270">
        <v>21</v>
      </c>
      <c r="P23" s="271">
        <v>74</v>
      </c>
      <c r="Q23" s="270">
        <v>18</v>
      </c>
      <c r="R23" s="271">
        <v>71</v>
      </c>
      <c r="S23" s="270">
        <v>22</v>
      </c>
      <c r="T23" s="271">
        <v>63</v>
      </c>
      <c r="U23" s="894"/>
      <c r="W23" s="515">
        <f>AVERAGE(N23,L23,R23,T23,P23)</f>
        <v>67.400000000000006</v>
      </c>
      <c r="X23" s="520">
        <f t="shared" si="12"/>
        <v>20</v>
      </c>
    </row>
    <row r="24" spans="1:24" ht="18" customHeight="1" thickTop="1" thickBot="1" x14ac:dyDescent="0.25">
      <c r="A24" s="390" t="s">
        <v>92</v>
      </c>
      <c r="B24" s="1322"/>
      <c r="C24" s="1323"/>
      <c r="D24" s="1322"/>
      <c r="E24" s="1323"/>
      <c r="F24" s="1322"/>
      <c r="G24" s="1323"/>
      <c r="H24" s="1322"/>
      <c r="I24" s="1323"/>
      <c r="J24" s="1322"/>
      <c r="K24" s="1323"/>
      <c r="L24" s="1322"/>
      <c r="M24" s="1323"/>
      <c r="N24" s="1322"/>
      <c r="O24" s="1323"/>
      <c r="P24" s="1322"/>
      <c r="Q24" s="1323"/>
      <c r="R24" s="1322"/>
      <c r="S24" s="1323"/>
      <c r="T24" s="1322"/>
      <c r="U24" s="1299"/>
      <c r="V24" s="372"/>
      <c r="W24" s="1298"/>
      <c r="X24" s="1299"/>
    </row>
    <row r="25" spans="1:24" ht="15" customHeight="1" x14ac:dyDescent="0.2">
      <c r="A25" s="860" t="s">
        <v>230</v>
      </c>
      <c r="B25" s="391"/>
      <c r="C25" s="403"/>
      <c r="D25" s="404"/>
      <c r="E25" s="403"/>
      <c r="F25" s="404"/>
      <c r="G25" s="403"/>
      <c r="H25" s="404"/>
      <c r="I25" s="403"/>
      <c r="J25" s="404"/>
      <c r="K25" s="403"/>
      <c r="L25" s="404"/>
      <c r="M25" s="403"/>
      <c r="N25" s="404"/>
      <c r="O25" s="403"/>
      <c r="P25" s="404"/>
      <c r="Q25" s="403"/>
      <c r="R25" s="404"/>
      <c r="S25" s="403"/>
      <c r="T25" s="404"/>
      <c r="U25" s="405"/>
      <c r="V25" s="406"/>
      <c r="W25" s="848"/>
      <c r="X25" s="485" t="e">
        <f>AVERAGE(O25,M25,I25,K25,Q25)</f>
        <v>#DIV/0!</v>
      </c>
    </row>
    <row r="26" spans="1:24" ht="15" customHeight="1" x14ac:dyDescent="0.2">
      <c r="A26" s="771" t="s">
        <v>129</v>
      </c>
      <c r="B26" s="514"/>
      <c r="C26" s="863">
        <v>0.75</v>
      </c>
      <c r="D26" s="864"/>
      <c r="E26" s="863">
        <v>0.68</v>
      </c>
      <c r="F26" s="864"/>
      <c r="G26" s="863">
        <v>0.81</v>
      </c>
      <c r="H26" s="864"/>
      <c r="I26" s="863">
        <v>0.91</v>
      </c>
      <c r="J26" s="864"/>
      <c r="K26" s="863">
        <v>0.91</v>
      </c>
      <c r="L26" s="864"/>
      <c r="M26" s="863">
        <v>0.82</v>
      </c>
      <c r="N26" s="864"/>
      <c r="O26" s="863">
        <v>0.9</v>
      </c>
      <c r="P26" s="864"/>
      <c r="Q26" s="865">
        <v>0.82</v>
      </c>
      <c r="R26" s="864"/>
      <c r="S26" s="1293">
        <v>0.82</v>
      </c>
      <c r="T26" s="864"/>
      <c r="U26" s="895"/>
      <c r="V26" s="866"/>
      <c r="W26" s="869"/>
      <c r="X26" s="870">
        <f>AVERAGE(O26,M26,S26,K26,Q26)</f>
        <v>0.85400000000000009</v>
      </c>
    </row>
    <row r="27" spans="1:24" ht="15" customHeight="1" x14ac:dyDescent="0.2">
      <c r="A27" s="771" t="s">
        <v>253</v>
      </c>
      <c r="B27" s="514"/>
      <c r="C27" s="863">
        <v>0.84</v>
      </c>
      <c r="D27" s="864"/>
      <c r="E27" s="863">
        <v>0.92</v>
      </c>
      <c r="F27" s="864"/>
      <c r="G27" s="863">
        <v>0.72</v>
      </c>
      <c r="H27" s="864"/>
      <c r="I27" s="863">
        <v>0.93</v>
      </c>
      <c r="J27" s="864"/>
      <c r="K27" s="863">
        <v>0.9</v>
      </c>
      <c r="L27" s="864"/>
      <c r="M27" s="863">
        <v>0.93</v>
      </c>
      <c r="N27" s="864"/>
      <c r="O27" s="863">
        <v>0.91</v>
      </c>
      <c r="P27" s="864"/>
      <c r="Q27" s="865">
        <v>0.91</v>
      </c>
      <c r="R27" s="864"/>
      <c r="S27" s="1293">
        <v>0.91</v>
      </c>
      <c r="T27" s="864"/>
      <c r="U27" s="895"/>
      <c r="V27" s="866"/>
      <c r="W27" s="869"/>
      <c r="X27" s="870">
        <f t="shared" ref="X27:X29" si="13">AVERAGE(O27,M27,S27,K27,Q27)</f>
        <v>0.91199999999999992</v>
      </c>
    </row>
    <row r="28" spans="1:24" ht="28.5" customHeight="1" x14ac:dyDescent="0.2">
      <c r="A28" s="861" t="s">
        <v>228</v>
      </c>
      <c r="B28" s="514"/>
      <c r="C28" s="863">
        <v>0.18</v>
      </c>
      <c r="D28" s="864"/>
      <c r="E28" s="863">
        <v>0.27</v>
      </c>
      <c r="F28" s="864"/>
      <c r="G28" s="863">
        <v>0.17</v>
      </c>
      <c r="H28" s="864"/>
      <c r="I28" s="863">
        <v>0.09</v>
      </c>
      <c r="J28" s="864"/>
      <c r="K28" s="863">
        <v>0.06</v>
      </c>
      <c r="L28" s="864"/>
      <c r="M28" s="863">
        <v>0.15</v>
      </c>
      <c r="N28" s="864"/>
      <c r="O28" s="863">
        <v>0.1</v>
      </c>
      <c r="P28" s="864"/>
      <c r="Q28" s="865">
        <v>0.16</v>
      </c>
      <c r="R28" s="864"/>
      <c r="S28" s="1293">
        <v>0.18</v>
      </c>
      <c r="T28" s="864"/>
      <c r="U28" s="895"/>
      <c r="V28" s="866"/>
      <c r="W28" s="869"/>
      <c r="X28" s="870">
        <f t="shared" si="13"/>
        <v>0.13</v>
      </c>
    </row>
    <row r="29" spans="1:24" ht="30" customHeight="1" x14ac:dyDescent="0.2">
      <c r="A29" s="861" t="s">
        <v>229</v>
      </c>
      <c r="B29" s="514"/>
      <c r="C29" s="863">
        <v>0.08</v>
      </c>
      <c r="D29" s="864"/>
      <c r="E29" s="863">
        <v>0.05</v>
      </c>
      <c r="F29" s="864"/>
      <c r="G29" s="863">
        <v>0.13</v>
      </c>
      <c r="H29" s="864"/>
      <c r="I29" s="863">
        <v>0.02</v>
      </c>
      <c r="J29" s="864"/>
      <c r="K29" s="863">
        <v>0.02</v>
      </c>
      <c r="L29" s="864"/>
      <c r="M29" s="863">
        <v>0.05</v>
      </c>
      <c r="N29" s="864"/>
      <c r="O29" s="863">
        <v>7.0000000000000007E-2</v>
      </c>
      <c r="P29" s="864"/>
      <c r="Q29" s="865">
        <v>0.05</v>
      </c>
      <c r="R29" s="864"/>
      <c r="S29" s="1293">
        <v>0.06</v>
      </c>
      <c r="T29" s="864"/>
      <c r="U29" s="895"/>
      <c r="V29" s="866"/>
      <c r="W29" s="869"/>
      <c r="X29" s="870">
        <f t="shared" si="13"/>
        <v>0.05</v>
      </c>
    </row>
    <row r="30" spans="1:24" ht="15" customHeight="1" thickBot="1" x14ac:dyDescent="0.25">
      <c r="A30" s="862" t="s">
        <v>96</v>
      </c>
      <c r="B30" s="396"/>
      <c r="C30" s="397"/>
      <c r="D30" s="396"/>
      <c r="E30" s="397"/>
      <c r="F30" s="396"/>
      <c r="G30" s="397"/>
      <c r="H30" s="396"/>
      <c r="I30" s="397"/>
      <c r="J30" s="396"/>
      <c r="K30" s="397"/>
      <c r="L30" s="396"/>
      <c r="M30" s="397"/>
      <c r="N30" s="396"/>
      <c r="O30" s="397"/>
      <c r="P30" s="396"/>
      <c r="Q30" s="397"/>
      <c r="R30" s="396"/>
      <c r="S30" s="397"/>
      <c r="T30" s="396"/>
      <c r="U30" s="398"/>
      <c r="V30" s="372"/>
      <c r="W30" s="849"/>
      <c r="X30" s="496" t="e">
        <f>AVERAGE(O30,M30,I30,K30,Q30)</f>
        <v>#DIV/0!</v>
      </c>
    </row>
    <row r="31" spans="1:24" ht="18" customHeight="1" thickTop="1" thickBot="1" x14ac:dyDescent="0.25">
      <c r="A31" s="399" t="s">
        <v>39</v>
      </c>
      <c r="B31" s="1322"/>
      <c r="C31" s="1323"/>
      <c r="D31" s="1322"/>
      <c r="E31" s="1323"/>
      <c r="F31" s="1322"/>
      <c r="G31" s="1323"/>
      <c r="H31" s="1322"/>
      <c r="I31" s="1323"/>
      <c r="J31" s="1322"/>
      <c r="K31" s="1323"/>
      <c r="L31" s="1322"/>
      <c r="M31" s="1323"/>
      <c r="N31" s="1322"/>
      <c r="O31" s="1323"/>
      <c r="P31" s="1322"/>
      <c r="Q31" s="1323"/>
      <c r="R31" s="1322"/>
      <c r="S31" s="1323"/>
      <c r="T31" s="1322"/>
      <c r="U31" s="1299"/>
      <c r="V31" s="372"/>
      <c r="W31" s="1298"/>
      <c r="X31" s="1299"/>
    </row>
    <row r="32" spans="1:24" ht="25.5" customHeight="1" x14ac:dyDescent="0.2">
      <c r="A32" s="885" t="s">
        <v>128</v>
      </c>
      <c r="B32" s="521"/>
      <c r="C32" s="508">
        <v>23.9</v>
      </c>
      <c r="D32" s="521"/>
      <c r="E32" s="508">
        <v>24.2</v>
      </c>
      <c r="F32" s="521"/>
      <c r="G32" s="508">
        <v>23.4</v>
      </c>
      <c r="H32" s="521"/>
      <c r="I32" s="508">
        <v>23.4</v>
      </c>
      <c r="J32" s="521"/>
      <c r="K32" s="508">
        <v>23.9</v>
      </c>
      <c r="L32" s="521"/>
      <c r="M32" s="508">
        <v>24.5</v>
      </c>
      <c r="N32" s="521"/>
      <c r="O32" s="508">
        <v>24.6</v>
      </c>
      <c r="P32" s="521"/>
      <c r="Q32" s="508">
        <v>23.8</v>
      </c>
      <c r="R32" s="521"/>
      <c r="S32" s="508">
        <v>23.8</v>
      </c>
      <c r="T32" s="521"/>
      <c r="U32" s="438">
        <v>24.8</v>
      </c>
      <c r="V32" s="372"/>
      <c r="W32" s="522"/>
      <c r="X32" s="523">
        <f>AVERAGE(O32,M32,S32,U32,Q32)</f>
        <v>24.3</v>
      </c>
    </row>
    <row r="33" spans="1:27" ht="15" customHeight="1" thickBot="1" x14ac:dyDescent="0.25">
      <c r="A33" s="862" t="s">
        <v>252</v>
      </c>
      <c r="B33" s="396"/>
      <c r="C33" s="397">
        <v>22.4</v>
      </c>
      <c r="D33" s="396"/>
      <c r="E33" s="397">
        <v>22.7</v>
      </c>
      <c r="F33" s="396"/>
      <c r="G33" s="397">
        <v>22.3</v>
      </c>
      <c r="H33" s="396"/>
      <c r="I33" s="397">
        <v>23.1</v>
      </c>
      <c r="J33" s="396"/>
      <c r="K33" s="397">
        <v>23.9</v>
      </c>
      <c r="L33" s="396"/>
      <c r="M33" s="397">
        <v>23.3</v>
      </c>
      <c r="N33" s="396"/>
      <c r="O33" s="397">
        <v>22.6</v>
      </c>
      <c r="P33" s="396"/>
      <c r="Q33" s="397">
        <v>22.6</v>
      </c>
      <c r="R33" s="396"/>
      <c r="S33" s="397">
        <v>22.7</v>
      </c>
      <c r="T33" s="396"/>
      <c r="U33" s="398">
        <v>22.6</v>
      </c>
      <c r="V33" s="372"/>
      <c r="W33" s="524"/>
      <c r="X33" s="496">
        <f>AVERAGE(O33,M33,S33,U33,Q33)</f>
        <v>22.76</v>
      </c>
    </row>
    <row r="34" spans="1:27" ht="18" customHeight="1" thickTop="1" thickBot="1" x14ac:dyDescent="0.25">
      <c r="A34" s="415" t="s">
        <v>17</v>
      </c>
      <c r="B34" s="1322"/>
      <c r="C34" s="1323"/>
      <c r="D34" s="1322"/>
      <c r="E34" s="1323"/>
      <c r="F34" s="1322"/>
      <c r="G34" s="1323"/>
      <c r="H34" s="1322"/>
      <c r="I34" s="1323"/>
      <c r="J34" s="1322"/>
      <c r="K34" s="1323"/>
      <c r="L34" s="1322"/>
      <c r="M34" s="1323"/>
      <c r="N34" s="1322"/>
      <c r="O34" s="1323"/>
      <c r="P34" s="1322"/>
      <c r="Q34" s="1323"/>
      <c r="R34" s="1322"/>
      <c r="S34" s="1323"/>
      <c r="T34" s="1322"/>
      <c r="U34" s="1299"/>
      <c r="V34" s="372"/>
      <c r="W34" s="1298"/>
      <c r="X34" s="1299"/>
    </row>
    <row r="35" spans="1:27" ht="15" customHeight="1" x14ac:dyDescent="0.2">
      <c r="A35" s="578" t="s">
        <v>18</v>
      </c>
      <c r="B35" s="416"/>
      <c r="C35" s="343">
        <v>1886</v>
      </c>
      <c r="D35" s="417"/>
      <c r="E35" s="418">
        <v>1909</v>
      </c>
      <c r="F35" s="416"/>
      <c r="G35" s="418">
        <v>1856</v>
      </c>
      <c r="H35" s="416"/>
      <c r="I35" s="418">
        <v>1930</v>
      </c>
      <c r="J35" s="416"/>
      <c r="K35" s="418">
        <v>2229</v>
      </c>
      <c r="L35" s="416"/>
      <c r="M35" s="418">
        <v>2682</v>
      </c>
      <c r="N35" s="416"/>
      <c r="O35" s="418">
        <v>2815</v>
      </c>
      <c r="P35" s="416"/>
      <c r="Q35" s="418">
        <v>2833</v>
      </c>
      <c r="R35" s="416"/>
      <c r="S35" s="418">
        <v>2889</v>
      </c>
      <c r="T35" s="416"/>
      <c r="U35" s="19">
        <v>2451</v>
      </c>
      <c r="V35" s="372"/>
      <c r="W35" s="420"/>
      <c r="X35" s="421">
        <f>AVERAGE(O35,M35,S35,K35,Q35)</f>
        <v>2689.6</v>
      </c>
    </row>
    <row r="36" spans="1:27" ht="15" customHeight="1" x14ac:dyDescent="0.2">
      <c r="A36" s="578" t="s">
        <v>19</v>
      </c>
      <c r="B36" s="416"/>
      <c r="C36" s="343">
        <v>4905</v>
      </c>
      <c r="D36" s="417"/>
      <c r="E36" s="418">
        <v>4455</v>
      </c>
      <c r="F36" s="416"/>
      <c r="G36" s="418">
        <v>4608</v>
      </c>
      <c r="H36" s="416"/>
      <c r="I36" s="418">
        <v>4449</v>
      </c>
      <c r="J36" s="416"/>
      <c r="K36" s="418">
        <v>4734</v>
      </c>
      <c r="L36" s="416"/>
      <c r="M36" s="418">
        <v>5353</v>
      </c>
      <c r="N36" s="416"/>
      <c r="O36" s="418">
        <v>5755</v>
      </c>
      <c r="P36" s="416"/>
      <c r="Q36" s="418">
        <v>6213</v>
      </c>
      <c r="R36" s="416"/>
      <c r="S36" s="418">
        <v>6381</v>
      </c>
      <c r="T36" s="416"/>
      <c r="U36" s="19">
        <v>6518</v>
      </c>
      <c r="V36" s="372"/>
      <c r="W36" s="422"/>
      <c r="X36" s="421">
        <f t="shared" ref="X36:X39" si="14">AVERAGE(O36,M36,S36,K36,Q36)</f>
        <v>5687.2</v>
      </c>
    </row>
    <row r="37" spans="1:27" ht="15" customHeight="1" x14ac:dyDescent="0.2">
      <c r="A37" s="578" t="s">
        <v>20</v>
      </c>
      <c r="B37" s="416"/>
      <c r="C37" s="343">
        <v>1176</v>
      </c>
      <c r="D37" s="417"/>
      <c r="E37" s="418">
        <v>1180</v>
      </c>
      <c r="F37" s="416"/>
      <c r="G37" s="418">
        <v>1233</v>
      </c>
      <c r="H37" s="416"/>
      <c r="I37" s="418">
        <v>1227</v>
      </c>
      <c r="J37" s="416"/>
      <c r="K37" s="418">
        <v>1305</v>
      </c>
      <c r="L37" s="416"/>
      <c r="M37" s="418">
        <v>1259</v>
      </c>
      <c r="N37" s="416"/>
      <c r="O37" s="418">
        <v>1405</v>
      </c>
      <c r="P37" s="416"/>
      <c r="Q37" s="418">
        <v>1446</v>
      </c>
      <c r="R37" s="416"/>
      <c r="S37" s="418">
        <v>1400</v>
      </c>
      <c r="T37" s="416"/>
      <c r="U37" s="19">
        <v>1461</v>
      </c>
      <c r="V37" s="372"/>
      <c r="W37" s="422"/>
      <c r="X37" s="421">
        <f t="shared" si="14"/>
        <v>1363</v>
      </c>
    </row>
    <row r="38" spans="1:27" ht="15" customHeight="1" thickBot="1" x14ac:dyDescent="0.25">
      <c r="A38" s="834" t="s">
        <v>21</v>
      </c>
      <c r="B38" s="252"/>
      <c r="C38" s="423">
        <v>147</v>
      </c>
      <c r="D38" s="417"/>
      <c r="E38" s="424">
        <v>181</v>
      </c>
      <c r="F38" s="416"/>
      <c r="G38" s="424">
        <v>169</v>
      </c>
      <c r="H38" s="416"/>
      <c r="I38" s="424">
        <v>235</v>
      </c>
      <c r="J38" s="416"/>
      <c r="K38" s="424">
        <v>233</v>
      </c>
      <c r="L38" s="416"/>
      <c r="M38" s="424">
        <v>261</v>
      </c>
      <c r="N38" s="416"/>
      <c r="O38" s="424">
        <v>292</v>
      </c>
      <c r="P38" s="416"/>
      <c r="Q38" s="424">
        <v>346</v>
      </c>
      <c r="R38" s="416"/>
      <c r="S38" s="424">
        <v>320</v>
      </c>
      <c r="T38" s="252"/>
      <c r="U38" s="46">
        <v>325</v>
      </c>
      <c r="V38" s="372"/>
      <c r="W38" s="431"/>
      <c r="X38" s="501">
        <f t="shared" si="14"/>
        <v>290.39999999999998</v>
      </c>
    </row>
    <row r="39" spans="1:27" ht="15" customHeight="1" thickBot="1" x14ac:dyDescent="0.25">
      <c r="A39" s="835" t="s">
        <v>22</v>
      </c>
      <c r="B39" s="426"/>
      <c r="C39" s="427">
        <f>SUM(C35:C38)</f>
        <v>8114</v>
      </c>
      <c r="D39" s="428"/>
      <c r="E39" s="429">
        <f>SUM(E35:E38)</f>
        <v>7725</v>
      </c>
      <c r="F39" s="426"/>
      <c r="G39" s="429">
        <f>SUM(G35:G38)</f>
        <v>7866</v>
      </c>
      <c r="H39" s="426"/>
      <c r="I39" s="429">
        <f>SUM(I35:I38)</f>
        <v>7841</v>
      </c>
      <c r="J39" s="426"/>
      <c r="K39" s="429">
        <f>SUM(K35:K38)</f>
        <v>8501</v>
      </c>
      <c r="L39" s="426"/>
      <c r="M39" s="429">
        <f>SUM(M35:M38)</f>
        <v>9555</v>
      </c>
      <c r="N39" s="426"/>
      <c r="O39" s="429">
        <f>SUM(O35:O38)</f>
        <v>10267</v>
      </c>
      <c r="P39" s="426"/>
      <c r="Q39" s="429">
        <f>SUM(Q35:Q38)</f>
        <v>10838</v>
      </c>
      <c r="R39" s="426"/>
      <c r="S39" s="429">
        <f>SUM(S35:S38)</f>
        <v>10990</v>
      </c>
      <c r="T39" s="426"/>
      <c r="U39" s="51">
        <f>SUM(U35:U38)</f>
        <v>10755</v>
      </c>
      <c r="V39" s="372"/>
      <c r="W39" s="502"/>
      <c r="X39" s="430">
        <f t="shared" si="14"/>
        <v>10030.200000000001</v>
      </c>
    </row>
    <row r="40" spans="1:27" ht="15" customHeight="1" thickTop="1" thickBot="1" x14ac:dyDescent="0.25">
      <c r="A40" s="432"/>
      <c r="B40" s="433"/>
      <c r="C40" s="434"/>
      <c r="D40" s="433"/>
      <c r="E40" s="434"/>
      <c r="F40" s="433"/>
      <c r="G40" s="434"/>
      <c r="H40" s="433"/>
      <c r="I40" s="434"/>
      <c r="J40" s="433"/>
      <c r="K40" s="434"/>
      <c r="L40" s="433"/>
      <c r="M40" s="434"/>
      <c r="N40" s="433"/>
      <c r="O40" s="434"/>
      <c r="P40" s="433"/>
      <c r="Q40" s="434"/>
      <c r="R40" s="433"/>
      <c r="S40" s="434"/>
      <c r="T40" s="433"/>
      <c r="U40" s="434"/>
      <c r="V40" s="435"/>
      <c r="W40" s="436"/>
      <c r="X40" s="434"/>
    </row>
    <row r="41" spans="1:27" ht="18" customHeight="1" thickTop="1" thickBot="1" x14ac:dyDescent="0.25">
      <c r="A41" s="352" t="s">
        <v>23</v>
      </c>
      <c r="B41" s="1296" t="s">
        <v>24</v>
      </c>
      <c r="C41" s="1301"/>
      <c r="D41" s="1296" t="s">
        <v>25</v>
      </c>
      <c r="E41" s="1297"/>
      <c r="F41" s="1296" t="s">
        <v>26</v>
      </c>
      <c r="G41" s="1297"/>
      <c r="H41" s="1296" t="s">
        <v>27</v>
      </c>
      <c r="I41" s="1297"/>
      <c r="J41" s="1296" t="s">
        <v>28</v>
      </c>
      <c r="K41" s="1297"/>
      <c r="L41" s="1296" t="s">
        <v>29</v>
      </c>
      <c r="M41" s="1297"/>
      <c r="N41" s="1296" t="s">
        <v>30</v>
      </c>
      <c r="O41" s="1297"/>
      <c r="P41" s="1296" t="s">
        <v>31</v>
      </c>
      <c r="Q41" s="1297"/>
      <c r="R41" s="1296" t="s">
        <v>32</v>
      </c>
      <c r="S41" s="1297"/>
      <c r="T41" s="1296" t="s">
        <v>255</v>
      </c>
      <c r="U41" s="1300"/>
      <c r="V41" s="353"/>
      <c r="W41" s="1298" t="s">
        <v>9</v>
      </c>
      <c r="X41" s="1299"/>
      <c r="Y41" s="23"/>
      <c r="Z41" s="23"/>
      <c r="AA41" s="24"/>
    </row>
    <row r="42" spans="1:27" ht="15" customHeight="1" x14ac:dyDescent="0.2">
      <c r="A42" s="887" t="s">
        <v>221</v>
      </c>
      <c r="B42" s="355"/>
      <c r="C42" s="356">
        <v>0.42199999999999999</v>
      </c>
      <c r="D42" s="357"/>
      <c r="E42" s="358">
        <v>0.435</v>
      </c>
      <c r="F42" s="359"/>
      <c r="G42" s="358">
        <v>0.41399999999999998</v>
      </c>
      <c r="H42" s="359"/>
      <c r="I42" s="358">
        <v>0.41</v>
      </c>
      <c r="J42" s="359"/>
      <c r="K42" s="358">
        <v>0.42599999999999999</v>
      </c>
      <c r="L42" s="359"/>
      <c r="M42" s="358">
        <v>0.46600000000000003</v>
      </c>
      <c r="N42" s="359"/>
      <c r="O42" s="358">
        <v>0.503</v>
      </c>
      <c r="P42" s="359"/>
      <c r="Q42" s="358">
        <v>0.505</v>
      </c>
      <c r="R42" s="359"/>
      <c r="S42" s="358">
        <v>0.5</v>
      </c>
      <c r="T42" s="359"/>
      <c r="U42" s="360">
        <v>0.53300000000000003</v>
      </c>
      <c r="V42" s="361"/>
      <c r="W42" s="362"/>
      <c r="X42" s="363">
        <f>AVERAGE(O42,M42,S42,U42,Q42)</f>
        <v>0.50140000000000007</v>
      </c>
      <c r="Y42" s="23"/>
      <c r="Z42" s="23"/>
      <c r="AA42" s="24"/>
    </row>
    <row r="43" spans="1:27" ht="15" customHeight="1" x14ac:dyDescent="0.2">
      <c r="A43" s="888" t="s">
        <v>222</v>
      </c>
      <c r="B43" s="365"/>
      <c r="C43" s="366">
        <v>0.09</v>
      </c>
      <c r="D43" s="365"/>
      <c r="E43" s="366">
        <v>8.4000000000000005E-2</v>
      </c>
      <c r="F43" s="367"/>
      <c r="G43" s="366">
        <v>9.9000000000000005E-2</v>
      </c>
      <c r="H43" s="367"/>
      <c r="I43" s="366">
        <v>9.4E-2</v>
      </c>
      <c r="J43" s="367"/>
      <c r="K43" s="366">
        <v>9.2999999999999999E-2</v>
      </c>
      <c r="L43" s="367"/>
      <c r="M43" s="366">
        <v>7.4999999999999997E-2</v>
      </c>
      <c r="N43" s="367"/>
      <c r="O43" s="366">
        <v>8.3000000000000004E-2</v>
      </c>
      <c r="P43" s="367"/>
      <c r="Q43" s="366">
        <v>8.3000000000000004E-2</v>
      </c>
      <c r="R43" s="367"/>
      <c r="S43" s="366">
        <v>7.6999999999999999E-2</v>
      </c>
      <c r="T43" s="367"/>
      <c r="U43" s="368">
        <v>7.0999999999999994E-2</v>
      </c>
      <c r="V43" s="361"/>
      <c r="W43" s="369"/>
      <c r="X43" s="370">
        <f>AVERAGE(O43,M43,S43,U43,Q43)</f>
        <v>7.7800000000000008E-2</v>
      </c>
      <c r="Y43" s="23"/>
      <c r="Z43" s="23"/>
      <c r="AA43" s="24"/>
    </row>
    <row r="44" spans="1:27" ht="15" customHeight="1" thickBot="1" x14ac:dyDescent="0.25">
      <c r="A44" s="889" t="s">
        <v>217</v>
      </c>
      <c r="B44" s="1320">
        <f>1-C42-C43</f>
        <v>0.4880000000000001</v>
      </c>
      <c r="C44" s="1321"/>
      <c r="D44" s="1320">
        <f>1-E42-E43</f>
        <v>0.48099999999999993</v>
      </c>
      <c r="E44" s="1321"/>
      <c r="F44" s="1320">
        <f>1-G42-G43</f>
        <v>0.4870000000000001</v>
      </c>
      <c r="G44" s="1321"/>
      <c r="H44" s="1320">
        <f>1-I42-I43</f>
        <v>0.49600000000000011</v>
      </c>
      <c r="I44" s="1321"/>
      <c r="J44" s="1320">
        <f>1-K42-K43</f>
        <v>0.48100000000000009</v>
      </c>
      <c r="K44" s="1321"/>
      <c r="L44" s="1320">
        <f>1-M42-M43</f>
        <v>0.45900000000000002</v>
      </c>
      <c r="M44" s="1321"/>
      <c r="N44" s="1320">
        <f>1-O42-O43</f>
        <v>0.41399999999999998</v>
      </c>
      <c r="O44" s="1321"/>
      <c r="P44" s="1320">
        <f>1-Q42-Q43</f>
        <v>0.41199999999999998</v>
      </c>
      <c r="Q44" s="1321"/>
      <c r="R44" s="1320">
        <f>1-S42-S43</f>
        <v>0.42299999999999999</v>
      </c>
      <c r="S44" s="1321"/>
      <c r="T44" s="1320">
        <f>1-U42-U43</f>
        <v>0.39599999999999996</v>
      </c>
      <c r="U44" s="1324"/>
      <c r="V44" s="361"/>
      <c r="W44" s="557"/>
      <c r="X44" s="695">
        <f>AVERAGE(T44,L44,N44,P44,R44)</f>
        <v>0.42079999999999995</v>
      </c>
      <c r="Y44" s="25"/>
      <c r="Z44" s="23"/>
      <c r="AA44" s="24"/>
    </row>
    <row r="45" spans="1:27" s="2" customFormat="1" ht="18" customHeight="1" thickTop="1" thickBot="1" x14ac:dyDescent="0.25">
      <c r="A45" s="319" t="s">
        <v>37</v>
      </c>
      <c r="B45" s="373" t="s">
        <v>36</v>
      </c>
      <c r="C45" s="845" t="s">
        <v>38</v>
      </c>
      <c r="D45" s="846" t="s">
        <v>36</v>
      </c>
      <c r="E45" s="374" t="s">
        <v>38</v>
      </c>
      <c r="F45" s="373" t="s">
        <v>36</v>
      </c>
      <c r="G45" s="845" t="s">
        <v>38</v>
      </c>
      <c r="H45" s="846" t="s">
        <v>36</v>
      </c>
      <c r="I45" s="374" t="s">
        <v>38</v>
      </c>
      <c r="J45" s="373" t="s">
        <v>36</v>
      </c>
      <c r="K45" s="845" t="s">
        <v>38</v>
      </c>
      <c r="L45" s="846" t="s">
        <v>36</v>
      </c>
      <c r="M45" s="374" t="s">
        <v>38</v>
      </c>
      <c r="N45" s="373" t="s">
        <v>36</v>
      </c>
      <c r="O45" s="845" t="s">
        <v>38</v>
      </c>
      <c r="P45" s="846" t="s">
        <v>36</v>
      </c>
      <c r="Q45" s="374" t="s">
        <v>38</v>
      </c>
      <c r="R45" s="846" t="s">
        <v>36</v>
      </c>
      <c r="S45" s="374" t="s">
        <v>38</v>
      </c>
      <c r="T45" s="373" t="s">
        <v>36</v>
      </c>
      <c r="U45" s="847" t="s">
        <v>38</v>
      </c>
      <c r="V45" s="376"/>
      <c r="W45" s="752" t="s">
        <v>36</v>
      </c>
      <c r="X45" s="847" t="s">
        <v>38</v>
      </c>
    </row>
    <row r="46" spans="1:27" ht="15" customHeight="1" x14ac:dyDescent="0.2">
      <c r="A46" s="737" t="s">
        <v>224</v>
      </c>
      <c r="B46" s="852"/>
      <c r="C46" s="853"/>
      <c r="D46" s="852"/>
      <c r="E46" s="853"/>
      <c r="F46" s="852"/>
      <c r="G46" s="853"/>
      <c r="H46" s="379">
        <v>20</v>
      </c>
      <c r="I46" s="380">
        <f>H46/H16</f>
        <v>0.7142857142857143</v>
      </c>
      <c r="J46" s="379">
        <v>13</v>
      </c>
      <c r="K46" s="380">
        <f>J46/J16</f>
        <v>0.56521739130434778</v>
      </c>
      <c r="L46" s="379">
        <v>10</v>
      </c>
      <c r="M46" s="380">
        <f>L46/L16</f>
        <v>0.5</v>
      </c>
      <c r="N46" s="379">
        <v>13</v>
      </c>
      <c r="O46" s="134">
        <f>N46/N16</f>
        <v>0.72222222222222221</v>
      </c>
      <c r="P46" s="379">
        <v>13</v>
      </c>
      <c r="Q46" s="380">
        <f>P46/P16</f>
        <v>0.68421052631578949</v>
      </c>
      <c r="R46" s="379">
        <v>14</v>
      </c>
      <c r="S46" s="380">
        <f>R46/R16</f>
        <v>0.7</v>
      </c>
      <c r="T46" s="379">
        <v>14</v>
      </c>
      <c r="U46" s="381">
        <f>T46/T16</f>
        <v>0.60869565217391308</v>
      </c>
      <c r="V46" s="372"/>
      <c r="W46" s="751">
        <f>AVERAGE(N46,L46,R46,T46,P46)</f>
        <v>12.8</v>
      </c>
      <c r="X46" s="754">
        <f>W46/SUM(W16)</f>
        <v>0.64</v>
      </c>
    </row>
    <row r="47" spans="1:27" ht="15" customHeight="1" x14ac:dyDescent="0.2">
      <c r="A47" s="890" t="s">
        <v>225</v>
      </c>
      <c r="B47" s="854"/>
      <c r="C47" s="855"/>
      <c r="D47" s="854"/>
      <c r="E47" s="855"/>
      <c r="F47" s="854"/>
      <c r="G47" s="855"/>
      <c r="H47" s="756">
        <v>0</v>
      </c>
      <c r="I47" s="757">
        <f>H47/H23</f>
        <v>0</v>
      </c>
      <c r="J47" s="756">
        <v>0</v>
      </c>
      <c r="K47" s="757">
        <f>J47/J23</f>
        <v>0</v>
      </c>
      <c r="L47" s="756">
        <v>0</v>
      </c>
      <c r="M47" s="757">
        <f>L47/L23</f>
        <v>0</v>
      </c>
      <c r="N47" s="756">
        <v>0</v>
      </c>
      <c r="O47" s="757">
        <f>N47/N23</f>
        <v>0</v>
      </c>
      <c r="P47" s="756">
        <v>0</v>
      </c>
      <c r="Q47" s="757">
        <f>P47/P23</f>
        <v>0</v>
      </c>
      <c r="R47" s="756">
        <v>0</v>
      </c>
      <c r="S47" s="757">
        <f>R47/R23</f>
        <v>0</v>
      </c>
      <c r="T47" s="756">
        <v>0</v>
      </c>
      <c r="U47" s="758">
        <f>T47/T23</f>
        <v>0</v>
      </c>
      <c r="V47" s="372"/>
      <c r="W47" s="759">
        <f>AVERAGE(R47,P47,N47,L47,T47,)</f>
        <v>0</v>
      </c>
      <c r="X47" s="760">
        <f>W47/W23</f>
        <v>0</v>
      </c>
    </row>
    <row r="48" spans="1:27" ht="15" customHeight="1" thickBot="1" x14ac:dyDescent="0.25">
      <c r="A48" s="631" t="s">
        <v>91</v>
      </c>
      <c r="B48" s="856"/>
      <c r="C48" s="857"/>
      <c r="D48" s="856"/>
      <c r="E48" s="857"/>
      <c r="F48" s="856"/>
      <c r="G48" s="857"/>
      <c r="H48" s="384">
        <v>16</v>
      </c>
      <c r="I48" s="385">
        <f>H48/H17</f>
        <v>0.72727272727272729</v>
      </c>
      <c r="J48" s="384">
        <v>14</v>
      </c>
      <c r="K48" s="385">
        <f>J48/J17</f>
        <v>0.7</v>
      </c>
      <c r="L48" s="384">
        <v>14</v>
      </c>
      <c r="M48" s="385">
        <f>L48/L17</f>
        <v>0.66666666666666663</v>
      </c>
      <c r="N48" s="384">
        <v>18</v>
      </c>
      <c r="O48" s="385">
        <f>N48/N17</f>
        <v>0.72</v>
      </c>
      <c r="P48" s="384">
        <v>19</v>
      </c>
      <c r="Q48" s="385">
        <f>P48/P17</f>
        <v>0.70370370370370372</v>
      </c>
      <c r="R48" s="384">
        <v>25</v>
      </c>
      <c r="S48" s="385">
        <f>R48/R17</f>
        <v>0.73529411764705888</v>
      </c>
      <c r="T48" s="384">
        <v>29</v>
      </c>
      <c r="U48" s="386">
        <f>T48/T17</f>
        <v>0.76315789473684215</v>
      </c>
      <c r="V48" s="372"/>
      <c r="W48" s="387">
        <f>AVERAGE(N48,L48,R48,T48,P48)</f>
        <v>21</v>
      </c>
      <c r="X48" s="755">
        <f>W48/W17</f>
        <v>0.72413793103448276</v>
      </c>
    </row>
    <row r="49" spans="1:26" s="41" customFormat="1" ht="15" customHeight="1" thickTop="1" x14ac:dyDescent="0.2">
      <c r="A49" s="8" t="str">
        <f>'Dean AG'!A64</f>
        <v>Number of Fall Majors includes second majors</v>
      </c>
      <c r="B49" s="10"/>
      <c r="C49" s="11"/>
      <c r="D49" s="10"/>
      <c r="E49" s="11"/>
      <c r="F49" s="10"/>
      <c r="G49" s="11"/>
      <c r="H49" s="10"/>
      <c r="I49" s="11"/>
      <c r="J49" s="10"/>
      <c r="K49" s="11"/>
      <c r="L49" s="10"/>
      <c r="M49" s="11"/>
      <c r="N49" s="10"/>
      <c r="O49" s="11"/>
      <c r="P49" s="10"/>
      <c r="Q49" s="11"/>
      <c r="R49" s="10"/>
      <c r="S49" s="11"/>
      <c r="T49" s="10"/>
      <c r="U49" s="11"/>
      <c r="W49" s="12"/>
      <c r="X49" s="13"/>
    </row>
    <row r="50" spans="1:26" s="1" customFormat="1" ht="15" customHeight="1" thickBot="1" x14ac:dyDescent="0.25">
      <c r="A50" s="432"/>
      <c r="B50" s="433"/>
      <c r="C50" s="549"/>
      <c r="D50" s="433"/>
      <c r="E50" s="549"/>
      <c r="F50" s="433"/>
      <c r="G50" s="549"/>
      <c r="H50" s="433"/>
      <c r="I50" s="549"/>
      <c r="J50" s="433"/>
      <c r="K50" s="549"/>
      <c r="L50" s="433"/>
      <c r="M50" s="549"/>
      <c r="N50" s="433"/>
      <c r="O50" s="549"/>
      <c r="P50" s="433"/>
      <c r="Q50" s="549"/>
      <c r="R50" s="433"/>
      <c r="S50" s="549"/>
      <c r="T50" s="433"/>
      <c r="U50" s="549"/>
      <c r="V50" s="320"/>
      <c r="W50" s="320"/>
      <c r="X50" s="555"/>
      <c r="Z50" s="1" t="s">
        <v>16</v>
      </c>
    </row>
    <row r="51" spans="1:26" s="1" customFormat="1" ht="18.75" customHeight="1" thickTop="1" thickBot="1" x14ac:dyDescent="0.25">
      <c r="A51" s="352" t="s">
        <v>218</v>
      </c>
      <c r="B51" s="1296" t="s">
        <v>24</v>
      </c>
      <c r="C51" s="1301"/>
      <c r="D51" s="1296" t="s">
        <v>25</v>
      </c>
      <c r="E51" s="1297"/>
      <c r="F51" s="1296" t="s">
        <v>26</v>
      </c>
      <c r="G51" s="1297"/>
      <c r="H51" s="1296" t="s">
        <v>27</v>
      </c>
      <c r="I51" s="1297"/>
      <c r="J51" s="1296" t="s">
        <v>28</v>
      </c>
      <c r="K51" s="1297"/>
      <c r="L51" s="1296" t="s">
        <v>29</v>
      </c>
      <c r="M51" s="1297"/>
      <c r="N51" s="1296" t="s">
        <v>30</v>
      </c>
      <c r="O51" s="1297"/>
      <c r="P51" s="1296" t="s">
        <v>31</v>
      </c>
      <c r="Q51" s="1297"/>
      <c r="R51" s="1296" t="s">
        <v>32</v>
      </c>
      <c r="S51" s="1297"/>
      <c r="T51" s="1296" t="s">
        <v>255</v>
      </c>
      <c r="U51" s="1300"/>
      <c r="V51" s="320"/>
      <c r="W51" s="1298" t="s">
        <v>9</v>
      </c>
      <c r="X51" s="1299"/>
    </row>
    <row r="52" spans="1:26" s="1" customFormat="1" ht="24" x14ac:dyDescent="0.2">
      <c r="A52" s="612" t="s">
        <v>219</v>
      </c>
      <c r="B52" s="699"/>
      <c r="C52" s="508"/>
      <c r="D52" s="699"/>
      <c r="E52" s="700"/>
      <c r="F52" s="699"/>
      <c r="G52" s="700"/>
      <c r="H52" s="699"/>
      <c r="I52" s="700"/>
      <c r="J52" s="699"/>
      <c r="K52" s="700"/>
      <c r="L52" s="699"/>
      <c r="M52" s="700"/>
      <c r="N52" s="699"/>
      <c r="O52" s="700"/>
      <c r="P52" s="699"/>
      <c r="Q52" s="700"/>
      <c r="R52" s="699"/>
      <c r="S52" s="700"/>
      <c r="T52" s="701"/>
      <c r="U52" s="702"/>
      <c r="V52" s="320"/>
      <c r="W52" s="509"/>
      <c r="X52" s="624"/>
    </row>
    <row r="53" spans="1:26" s="1" customFormat="1" ht="24" x14ac:dyDescent="0.2">
      <c r="A53" s="685" t="s">
        <v>195</v>
      </c>
      <c r="B53" s="367"/>
      <c r="C53" s="550">
        <v>7</v>
      </c>
      <c r="D53" s="367"/>
      <c r="E53" s="550">
        <v>7</v>
      </c>
      <c r="F53" s="367"/>
      <c r="G53" s="550">
        <v>8</v>
      </c>
      <c r="H53" s="367"/>
      <c r="I53" s="550">
        <v>7</v>
      </c>
      <c r="J53" s="367"/>
      <c r="K53" s="550">
        <v>5</v>
      </c>
      <c r="L53" s="367"/>
      <c r="M53" s="550">
        <v>6</v>
      </c>
      <c r="N53" s="367"/>
      <c r="O53" s="550">
        <v>4</v>
      </c>
      <c r="P53" s="367"/>
      <c r="Q53" s="550">
        <v>4</v>
      </c>
      <c r="R53" s="367"/>
      <c r="S53" s="550">
        <v>9</v>
      </c>
      <c r="T53" s="551"/>
      <c r="U53" s="441">
        <v>7</v>
      </c>
      <c r="V53" s="320"/>
      <c r="W53" s="478"/>
      <c r="X53" s="441">
        <f>AVERAGE(O53,M53,S53,K53,Q53)</f>
        <v>5.6</v>
      </c>
    </row>
    <row r="54" spans="1:26" s="1" customFormat="1" ht="24" x14ac:dyDescent="0.2">
      <c r="A54" s="685" t="s">
        <v>197</v>
      </c>
      <c r="B54" s="551"/>
      <c r="C54" s="590">
        <v>7</v>
      </c>
      <c r="D54" s="551"/>
      <c r="E54" s="590">
        <v>7</v>
      </c>
      <c r="F54" s="551"/>
      <c r="G54" s="590">
        <v>8</v>
      </c>
      <c r="H54" s="551"/>
      <c r="I54" s="590">
        <v>7</v>
      </c>
      <c r="J54" s="551"/>
      <c r="K54" s="590">
        <v>5</v>
      </c>
      <c r="L54" s="551"/>
      <c r="M54" s="590">
        <v>6</v>
      </c>
      <c r="N54" s="551"/>
      <c r="O54" s="590">
        <v>4</v>
      </c>
      <c r="P54" s="551"/>
      <c r="Q54" s="590">
        <v>4</v>
      </c>
      <c r="R54" s="551"/>
      <c r="S54" s="590">
        <v>9</v>
      </c>
      <c r="T54" s="551"/>
      <c r="U54" s="441">
        <v>7</v>
      </c>
      <c r="V54" s="320"/>
      <c r="W54" s="591"/>
      <c r="X54" s="592">
        <f>AVERAGE(O54,M54,S54,K54,Q54)</f>
        <v>5.6</v>
      </c>
    </row>
    <row r="55" spans="1:26" s="904" customFormat="1" ht="15" customHeight="1" thickBot="1" x14ac:dyDescent="0.25">
      <c r="A55" s="898" t="s">
        <v>196</v>
      </c>
      <c r="B55" s="899"/>
      <c r="C55" s="900">
        <v>7.92</v>
      </c>
      <c r="D55" s="899"/>
      <c r="E55" s="900">
        <v>8.67</v>
      </c>
      <c r="F55" s="899"/>
      <c r="G55" s="900">
        <v>9.27</v>
      </c>
      <c r="H55" s="899"/>
      <c r="I55" s="900">
        <v>8.17</v>
      </c>
      <c r="J55" s="899"/>
      <c r="K55" s="900">
        <f>3.9+4.8</f>
        <v>8.6999999999999993</v>
      </c>
      <c r="L55" s="899"/>
      <c r="M55" s="900">
        <v>8.7799999999999994</v>
      </c>
      <c r="N55" s="899"/>
      <c r="O55" s="900">
        <v>8.3800000000000008</v>
      </c>
      <c r="P55" s="899"/>
      <c r="Q55" s="900">
        <v>7.6</v>
      </c>
      <c r="R55" s="899"/>
      <c r="S55" s="900">
        <f>3.58+6.6</f>
        <v>10.18</v>
      </c>
      <c r="T55" s="901"/>
      <c r="U55" s="559">
        <f>5.53+4.6</f>
        <v>10.129999999999999</v>
      </c>
      <c r="V55" s="902"/>
      <c r="W55" s="903"/>
      <c r="X55" s="559">
        <f>AVERAGE(O55,M55,S55,K55,Q55)</f>
        <v>8.7279999999999998</v>
      </c>
    </row>
    <row r="56" spans="1:26" s="1" customFormat="1" ht="18" customHeight="1" thickBot="1" x14ac:dyDescent="0.25">
      <c r="A56" s="796" t="s">
        <v>227</v>
      </c>
      <c r="B56" s="807" t="s">
        <v>89</v>
      </c>
      <c r="C56" s="810" t="s">
        <v>97</v>
      </c>
      <c r="D56" s="811" t="s">
        <v>89</v>
      </c>
      <c r="E56" s="794" t="s">
        <v>97</v>
      </c>
      <c r="F56" s="807" t="s">
        <v>89</v>
      </c>
      <c r="G56" s="810" t="s">
        <v>97</v>
      </c>
      <c r="H56" s="811" t="s">
        <v>89</v>
      </c>
      <c r="I56" s="794" t="s">
        <v>97</v>
      </c>
      <c r="J56" s="807" t="s">
        <v>89</v>
      </c>
      <c r="K56" s="810" t="s">
        <v>97</v>
      </c>
      <c r="L56" s="811" t="s">
        <v>89</v>
      </c>
      <c r="M56" s="794" t="s">
        <v>97</v>
      </c>
      <c r="N56" s="807" t="s">
        <v>89</v>
      </c>
      <c r="O56" s="810" t="s">
        <v>97</v>
      </c>
      <c r="P56" s="811" t="s">
        <v>89</v>
      </c>
      <c r="Q56" s="794" t="s">
        <v>97</v>
      </c>
      <c r="R56" s="811" t="s">
        <v>89</v>
      </c>
      <c r="S56" s="794" t="s">
        <v>97</v>
      </c>
      <c r="T56" s="793" t="s">
        <v>89</v>
      </c>
      <c r="U56" s="808" t="s">
        <v>97</v>
      </c>
      <c r="V56" s="333"/>
      <c r="W56" s="809" t="s">
        <v>89</v>
      </c>
      <c r="X56" s="780" t="s">
        <v>97</v>
      </c>
    </row>
    <row r="57" spans="1:26" s="1" customFormat="1" ht="15" customHeight="1" x14ac:dyDescent="0.2">
      <c r="A57" s="703" t="s">
        <v>98</v>
      </c>
      <c r="B57" s="704"/>
      <c r="C57" s="812"/>
      <c r="D57" s="813"/>
      <c r="E57" s="705"/>
      <c r="F57" s="704"/>
      <c r="G57" s="824"/>
      <c r="H57" s="825"/>
      <c r="I57" s="705"/>
      <c r="J57" s="704"/>
      <c r="K57" s="824"/>
      <c r="L57" s="825"/>
      <c r="M57" s="705"/>
      <c r="N57" s="704"/>
      <c r="O57" s="824"/>
      <c r="P57" s="825"/>
      <c r="Q57" s="705"/>
      <c r="R57" s="825"/>
      <c r="S57" s="705"/>
      <c r="T57" s="813"/>
      <c r="U57" s="706"/>
      <c r="V57" s="333"/>
      <c r="W57" s="881"/>
      <c r="X57" s="736"/>
    </row>
    <row r="58" spans="1:26" s="1" customFormat="1" ht="15" customHeight="1" x14ac:dyDescent="0.2">
      <c r="A58" s="697" t="s">
        <v>99</v>
      </c>
      <c r="B58" s="814"/>
      <c r="C58" s="593">
        <v>8</v>
      </c>
      <c r="D58" s="814"/>
      <c r="E58" s="418">
        <v>8</v>
      </c>
      <c r="F58" s="814"/>
      <c r="G58" s="596">
        <v>9</v>
      </c>
      <c r="H58" s="814"/>
      <c r="I58" s="418">
        <v>8</v>
      </c>
      <c r="J58" s="762">
        <v>6</v>
      </c>
      <c r="K58" s="596">
        <v>6</v>
      </c>
      <c r="L58" s="764">
        <v>7</v>
      </c>
      <c r="M58" s="418">
        <v>7</v>
      </c>
      <c r="N58" s="762">
        <v>5</v>
      </c>
      <c r="O58" s="596">
        <v>5</v>
      </c>
      <c r="P58" s="764">
        <v>5</v>
      </c>
      <c r="Q58" s="418">
        <v>5</v>
      </c>
      <c r="R58" s="764">
        <v>9</v>
      </c>
      <c r="S58" s="418">
        <v>9</v>
      </c>
      <c r="T58" s="827">
        <v>7</v>
      </c>
      <c r="U58" s="419">
        <v>7</v>
      </c>
      <c r="V58" s="333"/>
      <c r="W58" s="882">
        <f>AVERAGE(T58,L58,N58,P58,R58)</f>
        <v>6.6</v>
      </c>
      <c r="X58" s="843">
        <f>AVERAGE(O58,M58,U58,S58,Q58)</f>
        <v>6.6</v>
      </c>
    </row>
    <row r="59" spans="1:26" s="1" customFormat="1" ht="15" customHeight="1" x14ac:dyDescent="0.2">
      <c r="A59" s="697" t="s">
        <v>100</v>
      </c>
      <c r="B59" s="814"/>
      <c r="C59" s="593">
        <v>2</v>
      </c>
      <c r="D59" s="814"/>
      <c r="E59" s="418">
        <v>1</v>
      </c>
      <c r="F59" s="814"/>
      <c r="G59" s="596">
        <v>0</v>
      </c>
      <c r="H59" s="814"/>
      <c r="I59" s="418">
        <v>0</v>
      </c>
      <c r="J59" s="762">
        <v>0</v>
      </c>
      <c r="K59" s="596">
        <v>0</v>
      </c>
      <c r="L59" s="764">
        <v>0</v>
      </c>
      <c r="M59" s="418">
        <v>0</v>
      </c>
      <c r="N59" s="762">
        <v>0.8</v>
      </c>
      <c r="O59" s="596">
        <v>1</v>
      </c>
      <c r="P59" s="764">
        <v>1.4</v>
      </c>
      <c r="Q59" s="418">
        <v>3</v>
      </c>
      <c r="R59" s="764">
        <v>0.6</v>
      </c>
      <c r="S59" s="418">
        <v>1</v>
      </c>
      <c r="T59" s="827">
        <v>0.7</v>
      </c>
      <c r="U59" s="419">
        <v>2</v>
      </c>
      <c r="V59" s="333"/>
      <c r="W59" s="882">
        <f t="shared" ref="W59:W62" si="15">AVERAGE(T59,L59,N59,P59,R59)</f>
        <v>0.7</v>
      </c>
      <c r="X59" s="843">
        <f t="shared" ref="X59:X62" si="16">AVERAGE(O59,M59,U59,S59,Q59)</f>
        <v>1.4</v>
      </c>
    </row>
    <row r="60" spans="1:26" s="1" customFormat="1" ht="15" customHeight="1" x14ac:dyDescent="0.2">
      <c r="A60" s="696" t="s">
        <v>101</v>
      </c>
      <c r="B60" s="594"/>
      <c r="C60" s="595"/>
      <c r="D60" s="594"/>
      <c r="E60" s="424"/>
      <c r="F60" s="594"/>
      <c r="G60" s="598"/>
      <c r="H60" s="594"/>
      <c r="I60" s="424"/>
      <c r="J60" s="762"/>
      <c r="K60" s="598"/>
      <c r="L60" s="764"/>
      <c r="M60" s="424"/>
      <c r="N60" s="762"/>
      <c r="O60" s="598"/>
      <c r="P60" s="764"/>
      <c r="Q60" s="424"/>
      <c r="R60" s="764"/>
      <c r="S60" s="424"/>
      <c r="T60" s="827"/>
      <c r="U60" s="441"/>
      <c r="V60" s="333"/>
      <c r="W60" s="882"/>
      <c r="X60" s="843"/>
    </row>
    <row r="61" spans="1:26" s="1" customFormat="1" ht="15" customHeight="1" x14ac:dyDescent="0.2">
      <c r="A61" s="697" t="s">
        <v>99</v>
      </c>
      <c r="B61" s="814"/>
      <c r="C61" s="595">
        <v>19</v>
      </c>
      <c r="D61" s="814"/>
      <c r="E61" s="424">
        <v>22</v>
      </c>
      <c r="F61" s="814"/>
      <c r="G61" s="598">
        <v>20</v>
      </c>
      <c r="H61" s="814"/>
      <c r="I61" s="424">
        <v>19</v>
      </c>
      <c r="J61" s="762">
        <v>24</v>
      </c>
      <c r="K61" s="598">
        <v>24</v>
      </c>
      <c r="L61" s="764">
        <v>23</v>
      </c>
      <c r="M61" s="424">
        <v>23</v>
      </c>
      <c r="N61" s="762">
        <v>25</v>
      </c>
      <c r="O61" s="598">
        <v>25</v>
      </c>
      <c r="P61" s="764">
        <v>23</v>
      </c>
      <c r="Q61" s="424">
        <v>23</v>
      </c>
      <c r="R61" s="764">
        <v>20</v>
      </c>
      <c r="S61" s="424">
        <v>20</v>
      </c>
      <c r="T61" s="827">
        <v>26</v>
      </c>
      <c r="U61" s="441">
        <v>26</v>
      </c>
      <c r="V61" s="333"/>
      <c r="W61" s="882">
        <f t="shared" si="15"/>
        <v>23.4</v>
      </c>
      <c r="X61" s="843">
        <f t="shared" si="16"/>
        <v>23.4</v>
      </c>
    </row>
    <row r="62" spans="1:26" s="1" customFormat="1" ht="15" customHeight="1" thickBot="1" x14ac:dyDescent="0.25">
      <c r="A62" s="698" t="s">
        <v>100</v>
      </c>
      <c r="B62" s="816"/>
      <c r="C62" s="836">
        <v>1</v>
      </c>
      <c r="D62" s="816"/>
      <c r="E62" s="707">
        <v>1</v>
      </c>
      <c r="F62" s="816"/>
      <c r="G62" s="840">
        <v>1</v>
      </c>
      <c r="H62" s="816"/>
      <c r="I62" s="707">
        <v>1</v>
      </c>
      <c r="J62" s="763">
        <v>0.6</v>
      </c>
      <c r="K62" s="840">
        <v>2</v>
      </c>
      <c r="L62" s="841">
        <v>0.4</v>
      </c>
      <c r="M62" s="707">
        <v>2</v>
      </c>
      <c r="N62" s="763">
        <v>0.2</v>
      </c>
      <c r="O62" s="840">
        <v>1</v>
      </c>
      <c r="P62" s="841">
        <v>0.6</v>
      </c>
      <c r="Q62" s="707">
        <v>1</v>
      </c>
      <c r="R62" s="841">
        <v>0.2</v>
      </c>
      <c r="S62" s="707">
        <v>1</v>
      </c>
      <c r="T62" s="842">
        <v>0.2</v>
      </c>
      <c r="U62" s="425">
        <v>1</v>
      </c>
      <c r="V62" s="333"/>
      <c r="W62" s="883">
        <f t="shared" si="15"/>
        <v>0.31999999999999995</v>
      </c>
      <c r="X62" s="577">
        <f t="shared" si="16"/>
        <v>1.2</v>
      </c>
    </row>
    <row r="63" spans="1:26" s="1" customFormat="1" ht="15" customHeight="1" thickBot="1" x14ac:dyDescent="0.25">
      <c r="A63" s="1175" t="s">
        <v>22</v>
      </c>
      <c r="B63" s="799"/>
      <c r="C63" s="837">
        <f>SUM(C58:C62)</f>
        <v>30</v>
      </c>
      <c r="D63" s="799"/>
      <c r="E63" s="820">
        <f>SUM(E58:E62)</f>
        <v>32</v>
      </c>
      <c r="F63" s="799"/>
      <c r="G63" s="820">
        <f>SUM(G58:G62)</f>
        <v>30</v>
      </c>
      <c r="H63" s="799"/>
      <c r="I63" s="820">
        <f>SUM(I58:I62)</f>
        <v>28</v>
      </c>
      <c r="J63" s="826">
        <f t="shared" ref="J63:U63" si="17">SUM(J58:J62)</f>
        <v>30.6</v>
      </c>
      <c r="K63" s="820">
        <f t="shared" si="17"/>
        <v>32</v>
      </c>
      <c r="L63" s="826">
        <f t="shared" si="17"/>
        <v>30.4</v>
      </c>
      <c r="M63" s="800">
        <f t="shared" si="17"/>
        <v>32</v>
      </c>
      <c r="N63" s="802">
        <f t="shared" si="17"/>
        <v>31</v>
      </c>
      <c r="O63" s="820">
        <f t="shared" si="17"/>
        <v>32</v>
      </c>
      <c r="P63" s="826">
        <f t="shared" si="17"/>
        <v>30</v>
      </c>
      <c r="Q63" s="800">
        <f t="shared" si="17"/>
        <v>32</v>
      </c>
      <c r="R63" s="826">
        <f t="shared" si="17"/>
        <v>29.8</v>
      </c>
      <c r="S63" s="800">
        <f t="shared" si="17"/>
        <v>31</v>
      </c>
      <c r="T63" s="829">
        <f t="shared" si="17"/>
        <v>33.900000000000006</v>
      </c>
      <c r="U63" s="803">
        <f t="shared" si="17"/>
        <v>36</v>
      </c>
      <c r="V63" s="333"/>
      <c r="W63" s="1225">
        <f>AVERAGE(J63,L63,N63,P63,R63)</f>
        <v>30.360000000000003</v>
      </c>
      <c r="X63" s="844">
        <f t="shared" ref="X63" si="18">AVERAGE(O63,M63,I63,K63,Q63)</f>
        <v>31.2</v>
      </c>
    </row>
    <row r="64" spans="1:26" s="1" customFormat="1" ht="18" customHeight="1" thickBot="1" x14ac:dyDescent="0.25">
      <c r="A64" s="796" t="s">
        <v>220</v>
      </c>
      <c r="B64" s="745" t="s">
        <v>36</v>
      </c>
      <c r="C64" s="746" t="s">
        <v>102</v>
      </c>
      <c r="D64" s="745" t="s">
        <v>36</v>
      </c>
      <c r="E64" s="747" t="s">
        <v>102</v>
      </c>
      <c r="F64" s="838" t="s">
        <v>36</v>
      </c>
      <c r="G64" s="747" t="s">
        <v>102</v>
      </c>
      <c r="H64" s="748" t="s">
        <v>36</v>
      </c>
      <c r="I64" s="839" t="s">
        <v>102</v>
      </c>
      <c r="J64" s="838" t="s">
        <v>36</v>
      </c>
      <c r="K64" s="747" t="s">
        <v>102</v>
      </c>
      <c r="L64" s="748" t="s">
        <v>36</v>
      </c>
      <c r="M64" s="839" t="s">
        <v>102</v>
      </c>
      <c r="N64" s="838" t="s">
        <v>36</v>
      </c>
      <c r="O64" s="747" t="s">
        <v>102</v>
      </c>
      <c r="P64" s="748" t="s">
        <v>36</v>
      </c>
      <c r="Q64" s="839" t="s">
        <v>102</v>
      </c>
      <c r="R64" s="748" t="s">
        <v>36</v>
      </c>
      <c r="S64" s="839" t="s">
        <v>102</v>
      </c>
      <c r="T64" s="748"/>
      <c r="U64" s="749" t="s">
        <v>102</v>
      </c>
      <c r="V64" s="320"/>
      <c r="W64" s="750" t="s">
        <v>36</v>
      </c>
      <c r="X64" s="749" t="s">
        <v>102</v>
      </c>
    </row>
    <row r="65" spans="1:26" s="1" customFormat="1" ht="18" customHeight="1" x14ac:dyDescent="0.2">
      <c r="A65" s="886" t="s">
        <v>226</v>
      </c>
      <c r="B65" s="481"/>
      <c r="C65" s="322"/>
      <c r="D65" s="481"/>
      <c r="E65" s="323"/>
      <c r="F65" s="805"/>
      <c r="G65" s="323"/>
      <c r="H65" s="805"/>
      <c r="I65" s="323"/>
      <c r="J65" s="805"/>
      <c r="K65" s="323"/>
      <c r="L65" s="805"/>
      <c r="M65" s="323"/>
      <c r="N65" s="805"/>
      <c r="O65" s="323"/>
      <c r="P65" s="805"/>
      <c r="Q65" s="323"/>
      <c r="R65" s="805"/>
      <c r="S65" s="323"/>
      <c r="T65" s="805"/>
      <c r="U65" s="325" t="s">
        <v>16</v>
      </c>
      <c r="V65" s="333"/>
      <c r="W65" s="806"/>
      <c r="X65" s="325"/>
    </row>
    <row r="66" spans="1:26" s="1" customFormat="1" ht="15" customHeight="1" x14ac:dyDescent="0.2">
      <c r="A66" s="708" t="s">
        <v>103</v>
      </c>
      <c r="B66" s="709">
        <v>23</v>
      </c>
      <c r="C66" s="710">
        <f t="shared" ref="C66:C73" si="19">B66/C$63</f>
        <v>0.76666666666666672</v>
      </c>
      <c r="D66" s="709">
        <f>24+2</f>
        <v>26</v>
      </c>
      <c r="E66" s="711">
        <f t="shared" ref="E66:K73" si="20">D66/E$63</f>
        <v>0.8125</v>
      </c>
      <c r="F66" s="712">
        <v>24</v>
      </c>
      <c r="G66" s="711">
        <f t="shared" si="20"/>
        <v>0.8</v>
      </c>
      <c r="H66" s="712">
        <v>8</v>
      </c>
      <c r="I66" s="711">
        <f t="shared" ref="I66:I73" si="21">H66/I$63</f>
        <v>0.2857142857142857</v>
      </c>
      <c r="J66" s="712">
        <f>22+2</f>
        <v>24</v>
      </c>
      <c r="K66" s="711">
        <f t="shared" si="20"/>
        <v>0.75</v>
      </c>
      <c r="L66" s="712">
        <v>23</v>
      </c>
      <c r="M66" s="711">
        <f t="shared" ref="M66:M71" si="22">L66/M$63</f>
        <v>0.71875</v>
      </c>
      <c r="N66" s="712">
        <f>2+19</f>
        <v>21</v>
      </c>
      <c r="O66" s="711">
        <f t="shared" ref="O66:Q71" si="23">N66/O$63</f>
        <v>0.65625</v>
      </c>
      <c r="P66" s="712">
        <v>21</v>
      </c>
      <c r="Q66" s="711">
        <f t="shared" si="23"/>
        <v>0.65625</v>
      </c>
      <c r="R66" s="712">
        <f>13+9</f>
        <v>22</v>
      </c>
      <c r="S66" s="711">
        <f>R66/S$63</f>
        <v>0.70967741935483875</v>
      </c>
      <c r="T66" s="712">
        <v>25</v>
      </c>
      <c r="U66" s="713">
        <f>T66/U$63</f>
        <v>0.69444444444444442</v>
      </c>
      <c r="V66" s="333"/>
      <c r="W66" s="882">
        <f>AVERAGE(N66,L66,R66,T66,P66)</f>
        <v>22.4</v>
      </c>
      <c r="X66" s="715">
        <f>AVERAGE(O66,S66,U66,M66,Q66)</f>
        <v>0.68707437275985661</v>
      </c>
    </row>
    <row r="67" spans="1:26" s="1" customFormat="1" ht="15" customHeight="1" x14ac:dyDescent="0.2">
      <c r="A67" s="336" t="s">
        <v>104</v>
      </c>
      <c r="B67" s="463">
        <v>0</v>
      </c>
      <c r="C67" s="328">
        <f t="shared" si="19"/>
        <v>0</v>
      </c>
      <c r="D67" s="463">
        <v>1</v>
      </c>
      <c r="E67" s="329">
        <f t="shared" si="20"/>
        <v>3.125E-2</v>
      </c>
      <c r="F67" s="331">
        <v>1</v>
      </c>
      <c r="G67" s="329">
        <f t="shared" si="20"/>
        <v>3.3333333333333333E-2</v>
      </c>
      <c r="H67" s="331">
        <v>1</v>
      </c>
      <c r="I67" s="329">
        <f t="shared" si="21"/>
        <v>3.5714285714285712E-2</v>
      </c>
      <c r="J67" s="331">
        <f>2</f>
        <v>2</v>
      </c>
      <c r="K67" s="329">
        <f t="shared" si="20"/>
        <v>6.25E-2</v>
      </c>
      <c r="L67" s="331">
        <v>3</v>
      </c>
      <c r="M67" s="329">
        <f t="shared" si="22"/>
        <v>9.375E-2</v>
      </c>
      <c r="N67" s="331">
        <v>3</v>
      </c>
      <c r="O67" s="329">
        <f t="shared" si="23"/>
        <v>9.375E-2</v>
      </c>
      <c r="P67" s="331">
        <v>3</v>
      </c>
      <c r="Q67" s="329">
        <f t="shared" si="23"/>
        <v>9.375E-2</v>
      </c>
      <c r="R67" s="331">
        <v>3</v>
      </c>
      <c r="S67" s="329">
        <f t="shared" ref="S67:S71" si="24">R67/S$63</f>
        <v>9.6774193548387094E-2</v>
      </c>
      <c r="T67" s="331">
        <v>3</v>
      </c>
      <c r="U67" s="332">
        <f t="shared" ref="U67:U71" si="25">T67/U$63</f>
        <v>8.3333333333333329E-2</v>
      </c>
      <c r="V67" s="333"/>
      <c r="W67" s="882">
        <f t="shared" ref="W67:W85" si="26">AVERAGE(N67,L67,R67,T67,P67)</f>
        <v>3</v>
      </c>
      <c r="X67" s="335">
        <f t="shared" ref="X67:X85" si="27">AVERAGE(O67,S67,U67,M67,Q67)</f>
        <v>9.2271505376344085E-2</v>
      </c>
    </row>
    <row r="68" spans="1:26" s="1" customFormat="1" ht="15" customHeight="1" x14ac:dyDescent="0.2">
      <c r="A68" s="336" t="s">
        <v>105</v>
      </c>
      <c r="B68" s="463">
        <v>0</v>
      </c>
      <c r="C68" s="328">
        <f t="shared" si="19"/>
        <v>0</v>
      </c>
      <c r="D68" s="463">
        <v>0</v>
      </c>
      <c r="E68" s="329">
        <f t="shared" si="20"/>
        <v>0</v>
      </c>
      <c r="F68" s="331">
        <v>0</v>
      </c>
      <c r="G68" s="329">
        <f t="shared" si="20"/>
        <v>0</v>
      </c>
      <c r="H68" s="331">
        <v>0</v>
      </c>
      <c r="I68" s="329">
        <f t="shared" si="21"/>
        <v>0</v>
      </c>
      <c r="J68" s="331">
        <f>0</f>
        <v>0</v>
      </c>
      <c r="K68" s="329">
        <f t="shared" si="20"/>
        <v>0</v>
      </c>
      <c r="L68" s="331">
        <v>0</v>
      </c>
      <c r="M68" s="329">
        <f t="shared" si="22"/>
        <v>0</v>
      </c>
      <c r="N68" s="331">
        <v>0</v>
      </c>
      <c r="O68" s="329">
        <f t="shared" si="23"/>
        <v>0</v>
      </c>
      <c r="P68" s="331">
        <v>0</v>
      </c>
      <c r="Q68" s="329">
        <f t="shared" si="23"/>
        <v>0</v>
      </c>
      <c r="R68" s="331">
        <v>1</v>
      </c>
      <c r="S68" s="329">
        <f t="shared" si="24"/>
        <v>3.2258064516129031E-2</v>
      </c>
      <c r="T68" s="331">
        <v>1</v>
      </c>
      <c r="U68" s="332">
        <f t="shared" si="25"/>
        <v>2.7777777777777776E-2</v>
      </c>
      <c r="V68" s="333"/>
      <c r="W68" s="882">
        <f t="shared" si="26"/>
        <v>0.4</v>
      </c>
      <c r="X68" s="335">
        <f t="shared" si="27"/>
        <v>1.2007168458781362E-2</v>
      </c>
    </row>
    <row r="69" spans="1:26" s="1" customFormat="1" ht="15" customHeight="1" x14ac:dyDescent="0.2">
      <c r="A69" s="336" t="s">
        <v>106</v>
      </c>
      <c r="B69" s="463">
        <v>1</v>
      </c>
      <c r="C69" s="328">
        <f t="shared" si="19"/>
        <v>3.3333333333333333E-2</v>
      </c>
      <c r="D69" s="463">
        <v>1</v>
      </c>
      <c r="E69" s="329">
        <f t="shared" si="20"/>
        <v>3.125E-2</v>
      </c>
      <c r="F69" s="331">
        <v>1</v>
      </c>
      <c r="G69" s="329">
        <f t="shared" si="20"/>
        <v>3.3333333333333333E-2</v>
      </c>
      <c r="H69" s="331">
        <v>1</v>
      </c>
      <c r="I69" s="329">
        <f t="shared" si="21"/>
        <v>3.5714285714285712E-2</v>
      </c>
      <c r="J69" s="331">
        <f>1</f>
        <v>1</v>
      </c>
      <c r="K69" s="329">
        <f t="shared" si="20"/>
        <v>3.125E-2</v>
      </c>
      <c r="L69" s="331">
        <v>1</v>
      </c>
      <c r="M69" s="329">
        <f t="shared" si="22"/>
        <v>3.125E-2</v>
      </c>
      <c r="N69" s="331">
        <v>1</v>
      </c>
      <c r="O69" s="329">
        <f t="shared" si="23"/>
        <v>3.125E-2</v>
      </c>
      <c r="P69" s="331">
        <v>1</v>
      </c>
      <c r="Q69" s="329">
        <f t="shared" si="23"/>
        <v>3.125E-2</v>
      </c>
      <c r="R69" s="331">
        <v>1</v>
      </c>
      <c r="S69" s="329">
        <f t="shared" si="24"/>
        <v>3.2258064516129031E-2</v>
      </c>
      <c r="T69" s="331">
        <v>1</v>
      </c>
      <c r="U69" s="332">
        <f t="shared" si="25"/>
        <v>2.7777777777777776E-2</v>
      </c>
      <c r="V69" s="333"/>
      <c r="W69" s="882">
        <f t="shared" si="26"/>
        <v>1</v>
      </c>
      <c r="X69" s="335">
        <f t="shared" si="27"/>
        <v>3.0757168458781358E-2</v>
      </c>
    </row>
    <row r="70" spans="1:26" s="1" customFormat="1" ht="15" customHeight="1" x14ac:dyDescent="0.2">
      <c r="A70" s="336" t="s">
        <v>107</v>
      </c>
      <c r="B70" s="463">
        <v>1</v>
      </c>
      <c r="C70" s="328">
        <f t="shared" si="19"/>
        <v>3.3333333333333333E-2</v>
      </c>
      <c r="D70" s="327">
        <v>1</v>
      </c>
      <c r="E70" s="329">
        <f t="shared" si="20"/>
        <v>3.125E-2</v>
      </c>
      <c r="F70" s="330">
        <v>1</v>
      </c>
      <c r="G70" s="329">
        <f t="shared" si="20"/>
        <v>3.3333333333333333E-2</v>
      </c>
      <c r="H70" s="330">
        <v>1</v>
      </c>
      <c r="I70" s="329">
        <f t="shared" si="21"/>
        <v>3.5714285714285712E-2</v>
      </c>
      <c r="J70" s="330">
        <f>3</f>
        <v>3</v>
      </c>
      <c r="K70" s="329">
        <f t="shared" si="20"/>
        <v>9.375E-2</v>
      </c>
      <c r="L70" s="330">
        <v>2</v>
      </c>
      <c r="M70" s="329">
        <f t="shared" si="22"/>
        <v>6.25E-2</v>
      </c>
      <c r="N70" s="330">
        <v>3</v>
      </c>
      <c r="O70" s="329">
        <f t="shared" si="23"/>
        <v>9.375E-2</v>
      </c>
      <c r="P70" s="330">
        <v>3</v>
      </c>
      <c r="Q70" s="329">
        <f t="shared" si="23"/>
        <v>9.375E-2</v>
      </c>
      <c r="R70" s="330">
        <v>2</v>
      </c>
      <c r="S70" s="329">
        <f t="shared" si="24"/>
        <v>6.4516129032258063E-2</v>
      </c>
      <c r="T70" s="331">
        <v>2</v>
      </c>
      <c r="U70" s="332">
        <f t="shared" si="25"/>
        <v>5.5555555555555552E-2</v>
      </c>
      <c r="V70" s="333"/>
      <c r="W70" s="882">
        <f t="shared" si="26"/>
        <v>2.4</v>
      </c>
      <c r="X70" s="335">
        <f t="shared" si="27"/>
        <v>7.401433691756272E-2</v>
      </c>
    </row>
    <row r="71" spans="1:26" s="1" customFormat="1" ht="15" customHeight="1" x14ac:dyDescent="0.2">
      <c r="A71" s="336" t="s">
        <v>108</v>
      </c>
      <c r="B71" s="463">
        <v>3</v>
      </c>
      <c r="C71" s="328">
        <f t="shared" si="19"/>
        <v>0.1</v>
      </c>
      <c r="D71" s="327">
        <v>3</v>
      </c>
      <c r="E71" s="329">
        <f t="shared" si="20"/>
        <v>9.375E-2</v>
      </c>
      <c r="F71" s="330">
        <v>3</v>
      </c>
      <c r="G71" s="329">
        <f t="shared" si="20"/>
        <v>0.1</v>
      </c>
      <c r="H71" s="330">
        <v>2</v>
      </c>
      <c r="I71" s="329">
        <f t="shared" si="21"/>
        <v>7.1428571428571425E-2</v>
      </c>
      <c r="J71" s="330">
        <f>1</f>
        <v>1</v>
      </c>
      <c r="K71" s="329">
        <f t="shared" si="20"/>
        <v>3.125E-2</v>
      </c>
      <c r="L71" s="330">
        <v>2</v>
      </c>
      <c r="M71" s="329">
        <f t="shared" si="22"/>
        <v>6.25E-2</v>
      </c>
      <c r="N71" s="330">
        <v>2</v>
      </c>
      <c r="O71" s="329">
        <f t="shared" si="23"/>
        <v>6.25E-2</v>
      </c>
      <c r="P71" s="330">
        <v>3</v>
      </c>
      <c r="Q71" s="329">
        <f t="shared" si="23"/>
        <v>9.375E-2</v>
      </c>
      <c r="R71" s="330">
        <v>1</v>
      </c>
      <c r="S71" s="329">
        <f t="shared" si="24"/>
        <v>3.2258064516129031E-2</v>
      </c>
      <c r="T71" s="331">
        <v>2</v>
      </c>
      <c r="U71" s="332">
        <f t="shared" si="25"/>
        <v>5.5555555555555552E-2</v>
      </c>
      <c r="V71" s="333"/>
      <c r="W71" s="882">
        <f t="shared" si="26"/>
        <v>2</v>
      </c>
      <c r="X71" s="335">
        <f t="shared" si="27"/>
        <v>6.131272401433692E-2</v>
      </c>
    </row>
    <row r="72" spans="1:26" s="1" customFormat="1" ht="15" customHeight="1" x14ac:dyDescent="0.2">
      <c r="A72" s="336" t="s">
        <v>109</v>
      </c>
      <c r="B72" s="512"/>
      <c r="C72" s="328"/>
      <c r="D72" s="327"/>
      <c r="E72" s="329"/>
      <c r="F72" s="330"/>
      <c r="G72" s="329"/>
      <c r="H72" s="330">
        <v>13</v>
      </c>
      <c r="I72" s="329">
        <f t="shared" si="21"/>
        <v>0.4642857142857143</v>
      </c>
      <c r="J72" s="330">
        <f>0</f>
        <v>0</v>
      </c>
      <c r="K72" s="329">
        <f>J72/K$63</f>
        <v>0</v>
      </c>
      <c r="L72" s="330">
        <v>0</v>
      </c>
      <c r="M72" s="329">
        <f>L72/M$63</f>
        <v>0</v>
      </c>
      <c r="N72" s="330">
        <v>0</v>
      </c>
      <c r="O72" s="329">
        <f>N72/O$63</f>
        <v>0</v>
      </c>
      <c r="P72" s="330">
        <v>0</v>
      </c>
      <c r="Q72" s="329">
        <f>P72/Q$63</f>
        <v>0</v>
      </c>
      <c r="R72" s="330">
        <v>0</v>
      </c>
      <c r="S72" s="329">
        <f>R72/S$63</f>
        <v>0</v>
      </c>
      <c r="T72" s="331">
        <v>0</v>
      </c>
      <c r="U72" s="332">
        <f>T72/U$63</f>
        <v>0</v>
      </c>
      <c r="V72" s="333"/>
      <c r="W72" s="882">
        <f t="shared" si="26"/>
        <v>0</v>
      </c>
      <c r="X72" s="335">
        <f t="shared" si="27"/>
        <v>0</v>
      </c>
    </row>
    <row r="73" spans="1:26" s="1" customFormat="1" ht="15" customHeight="1" thickBot="1" x14ac:dyDescent="0.25">
      <c r="A73" s="723" t="s">
        <v>110</v>
      </c>
      <c r="B73" s="724"/>
      <c r="C73" s="725">
        <f t="shared" si="19"/>
        <v>0</v>
      </c>
      <c r="D73" s="726"/>
      <c r="E73" s="727">
        <f t="shared" si="20"/>
        <v>0</v>
      </c>
      <c r="F73" s="728">
        <v>0</v>
      </c>
      <c r="G73" s="727">
        <f t="shared" si="20"/>
        <v>0</v>
      </c>
      <c r="H73" s="728">
        <v>2</v>
      </c>
      <c r="I73" s="727">
        <f t="shared" si="21"/>
        <v>7.1428571428571425E-2</v>
      </c>
      <c r="J73" s="728">
        <f>1</f>
        <v>1</v>
      </c>
      <c r="K73" s="727">
        <f t="shared" si="20"/>
        <v>3.125E-2</v>
      </c>
      <c r="L73" s="728">
        <v>1</v>
      </c>
      <c r="M73" s="727">
        <f>L73/M$63</f>
        <v>3.125E-2</v>
      </c>
      <c r="N73" s="728">
        <v>2</v>
      </c>
      <c r="O73" s="727">
        <f>N73/O$63</f>
        <v>6.25E-2</v>
      </c>
      <c r="P73" s="728">
        <v>1</v>
      </c>
      <c r="Q73" s="727">
        <f>P73/Q$63</f>
        <v>3.125E-2</v>
      </c>
      <c r="R73" s="728">
        <v>1</v>
      </c>
      <c r="S73" s="727">
        <f>R73/S$63</f>
        <v>3.2258064516129031E-2</v>
      </c>
      <c r="T73" s="729">
        <v>2</v>
      </c>
      <c r="U73" s="730">
        <f>T73/U$63</f>
        <v>5.5555555555555552E-2</v>
      </c>
      <c r="V73" s="333"/>
      <c r="W73" s="882">
        <f t="shared" si="26"/>
        <v>1.4</v>
      </c>
      <c r="X73" s="335">
        <f t="shared" si="27"/>
        <v>4.2562724014336917E-2</v>
      </c>
    </row>
    <row r="74" spans="1:26" s="1" customFormat="1" ht="18" customHeight="1" x14ac:dyDescent="0.2">
      <c r="A74" s="703" t="s">
        <v>111</v>
      </c>
      <c r="B74" s="716"/>
      <c r="C74" s="717"/>
      <c r="D74" s="716"/>
      <c r="E74" s="718"/>
      <c r="F74" s="719"/>
      <c r="G74" s="718"/>
      <c r="H74" s="719"/>
      <c r="I74" s="718"/>
      <c r="J74" s="719"/>
      <c r="K74" s="718"/>
      <c r="L74" s="719"/>
      <c r="M74" s="718"/>
      <c r="N74" s="719"/>
      <c r="O74" s="718"/>
      <c r="P74" s="719"/>
      <c r="Q74" s="718"/>
      <c r="R74" s="719"/>
      <c r="S74" s="718"/>
      <c r="T74" s="719"/>
      <c r="U74" s="720"/>
      <c r="V74" s="333"/>
      <c r="W74" s="714"/>
      <c r="X74" s="715"/>
    </row>
    <row r="75" spans="1:26" s="1" customFormat="1" ht="15" customHeight="1" x14ac:dyDescent="0.2">
      <c r="A75" s="326" t="s">
        <v>112</v>
      </c>
      <c r="B75" s="341">
        <v>28</v>
      </c>
      <c r="C75" s="328">
        <f>B75/C$63</f>
        <v>0.93333333333333335</v>
      </c>
      <c r="D75" s="340">
        <f>28+2</f>
        <v>30</v>
      </c>
      <c r="E75" s="329">
        <f>D75/E$63</f>
        <v>0.9375</v>
      </c>
      <c r="F75" s="343">
        <v>28</v>
      </c>
      <c r="G75" s="329">
        <f>F75/G$63</f>
        <v>0.93333333333333335</v>
      </c>
      <c r="H75" s="343">
        <v>27</v>
      </c>
      <c r="I75" s="329">
        <f>H75/I$63</f>
        <v>0.9642857142857143</v>
      </c>
      <c r="J75" s="343">
        <f>27+2</f>
        <v>29</v>
      </c>
      <c r="K75" s="329">
        <f>J75/K$63</f>
        <v>0.90625</v>
      </c>
      <c r="L75" s="343">
        <v>29</v>
      </c>
      <c r="M75" s="329">
        <f>L75/M$63</f>
        <v>0.90625</v>
      </c>
      <c r="N75" s="343">
        <f>2+27</f>
        <v>29</v>
      </c>
      <c r="O75" s="329">
        <f>N75/O$63</f>
        <v>0.90625</v>
      </c>
      <c r="P75" s="343">
        <v>29</v>
      </c>
      <c r="Q75" s="329">
        <f>P75/Q$63</f>
        <v>0.90625</v>
      </c>
      <c r="R75" s="343">
        <f>18+9</f>
        <v>27</v>
      </c>
      <c r="S75" s="329">
        <f>R75/S$63</f>
        <v>0.87096774193548387</v>
      </c>
      <c r="T75" s="343">
        <v>32</v>
      </c>
      <c r="U75" s="332">
        <f>T75/U$63</f>
        <v>0.88888888888888884</v>
      </c>
      <c r="V75" s="333"/>
      <c r="W75" s="882">
        <f t="shared" si="26"/>
        <v>29.2</v>
      </c>
      <c r="X75" s="335">
        <f t="shared" si="27"/>
        <v>0.89572132616487465</v>
      </c>
    </row>
    <row r="76" spans="1:26" s="1" customFormat="1" ht="15" customHeight="1" thickBot="1" x14ac:dyDescent="0.25">
      <c r="A76" s="723" t="s">
        <v>113</v>
      </c>
      <c r="B76" s="733">
        <v>2</v>
      </c>
      <c r="C76" s="725">
        <f>B76/C$63</f>
        <v>6.6666666666666666E-2</v>
      </c>
      <c r="D76" s="733">
        <v>2</v>
      </c>
      <c r="E76" s="727">
        <f>D76/E$63</f>
        <v>6.25E-2</v>
      </c>
      <c r="F76" s="734">
        <v>2</v>
      </c>
      <c r="G76" s="727">
        <f>F76/G$63</f>
        <v>6.6666666666666666E-2</v>
      </c>
      <c r="H76" s="734">
        <v>1</v>
      </c>
      <c r="I76" s="727">
        <f>H76/I$63</f>
        <v>3.5714285714285712E-2</v>
      </c>
      <c r="J76" s="734">
        <f>3</f>
        <v>3</v>
      </c>
      <c r="K76" s="727">
        <f>J76/K$63</f>
        <v>9.375E-2</v>
      </c>
      <c r="L76" s="734">
        <v>3</v>
      </c>
      <c r="M76" s="727">
        <f>L76/M$63</f>
        <v>9.375E-2</v>
      </c>
      <c r="N76" s="734">
        <v>3</v>
      </c>
      <c r="O76" s="727">
        <f>N76/O$63</f>
        <v>9.375E-2</v>
      </c>
      <c r="P76" s="734">
        <v>3</v>
      </c>
      <c r="Q76" s="727">
        <f>P76/Q$63</f>
        <v>9.375E-2</v>
      </c>
      <c r="R76" s="734">
        <v>4</v>
      </c>
      <c r="S76" s="727">
        <f>R76/S$63</f>
        <v>0.12903225806451613</v>
      </c>
      <c r="T76" s="734">
        <v>4</v>
      </c>
      <c r="U76" s="730">
        <f>T76/U$63</f>
        <v>0.1111111111111111</v>
      </c>
      <c r="V76" s="333"/>
      <c r="W76" s="882">
        <f t="shared" si="26"/>
        <v>3.4</v>
      </c>
      <c r="X76" s="335">
        <f t="shared" si="27"/>
        <v>0.10427867383512543</v>
      </c>
    </row>
    <row r="77" spans="1:26" s="1" customFormat="1" ht="18" customHeight="1" x14ac:dyDescent="0.2">
      <c r="A77" s="703" t="s">
        <v>114</v>
      </c>
      <c r="B77" s="721"/>
      <c r="C77" s="710"/>
      <c r="D77" s="721"/>
      <c r="E77" s="711"/>
      <c r="F77" s="722"/>
      <c r="G77" s="711"/>
      <c r="H77" s="722"/>
      <c r="I77" s="711"/>
      <c r="J77" s="722"/>
      <c r="K77" s="711"/>
      <c r="L77" s="722"/>
      <c r="M77" s="711"/>
      <c r="N77" s="722"/>
      <c r="O77" s="711"/>
      <c r="P77" s="722"/>
      <c r="Q77" s="711"/>
      <c r="R77" s="722"/>
      <c r="S77" s="711"/>
      <c r="T77" s="722"/>
      <c r="U77" s="713"/>
      <c r="V77" s="333"/>
      <c r="W77" s="714"/>
      <c r="X77" s="715"/>
    </row>
    <row r="78" spans="1:26" s="1" customFormat="1" ht="15" customHeight="1" x14ac:dyDescent="0.2">
      <c r="A78" s="326" t="s">
        <v>115</v>
      </c>
      <c r="B78" s="341">
        <v>23</v>
      </c>
      <c r="C78" s="328">
        <f>B78/C$63</f>
        <v>0.76666666666666672</v>
      </c>
      <c r="D78" s="341">
        <f>21+2</f>
        <v>23</v>
      </c>
      <c r="E78" s="329">
        <f>D78/E$63</f>
        <v>0.71875</v>
      </c>
      <c r="F78" s="342">
        <v>20</v>
      </c>
      <c r="G78" s="329">
        <f>F78/G$63</f>
        <v>0.66666666666666663</v>
      </c>
      <c r="H78" s="342">
        <v>20</v>
      </c>
      <c r="I78" s="329">
        <f>H78/I$63</f>
        <v>0.7142857142857143</v>
      </c>
      <c r="J78" s="342">
        <f>21+1</f>
        <v>22</v>
      </c>
      <c r="K78" s="329">
        <f>J78/K$63</f>
        <v>0.6875</v>
      </c>
      <c r="L78" s="342">
        <v>23</v>
      </c>
      <c r="M78" s="329">
        <f>L78/M$63</f>
        <v>0.71875</v>
      </c>
      <c r="N78" s="342">
        <f>1+21</f>
        <v>22</v>
      </c>
      <c r="O78" s="329">
        <f>N78/O$63</f>
        <v>0.6875</v>
      </c>
      <c r="P78" s="342">
        <v>20</v>
      </c>
      <c r="Q78" s="329">
        <f>P78/Q$63</f>
        <v>0.625</v>
      </c>
      <c r="R78" s="342">
        <v>19</v>
      </c>
      <c r="S78" s="329">
        <f>R78/S$63</f>
        <v>0.61290322580645162</v>
      </c>
      <c r="T78" s="342">
        <v>19</v>
      </c>
      <c r="U78" s="332">
        <f>T78/U$63</f>
        <v>0.52777777777777779</v>
      </c>
      <c r="V78" s="333"/>
      <c r="W78" s="882">
        <f t="shared" si="26"/>
        <v>20.6</v>
      </c>
      <c r="X78" s="335">
        <f t="shared" si="27"/>
        <v>0.63438620071684582</v>
      </c>
      <c r="Z78" s="753"/>
    </row>
    <row r="79" spans="1:26" s="1" customFormat="1" ht="15" customHeight="1" x14ac:dyDescent="0.2">
      <c r="A79" s="326" t="s">
        <v>116</v>
      </c>
      <c r="B79" s="341">
        <v>3</v>
      </c>
      <c r="C79" s="328">
        <f>B79/C$63</f>
        <v>0.1</v>
      </c>
      <c r="D79" s="341">
        <v>4</v>
      </c>
      <c r="E79" s="329">
        <f>D79/E$63</f>
        <v>0.125</v>
      </c>
      <c r="F79" s="342">
        <v>4</v>
      </c>
      <c r="G79" s="329">
        <f>F79/G$63</f>
        <v>0.13333333333333333</v>
      </c>
      <c r="H79" s="342">
        <v>3</v>
      </c>
      <c r="I79" s="329">
        <f>H79/I$63</f>
        <v>0.10714285714285714</v>
      </c>
      <c r="J79" s="342">
        <f>4</f>
        <v>4</v>
      </c>
      <c r="K79" s="329">
        <f>J79/K$63</f>
        <v>0.125</v>
      </c>
      <c r="L79" s="342">
        <v>3</v>
      </c>
      <c r="M79" s="329">
        <f>L79/M$63</f>
        <v>9.375E-2</v>
      </c>
      <c r="N79" s="342">
        <v>4</v>
      </c>
      <c r="O79" s="329">
        <f>N79/O$63</f>
        <v>0.125</v>
      </c>
      <c r="P79" s="342">
        <v>5</v>
      </c>
      <c r="Q79" s="329">
        <f>P79/Q$63</f>
        <v>0.15625</v>
      </c>
      <c r="R79" s="342">
        <v>8</v>
      </c>
      <c r="S79" s="329">
        <f>R79/S$63</f>
        <v>0.25806451612903225</v>
      </c>
      <c r="T79" s="342">
        <v>11</v>
      </c>
      <c r="U79" s="332">
        <f>T79/U$63</f>
        <v>0.30555555555555558</v>
      </c>
      <c r="V79" s="333"/>
      <c r="W79" s="882">
        <f t="shared" si="26"/>
        <v>6.2</v>
      </c>
      <c r="X79" s="335">
        <f t="shared" si="27"/>
        <v>0.18772401433691757</v>
      </c>
    </row>
    <row r="80" spans="1:26" s="1" customFormat="1" ht="15" customHeight="1" thickBot="1" x14ac:dyDescent="0.25">
      <c r="A80" s="723" t="s">
        <v>117</v>
      </c>
      <c r="B80" s="733">
        <v>4</v>
      </c>
      <c r="C80" s="725">
        <f>B80/C$63</f>
        <v>0.13333333333333333</v>
      </c>
      <c r="D80" s="733">
        <v>5</v>
      </c>
      <c r="E80" s="727">
        <f>D80/E$63</f>
        <v>0.15625</v>
      </c>
      <c r="F80" s="734">
        <v>6</v>
      </c>
      <c r="G80" s="727">
        <f>F80/G$63</f>
        <v>0.2</v>
      </c>
      <c r="H80" s="734">
        <v>5</v>
      </c>
      <c r="I80" s="727">
        <f>H80/I$63</f>
        <v>0.17857142857142858</v>
      </c>
      <c r="J80" s="734">
        <f>5+1</f>
        <v>6</v>
      </c>
      <c r="K80" s="727">
        <f>J80/K$63</f>
        <v>0.1875</v>
      </c>
      <c r="L80" s="734">
        <v>6</v>
      </c>
      <c r="M80" s="727">
        <f>L80/M$63</f>
        <v>0.1875</v>
      </c>
      <c r="N80" s="734">
        <f>1+5</f>
        <v>6</v>
      </c>
      <c r="O80" s="727">
        <f>N80/O$63</f>
        <v>0.1875</v>
      </c>
      <c r="P80" s="734">
        <v>7</v>
      </c>
      <c r="Q80" s="727">
        <f>P80/Q$63</f>
        <v>0.21875</v>
      </c>
      <c r="R80" s="734">
        <v>4</v>
      </c>
      <c r="S80" s="727">
        <f>R80/S$63</f>
        <v>0.12903225806451613</v>
      </c>
      <c r="T80" s="734">
        <v>6</v>
      </c>
      <c r="U80" s="730">
        <f>T80/U$63</f>
        <v>0.16666666666666666</v>
      </c>
      <c r="V80" s="333"/>
      <c r="W80" s="882">
        <f t="shared" si="26"/>
        <v>5.8</v>
      </c>
      <c r="X80" s="335">
        <f t="shared" si="27"/>
        <v>0.17788978494623656</v>
      </c>
    </row>
    <row r="81" spans="1:24" s="1" customFormat="1" ht="18" customHeight="1" x14ac:dyDescent="0.2">
      <c r="A81" s="703" t="s">
        <v>118</v>
      </c>
      <c r="B81" s="721"/>
      <c r="C81" s="710"/>
      <c r="D81" s="721"/>
      <c r="E81" s="711"/>
      <c r="F81" s="722"/>
      <c r="G81" s="711"/>
      <c r="H81" s="722"/>
      <c r="I81" s="711"/>
      <c r="J81" s="722"/>
      <c r="K81" s="711"/>
      <c r="L81" s="722"/>
      <c r="M81" s="711"/>
      <c r="N81" s="722"/>
      <c r="O81" s="711"/>
      <c r="P81" s="722"/>
      <c r="Q81" s="711"/>
      <c r="R81" s="722"/>
      <c r="S81" s="711"/>
      <c r="T81" s="722"/>
      <c r="U81" s="713"/>
      <c r="V81" s="333"/>
      <c r="W81" s="714"/>
      <c r="X81" s="715"/>
    </row>
    <row r="82" spans="1:24" s="1" customFormat="1" ht="15" customHeight="1" x14ac:dyDescent="0.2">
      <c r="A82" s="326" t="s">
        <v>119</v>
      </c>
      <c r="B82" s="341">
        <v>30</v>
      </c>
      <c r="C82" s="328">
        <f>B82/C$63</f>
        <v>1</v>
      </c>
      <c r="D82" s="341">
        <f>30+2</f>
        <v>32</v>
      </c>
      <c r="E82" s="329">
        <f>D82/E$63</f>
        <v>1</v>
      </c>
      <c r="F82" s="342">
        <v>30</v>
      </c>
      <c r="G82" s="329">
        <f>F82/G$63</f>
        <v>1</v>
      </c>
      <c r="H82" s="342">
        <v>28</v>
      </c>
      <c r="I82" s="329">
        <f>H82/I$63</f>
        <v>1</v>
      </c>
      <c r="J82" s="342">
        <f>30+2</f>
        <v>32</v>
      </c>
      <c r="K82" s="329">
        <f>J82/K$63</f>
        <v>1</v>
      </c>
      <c r="L82" s="342">
        <v>32</v>
      </c>
      <c r="M82" s="329">
        <f>L82/M$63</f>
        <v>1</v>
      </c>
      <c r="N82" s="342">
        <f>2+30</f>
        <v>32</v>
      </c>
      <c r="O82" s="329">
        <f>N82/O$63</f>
        <v>1</v>
      </c>
      <c r="P82" s="342">
        <v>31</v>
      </c>
      <c r="Q82" s="329">
        <f>P82/Q$63</f>
        <v>0.96875</v>
      </c>
      <c r="R82" s="342">
        <v>31</v>
      </c>
      <c r="S82" s="329">
        <f>R82/S$63</f>
        <v>1</v>
      </c>
      <c r="T82" s="342">
        <v>36</v>
      </c>
      <c r="U82" s="332">
        <f>T82/U$63</f>
        <v>1</v>
      </c>
      <c r="V82" s="333"/>
      <c r="W82" s="882">
        <f t="shared" si="26"/>
        <v>32.4</v>
      </c>
      <c r="X82" s="335">
        <f t="shared" si="27"/>
        <v>0.99375000000000002</v>
      </c>
    </row>
    <row r="83" spans="1:24" s="1" customFormat="1" ht="15" customHeight="1" x14ac:dyDescent="0.2">
      <c r="A83" s="326" t="s">
        <v>120</v>
      </c>
      <c r="B83" s="341">
        <v>0</v>
      </c>
      <c r="C83" s="328">
        <f>B83/C$63</f>
        <v>0</v>
      </c>
      <c r="D83" s="341">
        <v>0</v>
      </c>
      <c r="E83" s="329">
        <f>D83/E$63</f>
        <v>0</v>
      </c>
      <c r="F83" s="342">
        <v>0</v>
      </c>
      <c r="G83" s="329">
        <f>F83/G$63</f>
        <v>0</v>
      </c>
      <c r="H83" s="342">
        <v>0</v>
      </c>
      <c r="I83" s="329">
        <f>H83/I$63</f>
        <v>0</v>
      </c>
      <c r="J83" s="342">
        <f>0</f>
        <v>0</v>
      </c>
      <c r="K83" s="329">
        <f>J83/K$63</f>
        <v>0</v>
      </c>
      <c r="L83" s="342">
        <v>0</v>
      </c>
      <c r="M83" s="329">
        <f>L83/M$63</f>
        <v>0</v>
      </c>
      <c r="N83" s="342">
        <v>0</v>
      </c>
      <c r="O83" s="329">
        <f>N83/O$63</f>
        <v>0</v>
      </c>
      <c r="P83" s="342">
        <v>1</v>
      </c>
      <c r="Q83" s="329">
        <f>P83/Q$63</f>
        <v>3.125E-2</v>
      </c>
      <c r="R83" s="342">
        <v>0</v>
      </c>
      <c r="S83" s="329">
        <f>R83/S$63</f>
        <v>0</v>
      </c>
      <c r="T83" s="342">
        <v>0</v>
      </c>
      <c r="U83" s="332">
        <f>T83/U$63</f>
        <v>0</v>
      </c>
      <c r="V83" s="333"/>
      <c r="W83" s="882">
        <f t="shared" si="26"/>
        <v>0.2</v>
      </c>
      <c r="X83" s="335">
        <f t="shared" si="27"/>
        <v>6.2500000000000003E-3</v>
      </c>
    </row>
    <row r="84" spans="1:24" s="1" customFormat="1" ht="15" customHeight="1" x14ac:dyDescent="0.2">
      <c r="A84" s="326" t="s">
        <v>121</v>
      </c>
      <c r="B84" s="341">
        <v>0</v>
      </c>
      <c r="C84" s="328">
        <f>B84/C$63</f>
        <v>0</v>
      </c>
      <c r="D84" s="341">
        <v>0</v>
      </c>
      <c r="E84" s="329">
        <f>D84/E$63</f>
        <v>0</v>
      </c>
      <c r="F84" s="342">
        <v>0</v>
      </c>
      <c r="G84" s="329">
        <f>F84/G$63</f>
        <v>0</v>
      </c>
      <c r="H84" s="342">
        <v>0</v>
      </c>
      <c r="I84" s="329">
        <f>H84/I$63</f>
        <v>0</v>
      </c>
      <c r="J84" s="342">
        <f>0</f>
        <v>0</v>
      </c>
      <c r="K84" s="329">
        <f>J84/K$63</f>
        <v>0</v>
      </c>
      <c r="L84" s="342">
        <v>0</v>
      </c>
      <c r="M84" s="329">
        <f>L84/M$63</f>
        <v>0</v>
      </c>
      <c r="N84" s="342">
        <v>0</v>
      </c>
      <c r="O84" s="329">
        <f>N84/O$63</f>
        <v>0</v>
      </c>
      <c r="P84" s="342">
        <v>0</v>
      </c>
      <c r="Q84" s="329">
        <f>P84/Q$63</f>
        <v>0</v>
      </c>
      <c r="R84" s="342">
        <v>0</v>
      </c>
      <c r="S84" s="329">
        <f>R84/S$63</f>
        <v>0</v>
      </c>
      <c r="T84" s="342">
        <v>0</v>
      </c>
      <c r="U84" s="332">
        <f>T84/U$63</f>
        <v>0</v>
      </c>
      <c r="V84" s="320"/>
      <c r="W84" s="882">
        <f t="shared" si="26"/>
        <v>0</v>
      </c>
      <c r="X84" s="335">
        <f t="shared" si="27"/>
        <v>0</v>
      </c>
    </row>
    <row r="85" spans="1:24" s="1" customFormat="1" ht="15" customHeight="1" thickBot="1" x14ac:dyDescent="0.25">
      <c r="A85" s="344" t="s">
        <v>122</v>
      </c>
      <c r="B85" s="345">
        <v>0</v>
      </c>
      <c r="C85" s="346">
        <f>B85/C$63</f>
        <v>0</v>
      </c>
      <c r="D85" s="345">
        <v>0</v>
      </c>
      <c r="E85" s="347">
        <f>D85/E$63</f>
        <v>0</v>
      </c>
      <c r="F85" s="348">
        <v>0</v>
      </c>
      <c r="G85" s="347">
        <f>F85/G$63</f>
        <v>0</v>
      </c>
      <c r="H85" s="348">
        <v>0</v>
      </c>
      <c r="I85" s="347">
        <f>H85/I$63</f>
        <v>0</v>
      </c>
      <c r="J85" s="348">
        <f>0</f>
        <v>0</v>
      </c>
      <c r="K85" s="347">
        <f>J85/K$63</f>
        <v>0</v>
      </c>
      <c r="L85" s="348">
        <v>0</v>
      </c>
      <c r="M85" s="347">
        <f>L85/M$63</f>
        <v>0</v>
      </c>
      <c r="N85" s="348">
        <v>0</v>
      </c>
      <c r="O85" s="347">
        <f>N85/O$63</f>
        <v>0</v>
      </c>
      <c r="P85" s="348">
        <v>0</v>
      </c>
      <c r="Q85" s="347">
        <f>P85/Q$63</f>
        <v>0</v>
      </c>
      <c r="R85" s="348">
        <v>0</v>
      </c>
      <c r="S85" s="347">
        <f>R85/S$63</f>
        <v>0</v>
      </c>
      <c r="T85" s="348">
        <v>0</v>
      </c>
      <c r="U85" s="349">
        <f>T85/U$63</f>
        <v>0</v>
      </c>
      <c r="V85" s="320"/>
      <c r="W85" s="882">
        <f t="shared" si="26"/>
        <v>0</v>
      </c>
      <c r="X85" s="335">
        <f t="shared" si="27"/>
        <v>0</v>
      </c>
    </row>
    <row r="86" spans="1:24" ht="13.5" thickTop="1" x14ac:dyDescent="0.2">
      <c r="A86" s="635" t="s">
        <v>251</v>
      </c>
    </row>
    <row r="87" spans="1:24" x14ac:dyDescent="0.2">
      <c r="A87" s="1"/>
      <c r="H87" s="26" t="s">
        <v>16</v>
      </c>
      <c r="J87" s="26" t="s">
        <v>16</v>
      </c>
      <c r="L87" s="26" t="s">
        <v>16</v>
      </c>
      <c r="N87" s="26" t="s">
        <v>16</v>
      </c>
      <c r="P87" s="26" t="s">
        <v>16</v>
      </c>
      <c r="R87" s="26" t="s">
        <v>16</v>
      </c>
      <c r="T87" s="26" t="s">
        <v>16</v>
      </c>
    </row>
    <row r="88" spans="1:24" x14ac:dyDescent="0.2">
      <c r="A88" s="1"/>
    </row>
    <row r="89" spans="1:24" x14ac:dyDescent="0.2">
      <c r="A89" s="1"/>
    </row>
    <row r="90" spans="1:24" x14ac:dyDescent="0.2">
      <c r="A90" s="1"/>
    </row>
    <row r="91" spans="1:24" x14ac:dyDescent="0.2">
      <c r="A91" s="1"/>
    </row>
    <row r="92" spans="1:24" x14ac:dyDescent="0.2">
      <c r="A92" s="1"/>
    </row>
    <row r="93" spans="1:24" x14ac:dyDescent="0.2">
      <c r="A93" s="1"/>
    </row>
    <row r="94" spans="1:24" x14ac:dyDescent="0.2">
      <c r="A94" s="1"/>
    </row>
    <row r="95" spans="1:24" x14ac:dyDescent="0.2">
      <c r="A95" s="1"/>
    </row>
    <row r="96" spans="1:24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</sheetData>
  <mergeCells count="76">
    <mergeCell ref="W9:X9"/>
    <mergeCell ref="T9:U9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B51:C51"/>
    <mergeCell ref="D51:E51"/>
    <mergeCell ref="F51:G51"/>
    <mergeCell ref="H51:I51"/>
    <mergeCell ref="J51:K51"/>
    <mergeCell ref="D24:E24"/>
    <mergeCell ref="F24:G24"/>
    <mergeCell ref="H24:I24"/>
    <mergeCell ref="J24:K24"/>
    <mergeCell ref="W51:X51"/>
    <mergeCell ref="T44:U44"/>
    <mergeCell ref="T51:U51"/>
    <mergeCell ref="L24:M24"/>
    <mergeCell ref="N24:O24"/>
    <mergeCell ref="P24:Q24"/>
    <mergeCell ref="R24:S24"/>
    <mergeCell ref="L34:M34"/>
    <mergeCell ref="N34:O34"/>
    <mergeCell ref="P34:Q34"/>
    <mergeCell ref="R34:S34"/>
    <mergeCell ref="N44:O44"/>
    <mergeCell ref="H34:I34"/>
    <mergeCell ref="J34:K34"/>
    <mergeCell ref="W24:X24"/>
    <mergeCell ref="T24:U24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W31:X31"/>
    <mergeCell ref="T31:U31"/>
    <mergeCell ref="B24:C24"/>
    <mergeCell ref="W34:X34"/>
    <mergeCell ref="T34:U34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W41:X41"/>
    <mergeCell ref="T41:U41"/>
    <mergeCell ref="B34:C34"/>
    <mergeCell ref="D34:E34"/>
    <mergeCell ref="F34:G34"/>
    <mergeCell ref="B44:C44"/>
    <mergeCell ref="D44:E44"/>
    <mergeCell ref="F44:G44"/>
    <mergeCell ref="H44:I44"/>
    <mergeCell ref="J44:K44"/>
    <mergeCell ref="R44:S44"/>
    <mergeCell ref="L44:M44"/>
    <mergeCell ref="L51:M51"/>
    <mergeCell ref="N51:O51"/>
    <mergeCell ref="P51:Q51"/>
    <mergeCell ref="R51:S51"/>
    <mergeCell ref="P44:Q44"/>
  </mergeCells>
  <pageMargins left="0.7" right="0.7" top="0.5" bottom="0.5" header="0.3" footer="0.3"/>
  <pageSetup scale="70" orientation="landscape" r:id="rId1"/>
  <headerFooter>
    <oddFooter>&amp;L&amp;9Prepared by Planning and Analysis&amp;C&amp;9&amp;P of &amp;N&amp;R&amp;9Updated &amp;D</oddFooter>
  </headerFooter>
  <rowBreaks count="1" manualBreakCount="1">
    <brk id="49" max="21" man="1"/>
  </rowBreaks>
  <colBreaks count="1" manualBreakCount="1">
    <brk id="21" max="1048575" man="1"/>
  </colBreaks>
  <ignoredErrors>
    <ignoredError sqref="D66:R8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426"/>
  <sheetViews>
    <sheetView view="pageBreakPreview" topLeftCell="A7" zoomScaleNormal="100" zoomScaleSheetLayoutView="100" workbookViewId="0">
      <selection activeCell="U23" sqref="U23"/>
    </sheetView>
  </sheetViews>
  <sheetFormatPr defaultColWidth="10.28515625" defaultRowHeight="12.75" x14ac:dyDescent="0.2"/>
  <cols>
    <col min="1" max="1" width="35.425781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4" ht="15.75" x14ac:dyDescent="0.25">
      <c r="A1" s="636" t="s">
        <v>208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</row>
    <row r="2" spans="1:24" ht="15.75" x14ac:dyDescent="0.25">
      <c r="A2" s="636" t="s">
        <v>209</v>
      </c>
    </row>
    <row r="3" spans="1:24" ht="15.75" x14ac:dyDescent="0.25">
      <c r="A3" s="636"/>
      <c r="O3" t="s">
        <v>16</v>
      </c>
    </row>
    <row r="4" spans="1:24" ht="15.75" x14ac:dyDescent="0.25">
      <c r="A4" s="157" t="s">
        <v>211</v>
      </c>
    </row>
    <row r="5" spans="1:24" ht="7.5" customHeight="1" x14ac:dyDescent="0.25">
      <c r="A5" s="157"/>
    </row>
    <row r="6" spans="1:24" x14ac:dyDescent="0.2">
      <c r="A6" s="2" t="s">
        <v>234</v>
      </c>
    </row>
    <row r="7" spans="1:24" x14ac:dyDescent="0.2">
      <c r="A7" s="958">
        <v>367001040</v>
      </c>
    </row>
    <row r="8" spans="1:24" ht="13.5" thickBot="1" x14ac:dyDescent="0.25">
      <c r="A8" s="1"/>
    </row>
    <row r="9" spans="1:24" ht="15" customHeight="1" thickTop="1" thickBot="1" x14ac:dyDescent="0.25">
      <c r="A9" s="215"/>
      <c r="B9" s="1304" t="s">
        <v>0</v>
      </c>
      <c r="C9" s="1305"/>
      <c r="D9" s="1304" t="s">
        <v>1</v>
      </c>
      <c r="E9" s="1305"/>
      <c r="F9" s="1304" t="s">
        <v>2</v>
      </c>
      <c r="G9" s="1305"/>
      <c r="H9" s="1304" t="s">
        <v>3</v>
      </c>
      <c r="I9" s="1305"/>
      <c r="J9" s="1304" t="s">
        <v>4</v>
      </c>
      <c r="K9" s="1305"/>
      <c r="L9" s="1304" t="s">
        <v>5</v>
      </c>
      <c r="M9" s="1305"/>
      <c r="N9" s="1304" t="s">
        <v>6</v>
      </c>
      <c r="O9" s="1305"/>
      <c r="P9" s="1304" t="s">
        <v>7</v>
      </c>
      <c r="Q9" s="1305"/>
      <c r="R9" s="1304" t="s">
        <v>8</v>
      </c>
      <c r="S9" s="1305"/>
      <c r="T9" s="1304" t="s">
        <v>254</v>
      </c>
      <c r="U9" s="1306"/>
      <c r="W9" s="1302" t="s">
        <v>9</v>
      </c>
      <c r="X9" s="1303"/>
    </row>
    <row r="10" spans="1:24" ht="15" customHeight="1" x14ac:dyDescent="0.2">
      <c r="A10" s="216"/>
      <c r="B10" s="28" t="s">
        <v>235</v>
      </c>
      <c r="C10" s="5" t="s">
        <v>11</v>
      </c>
      <c r="D10" s="28" t="s">
        <v>235</v>
      </c>
      <c r="E10" s="5" t="s">
        <v>11</v>
      </c>
      <c r="F10" s="28" t="s">
        <v>235</v>
      </c>
      <c r="G10" s="5" t="s">
        <v>11</v>
      </c>
      <c r="H10" s="28" t="s">
        <v>235</v>
      </c>
      <c r="I10" s="5" t="s">
        <v>11</v>
      </c>
      <c r="J10" s="28" t="s">
        <v>235</v>
      </c>
      <c r="K10" s="5" t="s">
        <v>11</v>
      </c>
      <c r="L10" s="28" t="s">
        <v>235</v>
      </c>
      <c r="M10" s="5" t="s">
        <v>11</v>
      </c>
      <c r="N10" s="28" t="s">
        <v>235</v>
      </c>
      <c r="O10" s="5" t="s">
        <v>11</v>
      </c>
      <c r="P10" s="28" t="s">
        <v>235</v>
      </c>
      <c r="Q10" s="5" t="s">
        <v>11</v>
      </c>
      <c r="R10" s="28" t="s">
        <v>235</v>
      </c>
      <c r="S10" s="5" t="s">
        <v>11</v>
      </c>
      <c r="T10" s="28" t="s">
        <v>235</v>
      </c>
      <c r="U10" s="52" t="s">
        <v>11</v>
      </c>
      <c r="W10" s="3" t="s">
        <v>236</v>
      </c>
      <c r="X10" s="4" t="s">
        <v>13</v>
      </c>
    </row>
    <row r="11" spans="1:24" ht="15" customHeight="1" thickBot="1" x14ac:dyDescent="0.25">
      <c r="A11" s="30" t="s">
        <v>84</v>
      </c>
      <c r="B11" s="29" t="s">
        <v>14</v>
      </c>
      <c r="C11" s="959" t="s">
        <v>15</v>
      </c>
      <c r="D11" s="62" t="s">
        <v>14</v>
      </c>
      <c r="E11" s="63" t="s">
        <v>15</v>
      </c>
      <c r="F11" s="62" t="s">
        <v>14</v>
      </c>
      <c r="G11" s="63" t="s">
        <v>15</v>
      </c>
      <c r="H11" s="29" t="s">
        <v>14</v>
      </c>
      <c r="I11" s="959" t="s">
        <v>15</v>
      </c>
      <c r="J11" s="29" t="s">
        <v>14</v>
      </c>
      <c r="K11" s="959" t="s">
        <v>15</v>
      </c>
      <c r="L11" s="62" t="s">
        <v>14</v>
      </c>
      <c r="M11" s="63" t="s">
        <v>15</v>
      </c>
      <c r="N11" s="29" t="s">
        <v>14</v>
      </c>
      <c r="O11" s="959" t="s">
        <v>15</v>
      </c>
      <c r="P11" s="29" t="s">
        <v>14</v>
      </c>
      <c r="Q11" s="959" t="s">
        <v>15</v>
      </c>
      <c r="R11" s="29" t="s">
        <v>14</v>
      </c>
      <c r="S11" s="959" t="s">
        <v>15</v>
      </c>
      <c r="T11" s="62" t="s">
        <v>14</v>
      </c>
      <c r="U11" s="1213" t="s">
        <v>15</v>
      </c>
      <c r="W11" s="6" t="s">
        <v>14</v>
      </c>
      <c r="X11" s="7" t="s">
        <v>15</v>
      </c>
    </row>
    <row r="12" spans="1:24" ht="15" customHeight="1" x14ac:dyDescent="0.2">
      <c r="A12" s="257" t="s">
        <v>130</v>
      </c>
      <c r="B12" s="597"/>
      <c r="C12" s="687"/>
      <c r="D12" s="594"/>
      <c r="E12" s="688"/>
      <c r="F12" s="597"/>
      <c r="G12" s="688"/>
      <c r="H12" s="597"/>
      <c r="I12" s="688"/>
      <c r="J12" s="597"/>
      <c r="K12" s="688"/>
      <c r="L12" s="597"/>
      <c r="M12" s="688"/>
      <c r="N12" s="597"/>
      <c r="O12" s="688"/>
      <c r="P12" s="597"/>
      <c r="Q12" s="688"/>
      <c r="R12" s="597"/>
      <c r="S12" s="688"/>
      <c r="T12" s="597"/>
      <c r="U12" s="689"/>
      <c r="V12" s="372"/>
      <c r="W12" s="478"/>
      <c r="X12" s="592"/>
    </row>
    <row r="13" spans="1:24" s="232" customFormat="1" ht="15" customHeight="1" x14ac:dyDescent="0.2">
      <c r="A13" s="224" t="s">
        <v>85</v>
      </c>
      <c r="B13" s="225">
        <v>30</v>
      </c>
      <c r="C13" s="226"/>
      <c r="D13" s="227">
        <v>42</v>
      </c>
      <c r="E13" s="228"/>
      <c r="F13" s="225">
        <v>56</v>
      </c>
      <c r="G13" s="228"/>
      <c r="H13" s="225">
        <v>57</v>
      </c>
      <c r="I13" s="228"/>
      <c r="J13" s="225">
        <v>75</v>
      </c>
      <c r="K13" s="228"/>
      <c r="L13" s="225">
        <v>79</v>
      </c>
      <c r="M13" s="228"/>
      <c r="N13" s="225">
        <v>67</v>
      </c>
      <c r="O13" s="228"/>
      <c r="P13" s="225">
        <v>77</v>
      </c>
      <c r="Q13" s="229"/>
      <c r="R13" s="225">
        <f>33+56</f>
        <v>89</v>
      </c>
      <c r="S13" s="229"/>
      <c r="T13" s="230">
        <v>74</v>
      </c>
      <c r="U13" s="231"/>
      <c r="W13" s="222">
        <f>AVERAGE(N13,L13,R13,T13,P13)</f>
        <v>77.2</v>
      </c>
      <c r="X13" s="476"/>
    </row>
    <row r="14" spans="1:24" s="232" customFormat="1" ht="15" customHeight="1" thickBot="1" x14ac:dyDescent="0.25">
      <c r="A14" s="234" t="s">
        <v>86</v>
      </c>
      <c r="B14" s="235">
        <v>57</v>
      </c>
      <c r="C14" s="236"/>
      <c r="D14" s="237">
        <v>61</v>
      </c>
      <c r="E14" s="238"/>
      <c r="F14" s="235">
        <v>69</v>
      </c>
      <c r="G14" s="238"/>
      <c r="H14" s="235">
        <v>87</v>
      </c>
      <c r="I14" s="238"/>
      <c r="J14" s="235">
        <v>90</v>
      </c>
      <c r="K14" s="238"/>
      <c r="L14" s="235">
        <v>92</v>
      </c>
      <c r="M14" s="238"/>
      <c r="N14" s="235">
        <v>118</v>
      </c>
      <c r="O14" s="238"/>
      <c r="P14" s="235">
        <v>115</v>
      </c>
      <c r="Q14" s="239"/>
      <c r="R14" s="235">
        <f>36+59</f>
        <v>95</v>
      </c>
      <c r="S14" s="239"/>
      <c r="T14" s="235">
        <v>103</v>
      </c>
      <c r="U14" s="240"/>
      <c r="W14" s="449">
        <f t="shared" ref="W14:W20" si="0">AVERAGE(N14,L14,R14,T14,P14)</f>
        <v>104.6</v>
      </c>
      <c r="X14" s="477"/>
    </row>
    <row r="15" spans="1:24" s="33" customFormat="1" ht="15" customHeight="1" thickBot="1" x14ac:dyDescent="0.25">
      <c r="A15" s="241" t="s">
        <v>87</v>
      </c>
      <c r="B15" s="242">
        <f t="shared" ref="B15:R15" si="1">SUM(B13:B14)</f>
        <v>87</v>
      </c>
      <c r="C15" s="243">
        <v>29</v>
      </c>
      <c r="D15" s="242">
        <f t="shared" si="1"/>
        <v>103</v>
      </c>
      <c r="E15" s="243">
        <v>25</v>
      </c>
      <c r="F15" s="242">
        <f t="shared" si="1"/>
        <v>125</v>
      </c>
      <c r="G15" s="243">
        <v>23</v>
      </c>
      <c r="H15" s="242">
        <f t="shared" si="1"/>
        <v>144</v>
      </c>
      <c r="I15" s="243">
        <v>30</v>
      </c>
      <c r="J15" s="242">
        <f t="shared" si="1"/>
        <v>165</v>
      </c>
      <c r="K15" s="243">
        <v>41</v>
      </c>
      <c r="L15" s="242">
        <f t="shared" si="1"/>
        <v>171</v>
      </c>
      <c r="M15" s="243">
        <v>35</v>
      </c>
      <c r="N15" s="242">
        <f t="shared" si="1"/>
        <v>185</v>
      </c>
      <c r="O15" s="243">
        <v>39</v>
      </c>
      <c r="P15" s="242">
        <f t="shared" si="1"/>
        <v>192</v>
      </c>
      <c r="Q15" s="243">
        <v>52</v>
      </c>
      <c r="R15" s="242">
        <f t="shared" si="1"/>
        <v>184</v>
      </c>
      <c r="S15" s="1242">
        <v>42</v>
      </c>
      <c r="T15" s="1243">
        <v>177</v>
      </c>
      <c r="U15" s="1191">
        <f t="shared" ref="U15" si="2">SUM(U13:U14)</f>
        <v>0</v>
      </c>
      <c r="W15" s="831">
        <f t="shared" si="0"/>
        <v>181.8</v>
      </c>
      <c r="X15" s="960">
        <f>AVERAGE(O15,M15,S15,K15,Q15)</f>
        <v>41.8</v>
      </c>
    </row>
    <row r="16" spans="1:24" s="33" customFormat="1" ht="15" customHeight="1" x14ac:dyDescent="0.2">
      <c r="A16" s="156" t="s">
        <v>126</v>
      </c>
      <c r="B16" s="260">
        <v>26</v>
      </c>
      <c r="C16" s="287">
        <v>0</v>
      </c>
      <c r="D16" s="260">
        <v>22</v>
      </c>
      <c r="E16" s="287">
        <v>9</v>
      </c>
      <c r="F16" s="263">
        <v>20</v>
      </c>
      <c r="G16" s="287">
        <v>9</v>
      </c>
      <c r="H16" s="263">
        <v>26</v>
      </c>
      <c r="I16" s="287">
        <v>13</v>
      </c>
      <c r="J16" s="263">
        <v>28</v>
      </c>
      <c r="K16" s="287">
        <v>15</v>
      </c>
      <c r="L16" s="263">
        <v>32</v>
      </c>
      <c r="M16" s="287">
        <v>16</v>
      </c>
      <c r="N16" s="263">
        <v>32</v>
      </c>
      <c r="O16" s="287">
        <v>19</v>
      </c>
      <c r="P16" s="263">
        <v>48</v>
      </c>
      <c r="Q16" s="287">
        <v>28</v>
      </c>
      <c r="R16" s="263">
        <v>53</v>
      </c>
      <c r="S16" s="287">
        <v>26</v>
      </c>
      <c r="T16" s="533">
        <v>60</v>
      </c>
      <c r="U16" s="1192"/>
      <c r="W16" s="450">
        <f t="shared" si="0"/>
        <v>45</v>
      </c>
      <c r="X16" s="451">
        <f t="shared" ref="X16:X20" si="3">AVERAGE(O16,M16,S16,K16,Q16)</f>
        <v>20.8</v>
      </c>
    </row>
    <row r="17" spans="1:26" s="33" customFormat="1" ht="15" customHeight="1" x14ac:dyDescent="0.2">
      <c r="A17" s="156" t="s">
        <v>88</v>
      </c>
      <c r="B17" s="285">
        <v>35</v>
      </c>
      <c r="C17" s="288">
        <v>7</v>
      </c>
      <c r="D17" s="285">
        <v>42</v>
      </c>
      <c r="E17" s="288">
        <v>13</v>
      </c>
      <c r="F17" s="286">
        <v>42</v>
      </c>
      <c r="G17" s="288">
        <v>17</v>
      </c>
      <c r="H17" s="286">
        <v>36</v>
      </c>
      <c r="I17" s="288">
        <v>8</v>
      </c>
      <c r="J17" s="286">
        <v>32</v>
      </c>
      <c r="K17" s="288">
        <v>15</v>
      </c>
      <c r="L17" s="286">
        <v>36</v>
      </c>
      <c r="M17" s="288">
        <v>8</v>
      </c>
      <c r="N17" s="286">
        <v>35</v>
      </c>
      <c r="O17" s="288">
        <v>9</v>
      </c>
      <c r="P17" s="286">
        <v>41</v>
      </c>
      <c r="Q17" s="288">
        <v>11</v>
      </c>
      <c r="R17" s="286">
        <v>41</v>
      </c>
      <c r="S17" s="288">
        <v>15</v>
      </c>
      <c r="T17" s="534">
        <v>34</v>
      </c>
      <c r="U17" s="1193"/>
      <c r="W17" s="222">
        <f t="shared" si="0"/>
        <v>37.4</v>
      </c>
      <c r="X17" s="233">
        <f t="shared" si="3"/>
        <v>11.6</v>
      </c>
    </row>
    <row r="18" spans="1:26" s="33" customFormat="1" ht="15" customHeight="1" x14ac:dyDescent="0.2">
      <c r="A18" s="156" t="s">
        <v>131</v>
      </c>
      <c r="B18" s="285">
        <v>19</v>
      </c>
      <c r="C18" s="288">
        <v>3</v>
      </c>
      <c r="D18" s="285">
        <v>20</v>
      </c>
      <c r="E18" s="288">
        <v>5</v>
      </c>
      <c r="F18" s="286">
        <v>24</v>
      </c>
      <c r="G18" s="288">
        <v>4</v>
      </c>
      <c r="H18" s="286">
        <v>30</v>
      </c>
      <c r="I18" s="288">
        <v>4</v>
      </c>
      <c r="J18" s="286">
        <v>40</v>
      </c>
      <c r="K18" s="288">
        <v>1</v>
      </c>
      <c r="L18" s="286">
        <v>43</v>
      </c>
      <c r="M18" s="288">
        <v>10</v>
      </c>
      <c r="N18" s="286">
        <v>43</v>
      </c>
      <c r="O18" s="288">
        <v>9</v>
      </c>
      <c r="P18" s="286">
        <v>43</v>
      </c>
      <c r="Q18" s="288">
        <v>7</v>
      </c>
      <c r="R18" s="286">
        <v>46</v>
      </c>
      <c r="S18" s="288">
        <v>6</v>
      </c>
      <c r="T18" s="534">
        <v>47</v>
      </c>
      <c r="U18" s="1193"/>
      <c r="W18" s="222">
        <f t="shared" si="0"/>
        <v>44.4</v>
      </c>
      <c r="X18" s="233">
        <f t="shared" si="3"/>
        <v>6.6</v>
      </c>
    </row>
    <row r="19" spans="1:26" s="33" customFormat="1" ht="15" customHeight="1" x14ac:dyDescent="0.2">
      <c r="A19" s="257" t="s">
        <v>132</v>
      </c>
      <c r="B19" s="337"/>
      <c r="C19" s="968"/>
      <c r="D19" s="337"/>
      <c r="E19" s="968"/>
      <c r="F19" s="338"/>
      <c r="G19" s="968"/>
      <c r="H19" s="338"/>
      <c r="I19" s="968"/>
      <c r="J19" s="338"/>
      <c r="K19" s="968"/>
      <c r="L19" s="338"/>
      <c r="M19" s="968"/>
      <c r="N19" s="338"/>
      <c r="O19" s="968"/>
      <c r="P19" s="338"/>
      <c r="Q19" s="968"/>
      <c r="R19" s="338"/>
      <c r="S19" s="968"/>
      <c r="T19" s="969"/>
      <c r="U19" s="1194"/>
      <c r="V19" s="970"/>
      <c r="W19" s="478"/>
      <c r="X19" s="592"/>
    </row>
    <row r="20" spans="1:26" s="232" customFormat="1" ht="15" customHeight="1" thickBot="1" x14ac:dyDescent="0.25">
      <c r="A20" s="137" t="s">
        <v>133</v>
      </c>
      <c r="B20" s="289"/>
      <c r="C20" s="290"/>
      <c r="D20" s="289"/>
      <c r="E20" s="290"/>
      <c r="F20" s="291"/>
      <c r="G20" s="290"/>
      <c r="H20" s="291"/>
      <c r="I20" s="290"/>
      <c r="J20" s="291"/>
      <c r="K20" s="292"/>
      <c r="L20" s="293">
        <v>0</v>
      </c>
      <c r="M20" s="270">
        <v>0</v>
      </c>
      <c r="N20" s="293">
        <v>2</v>
      </c>
      <c r="O20" s="270">
        <v>1</v>
      </c>
      <c r="P20" s="293">
        <v>1</v>
      </c>
      <c r="Q20" s="270">
        <v>1</v>
      </c>
      <c r="R20" s="293">
        <v>0</v>
      </c>
      <c r="S20" s="270">
        <v>0</v>
      </c>
      <c r="T20" s="294">
        <v>1</v>
      </c>
      <c r="U20" s="1195"/>
      <c r="W20" s="479">
        <f t="shared" si="0"/>
        <v>0.8</v>
      </c>
      <c r="X20" s="480">
        <f t="shared" si="3"/>
        <v>0.5</v>
      </c>
    </row>
    <row r="21" spans="1:26" ht="18.75" customHeight="1" thickTop="1" thickBot="1" x14ac:dyDescent="0.25">
      <c r="A21" s="32" t="s">
        <v>92</v>
      </c>
      <c r="B21" s="1307"/>
      <c r="C21" s="1308"/>
      <c r="D21" s="1307"/>
      <c r="E21" s="1308"/>
      <c r="F21" s="1307"/>
      <c r="G21" s="1308"/>
      <c r="H21" s="1307"/>
      <c r="I21" s="1308"/>
      <c r="J21" s="1307"/>
      <c r="K21" s="1308"/>
      <c r="L21" s="1307"/>
      <c r="M21" s="1308"/>
      <c r="N21" s="1307"/>
      <c r="O21" s="1308"/>
      <c r="P21" s="1307"/>
      <c r="Q21" s="1308"/>
      <c r="R21" s="1307"/>
      <c r="S21" s="1308"/>
      <c r="T21" s="1307"/>
      <c r="U21" s="1310"/>
      <c r="W21" s="1302"/>
      <c r="X21" s="1303"/>
    </row>
    <row r="22" spans="1:26" ht="15" customHeight="1" x14ac:dyDescent="0.2">
      <c r="A22" s="1078" t="s">
        <v>93</v>
      </c>
      <c r="B22" s="244"/>
      <c r="C22" s="272"/>
      <c r="D22" s="273"/>
      <c r="E22" s="272"/>
      <c r="F22" s="273"/>
      <c r="G22" s="272"/>
      <c r="H22" s="273"/>
      <c r="I22" s="272"/>
      <c r="J22" s="273"/>
      <c r="K22" s="272"/>
      <c r="L22" s="273"/>
      <c r="M22" s="272"/>
      <c r="N22" s="273"/>
      <c r="O22" s="272"/>
      <c r="P22" s="273"/>
      <c r="Q22" s="272"/>
      <c r="R22" s="273"/>
      <c r="S22" s="272"/>
      <c r="T22" s="273"/>
      <c r="U22" s="274"/>
      <c r="V22" s="275"/>
      <c r="W22" s="963"/>
      <c r="X22" s="961" t="e">
        <f>AVERAGE(O22,M22,I22,K22,Q22)</f>
        <v>#DIV/0!</v>
      </c>
    </row>
    <row r="23" spans="1:26" ht="15" customHeight="1" x14ac:dyDescent="0.2">
      <c r="A23" s="679" t="s">
        <v>94</v>
      </c>
      <c r="B23" s="245"/>
      <c r="C23" s="525">
        <v>0.61</v>
      </c>
      <c r="D23" s="245"/>
      <c r="E23" s="525">
        <v>0.86</v>
      </c>
      <c r="F23" s="245"/>
      <c r="G23" s="1286">
        <v>0.61</v>
      </c>
      <c r="H23" s="245"/>
      <c r="I23" s="1286">
        <v>0.7</v>
      </c>
      <c r="J23" s="245"/>
      <c r="K23" s="1286">
        <v>0.7</v>
      </c>
      <c r="L23" s="245"/>
      <c r="M23" s="1286">
        <v>0.7</v>
      </c>
      <c r="N23" s="245"/>
      <c r="O23" s="1286">
        <v>0.69</v>
      </c>
      <c r="P23" s="276"/>
      <c r="Q23" s="277">
        <v>0.85</v>
      </c>
      <c r="R23" s="276"/>
      <c r="S23" s="277">
        <v>0.75</v>
      </c>
      <c r="T23" s="276"/>
      <c r="U23" s="1244"/>
      <c r="V23" s="275"/>
      <c r="W23" s="964"/>
      <c r="X23" s="961">
        <f>AVERAGE(O23,M23,S23,K23,Q23)</f>
        <v>0.73799999999999999</v>
      </c>
    </row>
    <row r="24" spans="1:26" ht="15" customHeight="1" x14ac:dyDescent="0.2">
      <c r="A24" s="680" t="s">
        <v>95</v>
      </c>
      <c r="B24" s="245"/>
      <c r="C24" s="525">
        <v>0.39</v>
      </c>
      <c r="D24" s="245"/>
      <c r="E24" s="525">
        <v>0.13</v>
      </c>
      <c r="F24" s="245"/>
      <c r="G24" s="1286">
        <v>0.3</v>
      </c>
      <c r="H24" s="245"/>
      <c r="I24" s="1286">
        <v>0.22</v>
      </c>
      <c r="J24" s="245"/>
      <c r="K24" s="1286">
        <v>0.3</v>
      </c>
      <c r="L24" s="245"/>
      <c r="M24" s="1286">
        <v>0.27</v>
      </c>
      <c r="N24" s="245"/>
      <c r="O24" s="1286">
        <v>0.26</v>
      </c>
      <c r="P24" s="278"/>
      <c r="Q24" s="279">
        <v>0.1</v>
      </c>
      <c r="R24" s="278"/>
      <c r="S24" s="279">
        <v>0.25</v>
      </c>
      <c r="T24" s="278"/>
      <c r="U24" s="1245"/>
      <c r="V24" s="275"/>
      <c r="W24" s="964"/>
      <c r="X24" s="961">
        <f>AVERAGE(O24,M24,S24,K24,Q24)</f>
        <v>0.23600000000000004</v>
      </c>
    </row>
    <row r="25" spans="1:26" ht="15" customHeight="1" thickBot="1" x14ac:dyDescent="0.25">
      <c r="A25" s="681" t="s">
        <v>96</v>
      </c>
      <c r="B25" s="246"/>
      <c r="C25" s="247"/>
      <c r="D25" s="246"/>
      <c r="E25" s="247"/>
      <c r="F25" s="246"/>
      <c r="G25" s="247"/>
      <c r="H25" s="246"/>
      <c r="I25" s="247"/>
      <c r="J25" s="246"/>
      <c r="K25" s="247"/>
      <c r="L25" s="246"/>
      <c r="M25" s="247"/>
      <c r="N25" s="246"/>
      <c r="O25" s="247"/>
      <c r="P25" s="246"/>
      <c r="Q25" s="247"/>
      <c r="R25" s="246"/>
      <c r="S25" s="247"/>
      <c r="T25" s="246"/>
      <c r="U25" s="248"/>
      <c r="W25" s="965"/>
      <c r="X25" s="962" t="e">
        <f t="shared" ref="X25" si="4">AVERAGE(O25,M25,I25,K25,Q25)</f>
        <v>#DIV/0!</v>
      </c>
    </row>
    <row r="26" spans="1:26" ht="18.75" customHeight="1" thickTop="1" thickBot="1" x14ac:dyDescent="0.25">
      <c r="A26" s="399" t="s">
        <v>39</v>
      </c>
      <c r="B26" s="1322"/>
      <c r="C26" s="1323"/>
      <c r="D26" s="1322"/>
      <c r="E26" s="1323"/>
      <c r="F26" s="1322"/>
      <c r="G26" s="1323"/>
      <c r="H26" s="1322"/>
      <c r="I26" s="1323"/>
      <c r="J26" s="1322"/>
      <c r="K26" s="1323"/>
      <c r="L26" s="1322"/>
      <c r="M26" s="1323"/>
      <c r="N26" s="1322"/>
      <c r="O26" s="1323"/>
      <c r="P26" s="1322"/>
      <c r="Q26" s="1323"/>
      <c r="R26" s="1322"/>
      <c r="S26" s="1323"/>
      <c r="T26" s="1322"/>
      <c r="U26" s="1299"/>
      <c r="V26" s="372"/>
      <c r="W26" s="1298"/>
      <c r="X26" s="1299"/>
    </row>
    <row r="27" spans="1:26" ht="15" customHeight="1" thickBot="1" x14ac:dyDescent="0.25">
      <c r="A27" s="936" t="s">
        <v>134</v>
      </c>
      <c r="B27" s="400"/>
      <c r="C27" s="401">
        <v>24.3</v>
      </c>
      <c r="D27" s="400"/>
      <c r="E27" s="401">
        <v>24.2</v>
      </c>
      <c r="F27" s="400"/>
      <c r="G27" s="1247">
        <v>23.2</v>
      </c>
      <c r="H27" s="400"/>
      <c r="I27" s="1247">
        <v>22.4</v>
      </c>
      <c r="J27" s="400"/>
      <c r="K27" s="1247">
        <v>23.1</v>
      </c>
      <c r="L27" s="400"/>
      <c r="M27" s="1247">
        <v>24.2</v>
      </c>
      <c r="N27" s="400"/>
      <c r="O27" s="1247">
        <v>24.2</v>
      </c>
      <c r="P27" s="400"/>
      <c r="Q27" s="1247">
        <v>24.2</v>
      </c>
      <c r="R27" s="400"/>
      <c r="S27" s="1247">
        <v>24.1</v>
      </c>
      <c r="T27" s="400"/>
      <c r="U27" s="1248">
        <v>23.2</v>
      </c>
      <c r="V27" s="372"/>
      <c r="W27" s="402"/>
      <c r="X27" s="1246">
        <f>AVERAGE(O27,M27,S27,U27,Q27)</f>
        <v>23.98</v>
      </c>
    </row>
    <row r="28" spans="1:26" ht="15" customHeight="1" thickTop="1" thickBot="1" x14ac:dyDescent="0.25">
      <c r="A28" s="415" t="s">
        <v>17</v>
      </c>
      <c r="B28" s="1322"/>
      <c r="C28" s="1323"/>
      <c r="D28" s="1322"/>
      <c r="E28" s="1323"/>
      <c r="F28" s="1322"/>
      <c r="G28" s="1323"/>
      <c r="H28" s="1322"/>
      <c r="I28" s="1323"/>
      <c r="J28" s="1322"/>
      <c r="K28" s="1323"/>
      <c r="L28" s="1322"/>
      <c r="M28" s="1323"/>
      <c r="N28" s="1322"/>
      <c r="O28" s="1323"/>
      <c r="P28" s="1322"/>
      <c r="Q28" s="1323"/>
      <c r="R28" s="1322"/>
      <c r="S28" s="1323"/>
      <c r="T28" s="1322"/>
      <c r="U28" s="1299"/>
      <c r="V28" s="372"/>
      <c r="W28" s="1298"/>
      <c r="X28" s="1299"/>
    </row>
    <row r="29" spans="1:26" ht="15" customHeight="1" x14ac:dyDescent="0.2">
      <c r="A29" s="578" t="s">
        <v>18</v>
      </c>
      <c r="B29" s="416"/>
      <c r="C29" s="343">
        <v>424</v>
      </c>
      <c r="D29" s="417"/>
      <c r="E29" s="418">
        <v>572</v>
      </c>
      <c r="F29" s="417"/>
      <c r="G29" s="418">
        <v>620</v>
      </c>
      <c r="H29" s="416"/>
      <c r="I29" s="418">
        <v>636</v>
      </c>
      <c r="J29" s="416"/>
      <c r="K29" s="418">
        <v>760</v>
      </c>
      <c r="L29" s="416"/>
      <c r="M29" s="418">
        <v>760</v>
      </c>
      <c r="N29" s="416"/>
      <c r="O29" s="418">
        <v>764</v>
      </c>
      <c r="P29" s="416"/>
      <c r="Q29" s="418">
        <v>883</v>
      </c>
      <c r="R29" s="416"/>
      <c r="S29" s="418">
        <v>873</v>
      </c>
      <c r="T29" s="416"/>
      <c r="U29" s="19">
        <v>921</v>
      </c>
      <c r="V29" s="372"/>
      <c r="W29" s="420"/>
      <c r="X29" s="421">
        <f>AVERAGE(O29,M29,S29,K29,Q29)</f>
        <v>808</v>
      </c>
    </row>
    <row r="30" spans="1:26" ht="15" customHeight="1" x14ac:dyDescent="0.2">
      <c r="A30" s="578" t="s">
        <v>19</v>
      </c>
      <c r="B30" s="416"/>
      <c r="C30" s="343">
        <v>1816</v>
      </c>
      <c r="D30" s="417"/>
      <c r="E30" s="418">
        <v>1875</v>
      </c>
      <c r="F30" s="417"/>
      <c r="G30" s="418">
        <v>2347</v>
      </c>
      <c r="H30" s="416"/>
      <c r="I30" s="418">
        <v>2434</v>
      </c>
      <c r="J30" s="416"/>
      <c r="K30" s="418">
        <v>2627</v>
      </c>
      <c r="L30" s="416"/>
      <c r="M30" s="418">
        <v>2899</v>
      </c>
      <c r="N30" s="416"/>
      <c r="O30" s="418">
        <v>3043</v>
      </c>
      <c r="P30" s="416"/>
      <c r="Q30" s="418">
        <v>3339</v>
      </c>
      <c r="R30" s="416"/>
      <c r="S30" s="418">
        <v>3168</v>
      </c>
      <c r="T30" s="416"/>
      <c r="U30" s="19">
        <v>3118</v>
      </c>
      <c r="V30" s="372"/>
      <c r="W30" s="422"/>
      <c r="X30" s="421">
        <f t="shared" ref="X30:X33" si="5">AVERAGE(O30,M30,S30,K30,Q30)</f>
        <v>3015.2</v>
      </c>
      <c r="Z30" t="s">
        <v>16</v>
      </c>
    </row>
    <row r="31" spans="1:26" ht="15" customHeight="1" x14ac:dyDescent="0.2">
      <c r="A31" s="578" t="s">
        <v>20</v>
      </c>
      <c r="B31" s="416"/>
      <c r="C31" s="343">
        <v>280</v>
      </c>
      <c r="D31" s="417"/>
      <c r="E31" s="418">
        <v>343</v>
      </c>
      <c r="F31" s="417"/>
      <c r="G31" s="418">
        <v>384</v>
      </c>
      <c r="H31" s="416"/>
      <c r="I31" s="418">
        <v>505</v>
      </c>
      <c r="J31" s="416"/>
      <c r="K31" s="418">
        <v>460</v>
      </c>
      <c r="L31" s="416"/>
      <c r="M31" s="418">
        <v>453</v>
      </c>
      <c r="N31" s="416"/>
      <c r="O31" s="418">
        <v>500</v>
      </c>
      <c r="P31" s="416"/>
      <c r="Q31" s="418">
        <v>529</v>
      </c>
      <c r="R31" s="416"/>
      <c r="S31" s="418">
        <v>470</v>
      </c>
      <c r="T31" s="416"/>
      <c r="U31" s="19">
        <v>529</v>
      </c>
      <c r="V31" s="372"/>
      <c r="W31" s="422"/>
      <c r="X31" s="421">
        <f t="shared" si="5"/>
        <v>482.4</v>
      </c>
    </row>
    <row r="32" spans="1:26" ht="15" customHeight="1" thickBot="1" x14ac:dyDescent="0.25">
      <c r="A32" s="834" t="s">
        <v>21</v>
      </c>
      <c r="B32" s="252"/>
      <c r="C32" s="423">
        <v>272</v>
      </c>
      <c r="D32" s="417"/>
      <c r="E32" s="424">
        <v>201</v>
      </c>
      <c r="F32" s="417"/>
      <c r="G32" s="424">
        <v>286</v>
      </c>
      <c r="H32" s="416"/>
      <c r="I32" s="424">
        <v>262</v>
      </c>
      <c r="J32" s="416"/>
      <c r="K32" s="424">
        <v>400</v>
      </c>
      <c r="L32" s="416"/>
      <c r="M32" s="424">
        <v>475</v>
      </c>
      <c r="N32" s="416"/>
      <c r="O32" s="424">
        <v>510</v>
      </c>
      <c r="P32" s="416"/>
      <c r="Q32" s="424">
        <v>543</v>
      </c>
      <c r="R32" s="416"/>
      <c r="S32" s="424">
        <v>555</v>
      </c>
      <c r="T32" s="252"/>
      <c r="U32" s="46">
        <v>480</v>
      </c>
      <c r="V32" s="372"/>
      <c r="W32" s="431"/>
      <c r="X32" s="501">
        <f t="shared" si="5"/>
        <v>496.6</v>
      </c>
    </row>
    <row r="33" spans="1:27" ht="15" customHeight="1" thickBot="1" x14ac:dyDescent="0.25">
      <c r="A33" s="835" t="s">
        <v>22</v>
      </c>
      <c r="B33" s="426"/>
      <c r="C33" s="427">
        <f>SUM(C29:C32)</f>
        <v>2792</v>
      </c>
      <c r="D33" s="428"/>
      <c r="E33" s="429">
        <f>SUM(E29:E32)</f>
        <v>2991</v>
      </c>
      <c r="F33" s="426"/>
      <c r="G33" s="429">
        <f>SUM(G29:G32)</f>
        <v>3637</v>
      </c>
      <c r="H33" s="426"/>
      <c r="I33" s="429">
        <f>SUM(I29:I32)</f>
        <v>3837</v>
      </c>
      <c r="J33" s="426"/>
      <c r="K33" s="429">
        <f>SUM(K29:K32)</f>
        <v>4247</v>
      </c>
      <c r="L33" s="426"/>
      <c r="M33" s="429">
        <f>SUM(M29:M32)</f>
        <v>4587</v>
      </c>
      <c r="N33" s="426"/>
      <c r="O33" s="429">
        <f>SUM(O29:O32)</f>
        <v>4817</v>
      </c>
      <c r="P33" s="426"/>
      <c r="Q33" s="429">
        <f>SUM(Q29:Q32)</f>
        <v>5294</v>
      </c>
      <c r="R33" s="426"/>
      <c r="S33" s="429">
        <f>SUM(S29:S32)</f>
        <v>5066</v>
      </c>
      <c r="T33" s="426"/>
      <c r="U33" s="51">
        <f>SUM(U29:U32)</f>
        <v>5048</v>
      </c>
      <c r="V33" s="372"/>
      <c r="W33" s="502"/>
      <c r="X33" s="430">
        <f t="shared" si="5"/>
        <v>4802.2</v>
      </c>
    </row>
    <row r="34" spans="1:27" ht="15" customHeight="1" thickTop="1" thickBot="1" x14ac:dyDescent="0.25">
      <c r="A34" s="432"/>
      <c r="B34" s="433"/>
      <c r="C34" s="434"/>
      <c r="D34" s="433"/>
      <c r="E34" s="434"/>
      <c r="F34" s="433"/>
      <c r="G34" s="434"/>
      <c r="H34" s="433"/>
      <c r="I34" s="434"/>
      <c r="J34" s="433"/>
      <c r="K34" s="434"/>
      <c r="L34" s="433"/>
      <c r="M34" s="434"/>
      <c r="N34" s="433"/>
      <c r="O34" s="434"/>
      <c r="P34" s="433"/>
      <c r="Q34" s="434"/>
      <c r="R34" s="433" t="s">
        <v>16</v>
      </c>
      <c r="S34" s="434"/>
      <c r="T34" s="433" t="s">
        <v>16</v>
      </c>
      <c r="U34" s="434"/>
      <c r="V34" s="435"/>
      <c r="W34" s="436"/>
      <c r="X34" s="434"/>
    </row>
    <row r="35" spans="1:27" ht="18.75" customHeight="1" thickTop="1" thickBot="1" x14ac:dyDescent="0.25">
      <c r="A35" s="352" t="s">
        <v>23</v>
      </c>
      <c r="B35" s="1296" t="s">
        <v>24</v>
      </c>
      <c r="C35" s="1301"/>
      <c r="D35" s="1296" t="s">
        <v>25</v>
      </c>
      <c r="E35" s="1297"/>
      <c r="F35" s="1296" t="s">
        <v>26</v>
      </c>
      <c r="G35" s="1297"/>
      <c r="H35" s="1296" t="s">
        <v>27</v>
      </c>
      <c r="I35" s="1297"/>
      <c r="J35" s="1296" t="s">
        <v>28</v>
      </c>
      <c r="K35" s="1297"/>
      <c r="L35" s="1296" t="s">
        <v>29</v>
      </c>
      <c r="M35" s="1297"/>
      <c r="N35" s="1296" t="s">
        <v>30</v>
      </c>
      <c r="O35" s="1297"/>
      <c r="P35" s="1296" t="s">
        <v>31</v>
      </c>
      <c r="Q35" s="1297"/>
      <c r="R35" s="1296" t="s">
        <v>32</v>
      </c>
      <c r="S35" s="1297"/>
      <c r="T35" s="1296" t="s">
        <v>255</v>
      </c>
      <c r="U35" s="1300"/>
      <c r="V35" s="353"/>
      <c r="W35" s="1298" t="s">
        <v>9</v>
      </c>
      <c r="X35" s="1299"/>
      <c r="Y35" s="23"/>
      <c r="Z35" s="23"/>
      <c r="AA35" s="24"/>
    </row>
    <row r="36" spans="1:27" ht="15" customHeight="1" x14ac:dyDescent="0.2">
      <c r="A36" s="937" t="s">
        <v>221</v>
      </c>
      <c r="B36" s="355"/>
      <c r="C36" s="356">
        <v>0.28599999999999998</v>
      </c>
      <c r="D36" s="357"/>
      <c r="E36" s="358">
        <v>0.31</v>
      </c>
      <c r="F36" s="359"/>
      <c r="G36" s="358">
        <v>0.34599999999999997</v>
      </c>
      <c r="H36" s="359"/>
      <c r="I36" s="358">
        <v>0.35899999999999999</v>
      </c>
      <c r="J36" s="359"/>
      <c r="K36" s="358">
        <v>0.35199999999999998</v>
      </c>
      <c r="L36" s="359"/>
      <c r="M36" s="358">
        <v>0.36699999999999999</v>
      </c>
      <c r="N36" s="359"/>
      <c r="O36" s="358">
        <v>0.36499999999999999</v>
      </c>
      <c r="P36" s="359"/>
      <c r="Q36" s="358">
        <v>0.36599999999999999</v>
      </c>
      <c r="R36" s="359"/>
      <c r="S36" s="358">
        <v>0.34300000000000003</v>
      </c>
      <c r="T36" s="359"/>
      <c r="U36" s="360">
        <v>0.34899999999999998</v>
      </c>
      <c r="V36" s="361"/>
      <c r="W36" s="362"/>
      <c r="X36" s="363">
        <f>AVERAGE(O36,M36,S36,U36,Q36)</f>
        <v>0.35799999999999998</v>
      </c>
      <c r="Y36" s="23"/>
      <c r="Z36" s="23"/>
      <c r="AA36" s="24"/>
    </row>
    <row r="37" spans="1:27" ht="15" customHeight="1" x14ac:dyDescent="0.2">
      <c r="A37" s="938" t="s">
        <v>222</v>
      </c>
      <c r="B37" s="365"/>
      <c r="C37" s="366">
        <v>0.13800000000000001</v>
      </c>
      <c r="D37" s="365"/>
      <c r="E37" s="366">
        <v>0.151</v>
      </c>
      <c r="F37" s="367"/>
      <c r="G37" s="366">
        <v>0.13900000000000001</v>
      </c>
      <c r="H37" s="367"/>
      <c r="I37" s="366">
        <v>0.14099999999999999</v>
      </c>
      <c r="J37" s="367"/>
      <c r="K37" s="366">
        <v>0.155</v>
      </c>
      <c r="L37" s="367"/>
      <c r="M37" s="366">
        <v>0.13700000000000001</v>
      </c>
      <c r="N37" s="367"/>
      <c r="O37" s="366">
        <v>0.13700000000000001</v>
      </c>
      <c r="P37" s="367"/>
      <c r="Q37" s="366">
        <v>0.121</v>
      </c>
      <c r="R37" s="367"/>
      <c r="S37" s="366">
        <v>0.15</v>
      </c>
      <c r="T37" s="367"/>
      <c r="U37" s="368">
        <v>0.14399999999999999</v>
      </c>
      <c r="V37" s="361"/>
      <c r="W37" s="369"/>
      <c r="X37" s="370">
        <f>AVERAGE(O37,M37,S37,U37,Q37)</f>
        <v>0.13780000000000001</v>
      </c>
      <c r="Y37" s="23"/>
      <c r="Z37" s="23"/>
      <c r="AA37" s="24"/>
    </row>
    <row r="38" spans="1:27" ht="15" customHeight="1" thickBot="1" x14ac:dyDescent="0.25">
      <c r="A38" s="889" t="s">
        <v>217</v>
      </c>
      <c r="B38" s="1320">
        <f>1-C36-C37</f>
        <v>0.57599999999999996</v>
      </c>
      <c r="C38" s="1321"/>
      <c r="D38" s="1320">
        <f>1-E36-E37</f>
        <v>0.53899999999999992</v>
      </c>
      <c r="E38" s="1321"/>
      <c r="F38" s="1320">
        <f>1-G36-G37</f>
        <v>0.51500000000000001</v>
      </c>
      <c r="G38" s="1321"/>
      <c r="H38" s="1320">
        <f>1-I36-I37</f>
        <v>0.5</v>
      </c>
      <c r="I38" s="1321"/>
      <c r="J38" s="1320">
        <f>1-K36-K37</f>
        <v>0.49299999999999999</v>
      </c>
      <c r="K38" s="1321"/>
      <c r="L38" s="1320">
        <f>1-M36-M37</f>
        <v>0.496</v>
      </c>
      <c r="M38" s="1321"/>
      <c r="N38" s="1320">
        <f>1-O36-O37</f>
        <v>0.498</v>
      </c>
      <c r="O38" s="1321"/>
      <c r="P38" s="1320">
        <f>1-Q36-Q37</f>
        <v>0.51300000000000001</v>
      </c>
      <c r="Q38" s="1321"/>
      <c r="R38" s="1320">
        <f>1-S36-S37</f>
        <v>0.50700000000000001</v>
      </c>
      <c r="S38" s="1321"/>
      <c r="T38" s="1320">
        <f>1-U36-U37</f>
        <v>0.50700000000000001</v>
      </c>
      <c r="U38" s="1324"/>
      <c r="V38" s="361"/>
      <c r="W38" s="1325">
        <f>1-X36-X37</f>
        <v>0.50419999999999998</v>
      </c>
      <c r="X38" s="1324"/>
      <c r="Y38" s="25"/>
      <c r="Z38" s="23"/>
      <c r="AA38" s="24"/>
    </row>
    <row r="39" spans="1:27" s="2" customFormat="1" ht="18.75" customHeight="1" thickTop="1" thickBot="1" x14ac:dyDescent="0.25">
      <c r="A39" s="319" t="s">
        <v>37</v>
      </c>
      <c r="B39" s="846" t="s">
        <v>36</v>
      </c>
      <c r="C39" s="845" t="s">
        <v>38</v>
      </c>
      <c r="D39" s="846" t="s">
        <v>36</v>
      </c>
      <c r="E39" s="845" t="s">
        <v>38</v>
      </c>
      <c r="F39" s="846" t="s">
        <v>36</v>
      </c>
      <c r="G39" s="845" t="s">
        <v>38</v>
      </c>
      <c r="H39" s="846" t="s">
        <v>36</v>
      </c>
      <c r="I39" s="845" t="s">
        <v>38</v>
      </c>
      <c r="J39" s="846" t="s">
        <v>36</v>
      </c>
      <c r="K39" s="845" t="s">
        <v>38</v>
      </c>
      <c r="L39" s="846" t="s">
        <v>36</v>
      </c>
      <c r="M39" s="845" t="s">
        <v>38</v>
      </c>
      <c r="N39" s="846" t="s">
        <v>36</v>
      </c>
      <c r="O39" s="845" t="s">
        <v>38</v>
      </c>
      <c r="P39" s="846" t="s">
        <v>36</v>
      </c>
      <c r="Q39" s="845" t="s">
        <v>38</v>
      </c>
      <c r="R39" s="846" t="s">
        <v>36</v>
      </c>
      <c r="S39" s="845" t="s">
        <v>38</v>
      </c>
      <c r="T39" s="846" t="s">
        <v>36</v>
      </c>
      <c r="U39" s="847" t="s">
        <v>38</v>
      </c>
      <c r="V39" s="376"/>
      <c r="W39" s="761" t="s">
        <v>36</v>
      </c>
      <c r="X39" s="847" t="s">
        <v>38</v>
      </c>
    </row>
    <row r="40" spans="1:27" ht="15" customHeight="1" x14ac:dyDescent="0.2">
      <c r="A40" s="378" t="s">
        <v>90</v>
      </c>
      <c r="B40" s="379"/>
      <c r="C40" s="380">
        <f>B40/B17</f>
        <v>0</v>
      </c>
      <c r="D40" s="852"/>
      <c r="E40" s="853"/>
      <c r="F40" s="852"/>
      <c r="G40" s="853"/>
      <c r="H40" s="379">
        <v>29</v>
      </c>
      <c r="I40" s="380">
        <f>H40/H17</f>
        <v>0.80555555555555558</v>
      </c>
      <c r="J40" s="379">
        <v>25</v>
      </c>
      <c r="K40" s="380">
        <f>J40/J17</f>
        <v>0.78125</v>
      </c>
      <c r="L40" s="379">
        <v>25</v>
      </c>
      <c r="M40" s="380">
        <f>L40/34</f>
        <v>0.73529411764705888</v>
      </c>
      <c r="N40" s="379">
        <v>27</v>
      </c>
      <c r="O40" s="380">
        <f>N40/N17</f>
        <v>0.77142857142857146</v>
      </c>
      <c r="P40" s="379">
        <v>32</v>
      </c>
      <c r="Q40" s="380">
        <f>P40/P17</f>
        <v>0.78048780487804881</v>
      </c>
      <c r="R40" s="379">
        <v>35</v>
      </c>
      <c r="S40" s="380">
        <f>R40/R17</f>
        <v>0.85365853658536583</v>
      </c>
      <c r="T40" s="379">
        <v>28</v>
      </c>
      <c r="U40" s="381">
        <f>T40/T17</f>
        <v>0.82352941176470584</v>
      </c>
      <c r="V40" s="372"/>
      <c r="W40" s="382">
        <f>AVERAGE(N40,L40,R40,T40,P40)</f>
        <v>29.4</v>
      </c>
      <c r="X40" s="407">
        <f>W40/W17</f>
        <v>0.78609625668449201</v>
      </c>
    </row>
    <row r="41" spans="1:27" ht="15" customHeight="1" thickBot="1" x14ac:dyDescent="0.25">
      <c r="A41" s="383" t="s">
        <v>91</v>
      </c>
      <c r="B41" s="384"/>
      <c r="C41" s="385">
        <f>B41/B18</f>
        <v>0</v>
      </c>
      <c r="D41" s="856"/>
      <c r="E41" s="857"/>
      <c r="F41" s="856"/>
      <c r="G41" s="857"/>
      <c r="H41" s="384">
        <v>26</v>
      </c>
      <c r="I41" s="385">
        <f>H41/H18</f>
        <v>0.8666666666666667</v>
      </c>
      <c r="J41" s="384">
        <v>32</v>
      </c>
      <c r="K41" s="385">
        <f>J41/J18</f>
        <v>0.8</v>
      </c>
      <c r="L41" s="384">
        <v>32</v>
      </c>
      <c r="M41" s="385">
        <f>L41/L18</f>
        <v>0.7441860465116279</v>
      </c>
      <c r="N41" s="384">
        <v>31</v>
      </c>
      <c r="O41" s="385">
        <f>N41/N18</f>
        <v>0.72093023255813948</v>
      </c>
      <c r="P41" s="384">
        <v>31</v>
      </c>
      <c r="Q41" s="385">
        <f>P41/P18</f>
        <v>0.72093023255813948</v>
      </c>
      <c r="R41" s="384">
        <v>34</v>
      </c>
      <c r="S41" s="385">
        <f>R41/R18</f>
        <v>0.73913043478260865</v>
      </c>
      <c r="T41" s="384">
        <v>34</v>
      </c>
      <c r="U41" s="386">
        <f>T41/T18</f>
        <v>0.72340425531914898</v>
      </c>
      <c r="V41" s="372"/>
      <c r="W41" s="387">
        <f>AVERAGE(N41,L41,R41,T41,P41)</f>
        <v>32.4</v>
      </c>
      <c r="X41" s="386">
        <f>W41/W18</f>
        <v>0.72972972972972971</v>
      </c>
    </row>
    <row r="42" spans="1:27" ht="15" customHeight="1" thickTop="1" x14ac:dyDescent="0.2">
      <c r="A42" s="8" t="str">
        <f>'Dean AG'!A64</f>
        <v>Number of Fall Majors includes second majors</v>
      </c>
      <c r="B42" s="10"/>
      <c r="C42" s="11"/>
      <c r="D42" s="10"/>
      <c r="E42" s="11"/>
      <c r="F42" s="10"/>
      <c r="G42" s="11"/>
      <c r="H42" s="10"/>
      <c r="I42" s="11"/>
      <c r="J42" s="10"/>
      <c r="K42" s="11"/>
      <c r="L42" s="10"/>
      <c r="M42" s="11"/>
      <c r="N42" s="10"/>
      <c r="O42" s="11"/>
      <c r="P42" s="10"/>
      <c r="Q42" s="11"/>
      <c r="R42" s="10"/>
      <c r="S42" s="11"/>
      <c r="T42" s="10"/>
      <c r="U42" s="11"/>
      <c r="W42" s="12"/>
      <c r="X42" s="13"/>
    </row>
    <row r="43" spans="1:27" s="556" customFormat="1" ht="15" customHeight="1" thickBot="1" x14ac:dyDescent="0.25">
      <c r="A43" s="432"/>
      <c r="B43" s="433"/>
      <c r="C43" s="549"/>
      <c r="D43" s="433"/>
      <c r="E43" s="549"/>
      <c r="F43" s="433"/>
      <c r="G43" s="549"/>
      <c r="H43" s="433"/>
      <c r="I43" s="549"/>
      <c r="J43" s="433"/>
      <c r="K43" s="549"/>
      <c r="L43" s="433"/>
      <c r="M43" s="549"/>
      <c r="N43" s="433"/>
      <c r="O43" s="549"/>
      <c r="P43" s="433"/>
      <c r="Q43" s="549"/>
      <c r="R43" s="433"/>
      <c r="S43" s="549"/>
      <c r="T43" s="433"/>
      <c r="U43" s="549"/>
      <c r="V43" s="555"/>
      <c r="W43" s="555"/>
      <c r="X43" s="555"/>
    </row>
    <row r="44" spans="1:27" s="1" customFormat="1" ht="18.75" customHeight="1" thickTop="1" thickBot="1" x14ac:dyDescent="0.25">
      <c r="A44" s="943" t="s">
        <v>207</v>
      </c>
      <c r="B44" s="1296" t="s">
        <v>24</v>
      </c>
      <c r="C44" s="1301"/>
      <c r="D44" s="1296" t="s">
        <v>25</v>
      </c>
      <c r="E44" s="1297"/>
      <c r="F44" s="1296" t="s">
        <v>26</v>
      </c>
      <c r="G44" s="1297"/>
      <c r="H44" s="1296" t="s">
        <v>27</v>
      </c>
      <c r="I44" s="1297"/>
      <c r="J44" s="1296" t="s">
        <v>28</v>
      </c>
      <c r="K44" s="1297"/>
      <c r="L44" s="1296" t="s">
        <v>29</v>
      </c>
      <c r="M44" s="1297"/>
      <c r="N44" s="1296" t="s">
        <v>30</v>
      </c>
      <c r="O44" s="1297"/>
      <c r="P44" s="1296" t="s">
        <v>31</v>
      </c>
      <c r="Q44" s="1297"/>
      <c r="R44" s="1296" t="s">
        <v>32</v>
      </c>
      <c r="S44" s="1297"/>
      <c r="T44" s="1296" t="s">
        <v>255</v>
      </c>
      <c r="U44" s="1300"/>
      <c r="V44" s="320"/>
      <c r="W44" s="1298" t="s">
        <v>9</v>
      </c>
      <c r="X44" s="1299"/>
    </row>
    <row r="45" spans="1:27" s="1" customFormat="1" ht="24" x14ac:dyDescent="0.2">
      <c r="A45" s="612" t="s">
        <v>219</v>
      </c>
      <c r="B45" s="582"/>
      <c r="C45" s="585"/>
      <c r="D45" s="582"/>
      <c r="E45" s="583"/>
      <c r="F45" s="582"/>
      <c r="G45" s="583"/>
      <c r="H45" s="582"/>
      <c r="I45" s="583"/>
      <c r="J45" s="582"/>
      <c r="K45" s="583"/>
      <c r="L45" s="582"/>
      <c r="M45" s="583"/>
      <c r="N45" s="582"/>
      <c r="O45" s="583"/>
      <c r="P45" s="582"/>
      <c r="Q45" s="583"/>
      <c r="R45" s="582"/>
      <c r="S45" s="583"/>
      <c r="T45" s="582"/>
      <c r="U45" s="584"/>
      <c r="V45" s="674"/>
      <c r="W45" s="509"/>
      <c r="X45" s="624"/>
    </row>
    <row r="46" spans="1:27" s="1" customFormat="1" ht="24" x14ac:dyDescent="0.2">
      <c r="A46" s="685" t="s">
        <v>195</v>
      </c>
      <c r="B46" s="367"/>
      <c r="C46" s="550">
        <v>4</v>
      </c>
      <c r="D46" s="367"/>
      <c r="E46" s="550">
        <v>5</v>
      </c>
      <c r="F46" s="367"/>
      <c r="G46" s="550">
        <v>6</v>
      </c>
      <c r="H46" s="367"/>
      <c r="I46" s="550">
        <v>5</v>
      </c>
      <c r="J46" s="367"/>
      <c r="K46" s="550">
        <v>6</v>
      </c>
      <c r="L46" s="367"/>
      <c r="M46" s="550">
        <v>6</v>
      </c>
      <c r="N46" s="367"/>
      <c r="O46" s="550">
        <v>26</v>
      </c>
      <c r="P46" s="367"/>
      <c r="Q46" s="550">
        <v>20</v>
      </c>
      <c r="R46" s="367"/>
      <c r="S46" s="550">
        <v>5</v>
      </c>
      <c r="T46" s="551"/>
      <c r="U46" s="441">
        <v>5</v>
      </c>
      <c r="V46" s="320"/>
      <c r="W46" s="362"/>
      <c r="X46" s="421">
        <f>AVERAGE(O46,M46,S46,K46,Q46)</f>
        <v>12.6</v>
      </c>
    </row>
    <row r="47" spans="1:27" s="1" customFormat="1" ht="24" x14ac:dyDescent="0.2">
      <c r="A47" s="685" t="s">
        <v>197</v>
      </c>
      <c r="B47" s="551"/>
      <c r="C47" s="590">
        <v>4</v>
      </c>
      <c r="D47" s="551"/>
      <c r="E47" s="590">
        <v>5</v>
      </c>
      <c r="F47" s="551"/>
      <c r="G47" s="590">
        <v>6</v>
      </c>
      <c r="H47" s="551"/>
      <c r="I47" s="590">
        <v>5</v>
      </c>
      <c r="J47" s="551"/>
      <c r="K47" s="590">
        <v>6</v>
      </c>
      <c r="L47" s="551"/>
      <c r="M47" s="590">
        <v>6</v>
      </c>
      <c r="N47" s="551"/>
      <c r="O47" s="590">
        <v>26</v>
      </c>
      <c r="P47" s="551"/>
      <c r="Q47" s="590">
        <v>20</v>
      </c>
      <c r="R47" s="551"/>
      <c r="S47" s="590">
        <v>5</v>
      </c>
      <c r="T47" s="551"/>
      <c r="U47" s="441">
        <v>5</v>
      </c>
      <c r="V47" s="320"/>
      <c r="W47" s="953"/>
      <c r="X47" s="560">
        <f>AVERAGE(O47,M47,S47,K47,Q47)</f>
        <v>12.6</v>
      </c>
    </row>
    <row r="48" spans="1:27" s="1" customFormat="1" ht="15" customHeight="1" thickBot="1" x14ac:dyDescent="0.25">
      <c r="A48" s="944" t="s">
        <v>196</v>
      </c>
      <c r="B48" s="367"/>
      <c r="C48" s="550">
        <v>6.12</v>
      </c>
      <c r="D48" s="367"/>
      <c r="E48" s="550">
        <v>7.8</v>
      </c>
      <c r="F48" s="367"/>
      <c r="G48" s="550">
        <v>7.9</v>
      </c>
      <c r="H48" s="367"/>
      <c r="I48" s="550">
        <v>7.67</v>
      </c>
      <c r="J48" s="367"/>
      <c r="K48" s="550">
        <f>4.45+4.75</f>
        <v>9.1999999999999993</v>
      </c>
      <c r="L48" s="367"/>
      <c r="M48" s="550">
        <v>8.1199999999999992</v>
      </c>
      <c r="N48" s="367"/>
      <c r="O48" s="550">
        <v>23.84</v>
      </c>
      <c r="P48" s="367"/>
      <c r="Q48" s="550">
        <v>19.8</v>
      </c>
      <c r="R48" s="367"/>
      <c r="S48" s="550">
        <f>3.39+3.45</f>
        <v>6.84</v>
      </c>
      <c r="T48" s="551"/>
      <c r="U48" s="558">
        <f>3.45+3.74</f>
        <v>7.19</v>
      </c>
      <c r="V48" s="320"/>
      <c r="W48" s="954"/>
      <c r="X48" s="559">
        <f>AVERAGE(O48,M48,S48,K48,Q48)</f>
        <v>13.559999999999999</v>
      </c>
    </row>
    <row r="49" spans="1:24" s="1" customFormat="1" ht="18" customHeight="1" thickBot="1" x14ac:dyDescent="0.25">
      <c r="A49" s="796" t="s">
        <v>231</v>
      </c>
      <c r="B49" s="811" t="s">
        <v>89</v>
      </c>
      <c r="C49" s="810" t="s">
        <v>97</v>
      </c>
      <c r="D49" s="811" t="s">
        <v>89</v>
      </c>
      <c r="E49" s="810" t="s">
        <v>97</v>
      </c>
      <c r="F49" s="811" t="s">
        <v>89</v>
      </c>
      <c r="G49" s="810" t="s">
        <v>97</v>
      </c>
      <c r="H49" s="811" t="s">
        <v>89</v>
      </c>
      <c r="I49" s="810" t="s">
        <v>97</v>
      </c>
      <c r="J49" s="811" t="s">
        <v>89</v>
      </c>
      <c r="K49" s="810" t="s">
        <v>97</v>
      </c>
      <c r="L49" s="807" t="s">
        <v>89</v>
      </c>
      <c r="M49" s="794" t="s">
        <v>97</v>
      </c>
      <c r="N49" s="811" t="s">
        <v>89</v>
      </c>
      <c r="O49" s="810" t="s">
        <v>97</v>
      </c>
      <c r="P49" s="811" t="s">
        <v>89</v>
      </c>
      <c r="Q49" s="810" t="s">
        <v>97</v>
      </c>
      <c r="R49" s="811" t="s">
        <v>89</v>
      </c>
      <c r="S49" s="810" t="s">
        <v>97</v>
      </c>
      <c r="T49" s="811" t="s">
        <v>89</v>
      </c>
      <c r="U49" s="780" t="s">
        <v>97</v>
      </c>
      <c r="V49" s="945"/>
      <c r="W49" s="946" t="s">
        <v>89</v>
      </c>
      <c r="X49" s="780" t="s">
        <v>97</v>
      </c>
    </row>
    <row r="50" spans="1:24" s="1" customFormat="1" ht="15" customHeight="1" x14ac:dyDescent="0.2">
      <c r="A50" s="439" t="s">
        <v>98</v>
      </c>
      <c r="B50" s="825"/>
      <c r="C50" s="812"/>
      <c r="D50" s="813"/>
      <c r="E50" s="824"/>
      <c r="F50" s="825"/>
      <c r="G50" s="824"/>
      <c r="H50" s="825"/>
      <c r="I50" s="824"/>
      <c r="J50" s="825"/>
      <c r="K50" s="824"/>
      <c r="L50" s="825"/>
      <c r="M50" s="824"/>
      <c r="N50" s="825"/>
      <c r="O50" s="824"/>
      <c r="P50" s="825"/>
      <c r="Q50" s="824"/>
      <c r="R50" s="825"/>
      <c r="S50" s="824"/>
      <c r="T50" s="825"/>
      <c r="U50" s="948"/>
      <c r="V50" s="320"/>
      <c r="W50" s="950"/>
      <c r="X50" s="830"/>
    </row>
    <row r="51" spans="1:24" s="1" customFormat="1" ht="15" customHeight="1" x14ac:dyDescent="0.2">
      <c r="A51" s="326" t="s">
        <v>99</v>
      </c>
      <c r="B51" s="280"/>
      <c r="C51" s="593">
        <v>5</v>
      </c>
      <c r="D51" s="282"/>
      <c r="E51" s="596">
        <v>6</v>
      </c>
      <c r="F51" s="280"/>
      <c r="G51" s="596">
        <v>7</v>
      </c>
      <c r="H51" s="280"/>
      <c r="I51" s="596">
        <v>6</v>
      </c>
      <c r="J51" s="764">
        <v>7</v>
      </c>
      <c r="K51" s="596">
        <v>7</v>
      </c>
      <c r="L51" s="764">
        <v>7</v>
      </c>
      <c r="M51" s="596">
        <v>7</v>
      </c>
      <c r="N51" s="764">
        <v>26</v>
      </c>
      <c r="O51" s="596">
        <v>26</v>
      </c>
      <c r="P51" s="764">
        <v>21</v>
      </c>
      <c r="Q51" s="596">
        <v>21</v>
      </c>
      <c r="R51" s="764">
        <v>6</v>
      </c>
      <c r="S51" s="596">
        <v>6</v>
      </c>
      <c r="T51" s="764">
        <v>6</v>
      </c>
      <c r="U51" s="599">
        <v>6</v>
      </c>
      <c r="V51" s="320"/>
      <c r="W51" s="951">
        <f>AVERAGE(T51,L51,N51,P51,R51)</f>
        <v>13.2</v>
      </c>
      <c r="X51" s="843">
        <f>AVERAGE(O51,M51,U51,S51,Q51)</f>
        <v>13.2</v>
      </c>
    </row>
    <row r="52" spans="1:24" s="1" customFormat="1" ht="15" customHeight="1" x14ac:dyDescent="0.2">
      <c r="A52" s="326" t="s">
        <v>100</v>
      </c>
      <c r="B52" s="280"/>
      <c r="C52" s="593">
        <v>1</v>
      </c>
      <c r="D52" s="282"/>
      <c r="E52" s="596">
        <v>0</v>
      </c>
      <c r="F52" s="280"/>
      <c r="G52" s="596">
        <v>0</v>
      </c>
      <c r="H52" s="280"/>
      <c r="I52" s="596">
        <v>0</v>
      </c>
      <c r="J52" s="764">
        <v>0</v>
      </c>
      <c r="K52" s="596">
        <v>0</v>
      </c>
      <c r="L52" s="764">
        <v>0</v>
      </c>
      <c r="M52" s="596">
        <v>0</v>
      </c>
      <c r="N52" s="764">
        <v>0</v>
      </c>
      <c r="O52" s="596">
        <v>0</v>
      </c>
      <c r="P52" s="764">
        <v>0</v>
      </c>
      <c r="Q52" s="596">
        <v>0</v>
      </c>
      <c r="R52" s="764">
        <v>0</v>
      </c>
      <c r="S52" s="596">
        <v>0</v>
      </c>
      <c r="T52" s="764">
        <v>0.3</v>
      </c>
      <c r="U52" s="599">
        <v>1</v>
      </c>
      <c r="V52" s="320"/>
      <c r="W52" s="951">
        <f t="shared" ref="W52:W55" si="6">AVERAGE(T52,L52,N52,P52,R52)</f>
        <v>0.06</v>
      </c>
      <c r="X52" s="843">
        <f t="shared" ref="X52:X55" si="7">AVERAGE(O52,M52,U52,S52,Q52)</f>
        <v>0.2</v>
      </c>
    </row>
    <row r="53" spans="1:24" s="1" customFormat="1" ht="15" customHeight="1" x14ac:dyDescent="0.2">
      <c r="A53" s="439" t="s">
        <v>101</v>
      </c>
      <c r="B53" s="597"/>
      <c r="C53" s="595"/>
      <c r="D53" s="594"/>
      <c r="E53" s="598"/>
      <c r="F53" s="597"/>
      <c r="G53" s="598"/>
      <c r="H53" s="597"/>
      <c r="I53" s="598"/>
      <c r="J53" s="764"/>
      <c r="K53" s="598"/>
      <c r="L53" s="764"/>
      <c r="M53" s="598"/>
      <c r="N53" s="764"/>
      <c r="O53" s="598"/>
      <c r="P53" s="764"/>
      <c r="Q53" s="598"/>
      <c r="R53" s="764"/>
      <c r="S53" s="598"/>
      <c r="T53" s="764"/>
      <c r="U53" s="600"/>
      <c r="V53" s="320"/>
      <c r="W53" s="951"/>
      <c r="X53" s="843"/>
    </row>
    <row r="54" spans="1:24" s="1" customFormat="1" ht="15" customHeight="1" x14ac:dyDescent="0.2">
      <c r="A54" s="326" t="s">
        <v>99</v>
      </c>
      <c r="B54" s="280"/>
      <c r="C54" s="595">
        <v>32</v>
      </c>
      <c r="D54" s="282"/>
      <c r="E54" s="598">
        <v>32</v>
      </c>
      <c r="F54" s="280"/>
      <c r="G54" s="598">
        <v>32</v>
      </c>
      <c r="H54" s="280"/>
      <c r="I54" s="598">
        <v>28</v>
      </c>
      <c r="J54" s="764">
        <v>30</v>
      </c>
      <c r="K54" s="598">
        <v>30</v>
      </c>
      <c r="L54" s="764">
        <v>27</v>
      </c>
      <c r="M54" s="598">
        <v>27</v>
      </c>
      <c r="N54" s="764">
        <v>8</v>
      </c>
      <c r="O54" s="598">
        <v>8</v>
      </c>
      <c r="P54" s="764">
        <v>12</v>
      </c>
      <c r="Q54" s="598">
        <v>12</v>
      </c>
      <c r="R54" s="764">
        <v>28</v>
      </c>
      <c r="S54" s="598">
        <v>28</v>
      </c>
      <c r="T54" s="764">
        <v>30</v>
      </c>
      <c r="U54" s="600">
        <v>30</v>
      </c>
      <c r="V54" s="320"/>
      <c r="W54" s="951">
        <f t="shared" si="6"/>
        <v>21</v>
      </c>
      <c r="X54" s="843">
        <f t="shared" si="7"/>
        <v>21</v>
      </c>
    </row>
    <row r="55" spans="1:24" s="1" customFormat="1" ht="15" customHeight="1" thickBot="1" x14ac:dyDescent="0.25">
      <c r="A55" s="442" t="s">
        <v>100</v>
      </c>
      <c r="B55" s="947"/>
      <c r="C55" s="836">
        <v>1</v>
      </c>
      <c r="D55" s="986"/>
      <c r="E55" s="840">
        <v>1</v>
      </c>
      <c r="F55" s="947"/>
      <c r="G55" s="840">
        <v>1</v>
      </c>
      <c r="H55" s="947"/>
      <c r="I55" s="840">
        <v>1</v>
      </c>
      <c r="J55" s="841">
        <v>0</v>
      </c>
      <c r="K55" s="840">
        <v>0</v>
      </c>
      <c r="L55" s="841">
        <v>0</v>
      </c>
      <c r="M55" s="840">
        <v>0</v>
      </c>
      <c r="N55" s="949">
        <v>0.6</v>
      </c>
      <c r="O55" s="840">
        <v>1</v>
      </c>
      <c r="P55" s="949">
        <v>0.2</v>
      </c>
      <c r="Q55" s="840">
        <v>2</v>
      </c>
      <c r="R55" s="949">
        <v>0.6</v>
      </c>
      <c r="S55" s="840">
        <v>1</v>
      </c>
      <c r="T55" s="949">
        <v>0</v>
      </c>
      <c r="U55" s="601">
        <v>0</v>
      </c>
      <c r="V55" s="320"/>
      <c r="W55" s="952">
        <f t="shared" si="6"/>
        <v>0.27999999999999997</v>
      </c>
      <c r="X55" s="577">
        <f t="shared" si="7"/>
        <v>0.8</v>
      </c>
    </row>
    <row r="56" spans="1:24" s="1" customFormat="1" ht="15" customHeight="1" thickBot="1" x14ac:dyDescent="0.25">
      <c r="A56" s="647" t="s">
        <v>22</v>
      </c>
      <c r="B56" s="823"/>
      <c r="C56" s="837">
        <f>SUM(C51:C55)</f>
        <v>39</v>
      </c>
      <c r="D56" s="987"/>
      <c r="E56" s="820">
        <f>SUM(E51:E55)</f>
        <v>39</v>
      </c>
      <c r="F56" s="823"/>
      <c r="G56" s="820">
        <f>SUM(G51:G55)</f>
        <v>40</v>
      </c>
      <c r="H56" s="823"/>
      <c r="I56" s="820">
        <f t="shared" ref="I56:S56" si="8">SUM(I51:I55)</f>
        <v>35</v>
      </c>
      <c r="J56" s="826">
        <f t="shared" si="8"/>
        <v>37</v>
      </c>
      <c r="K56" s="820">
        <f t="shared" si="8"/>
        <v>37</v>
      </c>
      <c r="L56" s="826">
        <f t="shared" si="8"/>
        <v>34</v>
      </c>
      <c r="M56" s="820">
        <f t="shared" si="8"/>
        <v>34</v>
      </c>
      <c r="N56" s="826">
        <f t="shared" si="8"/>
        <v>34.6</v>
      </c>
      <c r="O56" s="820">
        <f t="shared" si="8"/>
        <v>35</v>
      </c>
      <c r="P56" s="826">
        <f t="shared" si="8"/>
        <v>33.200000000000003</v>
      </c>
      <c r="Q56" s="820">
        <f t="shared" si="8"/>
        <v>35</v>
      </c>
      <c r="R56" s="826">
        <f t="shared" si="8"/>
        <v>34.6</v>
      </c>
      <c r="S56" s="820">
        <f t="shared" si="8"/>
        <v>35</v>
      </c>
      <c r="T56" s="826">
        <f t="shared" ref="T56:U56" si="9">SUM(T51:T55)</f>
        <v>36.299999999999997</v>
      </c>
      <c r="U56" s="988">
        <f t="shared" si="9"/>
        <v>37</v>
      </c>
      <c r="V56" s="320"/>
      <c r="W56" s="990">
        <f>AVERAGE(J56,L56,N56,P56,R56)</f>
        <v>34.68</v>
      </c>
      <c r="X56" s="844">
        <f t="shared" ref="X56" si="10">AVERAGE(O56,M56,I56,K56,Q56)</f>
        <v>35.200000000000003</v>
      </c>
    </row>
    <row r="57" spans="1:24" s="1" customFormat="1" ht="18" customHeight="1" thickBot="1" x14ac:dyDescent="0.25">
      <c r="A57" s="796" t="s">
        <v>232</v>
      </c>
      <c r="B57" s="793" t="s">
        <v>36</v>
      </c>
      <c r="C57" s="989" t="s">
        <v>102</v>
      </c>
      <c r="D57" s="793" t="s">
        <v>36</v>
      </c>
      <c r="E57" s="810" t="s">
        <v>102</v>
      </c>
      <c r="F57" s="811" t="s">
        <v>36</v>
      </c>
      <c r="G57" s="810" t="s">
        <v>102</v>
      </c>
      <c r="H57" s="811" t="s">
        <v>36</v>
      </c>
      <c r="I57" s="810" t="s">
        <v>102</v>
      </c>
      <c r="J57" s="811" t="s">
        <v>36</v>
      </c>
      <c r="K57" s="810" t="s">
        <v>102</v>
      </c>
      <c r="L57" s="811" t="s">
        <v>36</v>
      </c>
      <c r="M57" s="810" t="s">
        <v>102</v>
      </c>
      <c r="N57" s="811" t="s">
        <v>36</v>
      </c>
      <c r="O57" s="810" t="s">
        <v>102</v>
      </c>
      <c r="P57" s="811" t="s">
        <v>36</v>
      </c>
      <c r="Q57" s="810" t="s">
        <v>102</v>
      </c>
      <c r="R57" s="811" t="s">
        <v>36</v>
      </c>
      <c r="S57" s="810" t="s">
        <v>102</v>
      </c>
      <c r="T57" s="811" t="s">
        <v>36</v>
      </c>
      <c r="U57" s="780" t="s">
        <v>102</v>
      </c>
      <c r="V57" s="320"/>
      <c r="W57" s="946" t="s">
        <v>36</v>
      </c>
      <c r="X57" s="808" t="s">
        <v>102</v>
      </c>
    </row>
    <row r="58" spans="1:24" s="1" customFormat="1" ht="18" customHeight="1" x14ac:dyDescent="0.2">
      <c r="A58" s="703" t="s">
        <v>233</v>
      </c>
      <c r="B58" s="481"/>
      <c r="C58" s="322"/>
      <c r="D58" s="481"/>
      <c r="E58" s="323"/>
      <c r="F58" s="805"/>
      <c r="G58" s="323"/>
      <c r="H58" s="805"/>
      <c r="I58" s="323"/>
      <c r="J58" s="805"/>
      <c r="K58" s="323"/>
      <c r="L58" s="805"/>
      <c r="M58" s="323"/>
      <c r="N58" s="805"/>
      <c r="O58" s="323"/>
      <c r="P58" s="805"/>
      <c r="Q58" s="323"/>
      <c r="R58" s="805"/>
      <c r="S58" s="323"/>
      <c r="T58" s="805"/>
      <c r="U58" s="325"/>
      <c r="V58" s="320"/>
      <c r="W58" s="955"/>
      <c r="X58" s="956"/>
    </row>
    <row r="59" spans="1:24" s="1" customFormat="1" ht="15" customHeight="1" x14ac:dyDescent="0.2">
      <c r="A59" s="326" t="s">
        <v>103</v>
      </c>
      <c r="B59" s="463">
        <v>36</v>
      </c>
      <c r="C59" s="328">
        <f t="shared" ref="C59:C66" si="11">B59/C$56</f>
        <v>0.92307692307692313</v>
      </c>
      <c r="D59" s="463">
        <f>1+32</f>
        <v>33</v>
      </c>
      <c r="E59" s="329">
        <f t="shared" ref="E59:K66" si="12">D59/E$56</f>
        <v>0.84615384615384615</v>
      </c>
      <c r="F59" s="331">
        <v>33</v>
      </c>
      <c r="G59" s="329">
        <f t="shared" si="12"/>
        <v>0.82499999999999996</v>
      </c>
      <c r="H59" s="331">
        <v>29</v>
      </c>
      <c r="I59" s="329">
        <f t="shared" ref="I59:I66" si="13">H59/I$56</f>
        <v>0.82857142857142863</v>
      </c>
      <c r="J59" s="331">
        <f>29</f>
        <v>29</v>
      </c>
      <c r="K59" s="329">
        <f t="shared" si="12"/>
        <v>0.78378378378378377</v>
      </c>
      <c r="L59" s="331">
        <v>26</v>
      </c>
      <c r="M59" s="329">
        <f t="shared" ref="M59:M64" si="14">L59/M$56</f>
        <v>0.76470588235294112</v>
      </c>
      <c r="N59" s="331">
        <f>1+24</f>
        <v>25</v>
      </c>
      <c r="O59" s="329">
        <f t="shared" ref="O59:Q64" si="15">N59/O$56</f>
        <v>0.7142857142857143</v>
      </c>
      <c r="P59" s="331">
        <v>24</v>
      </c>
      <c r="Q59" s="329">
        <f t="shared" si="15"/>
        <v>0.68571428571428572</v>
      </c>
      <c r="R59" s="331">
        <v>23</v>
      </c>
      <c r="S59" s="329">
        <f t="shared" ref="S59:S64" si="16">R59/S$56</f>
        <v>0.65714285714285714</v>
      </c>
      <c r="T59" s="331">
        <v>23</v>
      </c>
      <c r="U59" s="332">
        <f t="shared" ref="U59:U64" si="17">T59/U$56</f>
        <v>0.6216216216216216</v>
      </c>
      <c r="V59" s="333"/>
      <c r="W59" s="334">
        <f>AVERAGE(N59,L59,R59,T59,P59)</f>
        <v>24.2</v>
      </c>
      <c r="X59" s="335">
        <f>AVERAGE(O59,S59,U59,M59,Q59)</f>
        <v>0.688694072223484</v>
      </c>
    </row>
    <row r="60" spans="1:24" s="1" customFormat="1" ht="15" customHeight="1" x14ac:dyDescent="0.2">
      <c r="A60" s="336" t="s">
        <v>104</v>
      </c>
      <c r="B60" s="463">
        <v>0</v>
      </c>
      <c r="C60" s="328">
        <f t="shared" si="11"/>
        <v>0</v>
      </c>
      <c r="D60" s="463">
        <v>0</v>
      </c>
      <c r="E60" s="329">
        <f t="shared" si="12"/>
        <v>0</v>
      </c>
      <c r="F60" s="331">
        <v>0</v>
      </c>
      <c r="G60" s="329">
        <f t="shared" si="12"/>
        <v>0</v>
      </c>
      <c r="H60" s="331">
        <v>1</v>
      </c>
      <c r="I60" s="329">
        <f t="shared" si="13"/>
        <v>2.8571428571428571E-2</v>
      </c>
      <c r="J60" s="331">
        <f>1</f>
        <v>1</v>
      </c>
      <c r="K60" s="329">
        <f t="shared" si="12"/>
        <v>2.7027027027027029E-2</v>
      </c>
      <c r="L60" s="331">
        <v>1</v>
      </c>
      <c r="M60" s="329">
        <f t="shared" si="14"/>
        <v>2.9411764705882353E-2</v>
      </c>
      <c r="N60" s="331">
        <v>1</v>
      </c>
      <c r="O60" s="329">
        <f t="shared" si="15"/>
        <v>2.8571428571428571E-2</v>
      </c>
      <c r="P60" s="331">
        <v>1</v>
      </c>
      <c r="Q60" s="329">
        <f t="shared" si="15"/>
        <v>2.8571428571428571E-2</v>
      </c>
      <c r="R60" s="331">
        <v>1</v>
      </c>
      <c r="S60" s="329">
        <f t="shared" si="16"/>
        <v>2.8571428571428571E-2</v>
      </c>
      <c r="T60" s="331">
        <v>1</v>
      </c>
      <c r="U60" s="332">
        <f t="shared" si="17"/>
        <v>2.7027027027027029E-2</v>
      </c>
      <c r="V60" s="333"/>
      <c r="W60" s="334">
        <f t="shared" ref="W60:W78" si="18">AVERAGE(N60,L60,R60,T60,P60)</f>
        <v>1</v>
      </c>
      <c r="X60" s="335">
        <f t="shared" ref="X60:X78" si="19">AVERAGE(O60,S60,U60,M60,Q60)</f>
        <v>2.843061548943902E-2</v>
      </c>
    </row>
    <row r="61" spans="1:24" s="1" customFormat="1" ht="15" customHeight="1" x14ac:dyDescent="0.2">
      <c r="A61" s="336" t="s">
        <v>105</v>
      </c>
      <c r="B61" s="463">
        <v>0</v>
      </c>
      <c r="C61" s="328">
        <f t="shared" si="11"/>
        <v>0</v>
      </c>
      <c r="D61" s="463">
        <v>0</v>
      </c>
      <c r="E61" s="329">
        <f t="shared" si="12"/>
        <v>0</v>
      </c>
      <c r="F61" s="331">
        <v>0</v>
      </c>
      <c r="G61" s="329">
        <f t="shared" si="12"/>
        <v>0</v>
      </c>
      <c r="H61" s="331">
        <v>0</v>
      </c>
      <c r="I61" s="329">
        <f t="shared" si="13"/>
        <v>0</v>
      </c>
      <c r="J61" s="331">
        <f>1</f>
        <v>1</v>
      </c>
      <c r="K61" s="329">
        <f t="shared" si="12"/>
        <v>2.7027027027027029E-2</v>
      </c>
      <c r="L61" s="331">
        <v>1</v>
      </c>
      <c r="M61" s="329">
        <f t="shared" si="14"/>
        <v>2.9411764705882353E-2</v>
      </c>
      <c r="N61" s="331">
        <v>1</v>
      </c>
      <c r="O61" s="329">
        <f t="shared" si="15"/>
        <v>2.8571428571428571E-2</v>
      </c>
      <c r="P61" s="331">
        <v>1</v>
      </c>
      <c r="Q61" s="329">
        <f t="shared" si="15"/>
        <v>2.8571428571428571E-2</v>
      </c>
      <c r="R61" s="331">
        <v>4</v>
      </c>
      <c r="S61" s="329">
        <f t="shared" si="16"/>
        <v>0.11428571428571428</v>
      </c>
      <c r="T61" s="331">
        <v>4</v>
      </c>
      <c r="U61" s="332">
        <f t="shared" si="17"/>
        <v>0.10810810810810811</v>
      </c>
      <c r="V61" s="333"/>
      <c r="W61" s="334">
        <f t="shared" si="18"/>
        <v>2.2000000000000002</v>
      </c>
      <c r="X61" s="335">
        <f t="shared" si="19"/>
        <v>6.1789688848512381E-2</v>
      </c>
    </row>
    <row r="62" spans="1:24" s="1" customFormat="1" ht="15" customHeight="1" x14ac:dyDescent="0.2">
      <c r="A62" s="336" t="s">
        <v>106</v>
      </c>
      <c r="B62" s="463">
        <v>1</v>
      </c>
      <c r="C62" s="328">
        <f t="shared" si="11"/>
        <v>2.564102564102564E-2</v>
      </c>
      <c r="D62" s="463">
        <v>1</v>
      </c>
      <c r="E62" s="329">
        <f t="shared" si="12"/>
        <v>2.564102564102564E-2</v>
      </c>
      <c r="F62" s="331">
        <v>1</v>
      </c>
      <c r="G62" s="329">
        <f t="shared" si="12"/>
        <v>2.5000000000000001E-2</v>
      </c>
      <c r="H62" s="331">
        <v>0</v>
      </c>
      <c r="I62" s="329">
        <f t="shared" si="13"/>
        <v>0</v>
      </c>
      <c r="J62" s="331">
        <f>0</f>
        <v>0</v>
      </c>
      <c r="K62" s="329">
        <f t="shared" si="12"/>
        <v>0</v>
      </c>
      <c r="L62" s="331">
        <v>0</v>
      </c>
      <c r="M62" s="329">
        <f t="shared" si="14"/>
        <v>0</v>
      </c>
      <c r="N62" s="331">
        <v>0</v>
      </c>
      <c r="O62" s="329">
        <f t="shared" si="15"/>
        <v>0</v>
      </c>
      <c r="P62" s="331">
        <v>0</v>
      </c>
      <c r="Q62" s="329">
        <f t="shared" si="15"/>
        <v>0</v>
      </c>
      <c r="R62" s="331">
        <v>0</v>
      </c>
      <c r="S62" s="329">
        <f t="shared" si="16"/>
        <v>0</v>
      </c>
      <c r="T62" s="331">
        <v>0</v>
      </c>
      <c r="U62" s="332">
        <f t="shared" si="17"/>
        <v>0</v>
      </c>
      <c r="V62" s="333"/>
      <c r="W62" s="334">
        <f t="shared" si="18"/>
        <v>0</v>
      </c>
      <c r="X62" s="335">
        <f t="shared" si="19"/>
        <v>0</v>
      </c>
    </row>
    <row r="63" spans="1:24" s="1" customFormat="1" ht="15" customHeight="1" x14ac:dyDescent="0.2">
      <c r="A63" s="336" t="s">
        <v>107</v>
      </c>
      <c r="B63" s="463">
        <v>1</v>
      </c>
      <c r="C63" s="328">
        <f t="shared" si="11"/>
        <v>2.564102564102564E-2</v>
      </c>
      <c r="D63" s="463">
        <v>2</v>
      </c>
      <c r="E63" s="329">
        <f t="shared" si="12"/>
        <v>5.128205128205128E-2</v>
      </c>
      <c r="F63" s="331">
        <v>3</v>
      </c>
      <c r="G63" s="329">
        <f t="shared" si="12"/>
        <v>7.4999999999999997E-2</v>
      </c>
      <c r="H63" s="331">
        <v>4</v>
      </c>
      <c r="I63" s="329">
        <f t="shared" si="13"/>
        <v>0.11428571428571428</v>
      </c>
      <c r="J63" s="331">
        <f>3</f>
        <v>3</v>
      </c>
      <c r="K63" s="329">
        <f t="shared" si="12"/>
        <v>8.1081081081081086E-2</v>
      </c>
      <c r="L63" s="331">
        <v>4</v>
      </c>
      <c r="M63" s="329">
        <f t="shared" si="14"/>
        <v>0.11764705882352941</v>
      </c>
      <c r="N63" s="331">
        <v>5</v>
      </c>
      <c r="O63" s="329">
        <f t="shared" si="15"/>
        <v>0.14285714285714285</v>
      </c>
      <c r="P63" s="331">
        <v>6</v>
      </c>
      <c r="Q63" s="329">
        <f t="shared" si="15"/>
        <v>0.17142857142857143</v>
      </c>
      <c r="R63" s="331">
        <v>4</v>
      </c>
      <c r="S63" s="329">
        <f t="shared" si="16"/>
        <v>0.11428571428571428</v>
      </c>
      <c r="T63" s="331">
        <v>5</v>
      </c>
      <c r="U63" s="332">
        <f t="shared" si="17"/>
        <v>0.13513513513513514</v>
      </c>
      <c r="V63" s="333"/>
      <c r="W63" s="334">
        <f t="shared" si="18"/>
        <v>4.8</v>
      </c>
      <c r="X63" s="335">
        <f t="shared" si="19"/>
        <v>0.13627072450601863</v>
      </c>
    </row>
    <row r="64" spans="1:24" s="1" customFormat="1" ht="15" customHeight="1" x14ac:dyDescent="0.2">
      <c r="A64" s="336" t="s">
        <v>108</v>
      </c>
      <c r="B64" s="463">
        <v>1</v>
      </c>
      <c r="C64" s="328">
        <f t="shared" si="11"/>
        <v>2.564102564102564E-2</v>
      </c>
      <c r="D64" s="463">
        <v>3</v>
      </c>
      <c r="E64" s="329">
        <f t="shared" si="12"/>
        <v>7.6923076923076927E-2</v>
      </c>
      <c r="F64" s="331">
        <v>3</v>
      </c>
      <c r="G64" s="329">
        <f t="shared" si="12"/>
        <v>7.4999999999999997E-2</v>
      </c>
      <c r="H64" s="331">
        <v>1</v>
      </c>
      <c r="I64" s="329">
        <f t="shared" si="13"/>
        <v>2.8571428571428571E-2</v>
      </c>
      <c r="J64" s="331">
        <f>2</f>
        <v>2</v>
      </c>
      <c r="K64" s="329">
        <f t="shared" si="12"/>
        <v>5.4054054054054057E-2</v>
      </c>
      <c r="L64" s="331">
        <v>1</v>
      </c>
      <c r="M64" s="329">
        <f t="shared" si="14"/>
        <v>2.9411764705882353E-2</v>
      </c>
      <c r="N64" s="331">
        <v>2</v>
      </c>
      <c r="O64" s="329">
        <f t="shared" si="15"/>
        <v>5.7142857142857141E-2</v>
      </c>
      <c r="P64" s="331">
        <v>2</v>
      </c>
      <c r="Q64" s="329">
        <f t="shared" si="15"/>
        <v>5.7142857142857141E-2</v>
      </c>
      <c r="R64" s="331">
        <v>2</v>
      </c>
      <c r="S64" s="329">
        <f t="shared" si="16"/>
        <v>5.7142857142857141E-2</v>
      </c>
      <c r="T64" s="331">
        <v>3</v>
      </c>
      <c r="U64" s="332">
        <f t="shared" si="17"/>
        <v>8.1081081081081086E-2</v>
      </c>
      <c r="V64" s="333"/>
      <c r="W64" s="334">
        <f t="shared" si="18"/>
        <v>2</v>
      </c>
      <c r="X64" s="335">
        <f t="shared" si="19"/>
        <v>5.6384283443106975E-2</v>
      </c>
    </row>
    <row r="65" spans="1:24" s="1" customFormat="1" ht="15" customHeight="1" x14ac:dyDescent="0.2">
      <c r="A65" s="336" t="s">
        <v>109</v>
      </c>
      <c r="B65" s="512"/>
      <c r="C65" s="328"/>
      <c r="D65" s="512"/>
      <c r="E65" s="329"/>
      <c r="F65" s="339"/>
      <c r="G65" s="329"/>
      <c r="H65" s="339">
        <v>0</v>
      </c>
      <c r="I65" s="329">
        <f t="shared" si="13"/>
        <v>0</v>
      </c>
      <c r="J65" s="339">
        <f>1</f>
        <v>1</v>
      </c>
      <c r="K65" s="329">
        <f>J65/K$56</f>
        <v>2.7027027027027029E-2</v>
      </c>
      <c r="L65" s="339">
        <v>1</v>
      </c>
      <c r="M65" s="329">
        <f>L65/M$56</f>
        <v>2.9411764705882353E-2</v>
      </c>
      <c r="N65" s="339">
        <v>1</v>
      </c>
      <c r="O65" s="329">
        <f>N65/O$56</f>
        <v>2.8571428571428571E-2</v>
      </c>
      <c r="P65" s="339">
        <v>1</v>
      </c>
      <c r="Q65" s="329">
        <f>P65/Q$56</f>
        <v>2.8571428571428571E-2</v>
      </c>
      <c r="R65" s="339">
        <v>0</v>
      </c>
      <c r="S65" s="329">
        <f>R65/S$56</f>
        <v>0</v>
      </c>
      <c r="T65" s="331">
        <v>1</v>
      </c>
      <c r="U65" s="332">
        <f>T65/U$56</f>
        <v>2.7027027027027029E-2</v>
      </c>
      <c r="V65" s="333"/>
      <c r="W65" s="334">
        <f t="shared" si="18"/>
        <v>0.8</v>
      </c>
      <c r="X65" s="335">
        <f t="shared" si="19"/>
        <v>2.2716329775153303E-2</v>
      </c>
    </row>
    <row r="66" spans="1:24" s="1" customFormat="1" ht="15" customHeight="1" thickBot="1" x14ac:dyDescent="0.25">
      <c r="A66" s="336" t="s">
        <v>110</v>
      </c>
      <c r="B66" s="512">
        <v>0</v>
      </c>
      <c r="C66" s="659">
        <f t="shared" si="11"/>
        <v>0</v>
      </c>
      <c r="D66" s="337">
        <v>0</v>
      </c>
      <c r="E66" s="660">
        <f t="shared" si="12"/>
        <v>0</v>
      </c>
      <c r="F66" s="337">
        <v>0</v>
      </c>
      <c r="G66" s="660">
        <f t="shared" si="12"/>
        <v>0</v>
      </c>
      <c r="H66" s="338">
        <v>0</v>
      </c>
      <c r="I66" s="660">
        <f t="shared" si="13"/>
        <v>0</v>
      </c>
      <c r="J66" s="338">
        <f>0</f>
        <v>0</v>
      </c>
      <c r="K66" s="660">
        <f t="shared" si="12"/>
        <v>0</v>
      </c>
      <c r="L66" s="338">
        <v>0</v>
      </c>
      <c r="M66" s="660">
        <f>L66/M$56</f>
        <v>0</v>
      </c>
      <c r="N66" s="338">
        <v>0</v>
      </c>
      <c r="O66" s="660">
        <f>N66/O$56</f>
        <v>0</v>
      </c>
      <c r="P66" s="338">
        <v>0</v>
      </c>
      <c r="Q66" s="660">
        <f>P66/Q$56</f>
        <v>0</v>
      </c>
      <c r="R66" s="338">
        <v>1</v>
      </c>
      <c r="S66" s="660">
        <f>R66/S$56</f>
        <v>2.8571428571428571E-2</v>
      </c>
      <c r="T66" s="339">
        <v>0</v>
      </c>
      <c r="U66" s="661">
        <f>T66/U$56</f>
        <v>0</v>
      </c>
      <c r="V66" s="333"/>
      <c r="W66" s="662">
        <f t="shared" si="18"/>
        <v>0.2</v>
      </c>
      <c r="X66" s="663">
        <f t="shared" si="19"/>
        <v>5.7142857142857143E-3</v>
      </c>
    </row>
    <row r="67" spans="1:24" s="1" customFormat="1" ht="18" customHeight="1" x14ac:dyDescent="0.2">
      <c r="A67" s="886" t="s">
        <v>111</v>
      </c>
      <c r="B67" s="664"/>
      <c r="C67" s="665"/>
      <c r="D67" s="664"/>
      <c r="E67" s="666"/>
      <c r="F67" s="664"/>
      <c r="G67" s="666"/>
      <c r="H67" s="667"/>
      <c r="I67" s="666"/>
      <c r="J67" s="667"/>
      <c r="K67" s="666"/>
      <c r="L67" s="667"/>
      <c r="M67" s="666"/>
      <c r="N67" s="667"/>
      <c r="O67" s="666"/>
      <c r="P67" s="667"/>
      <c r="Q67" s="666"/>
      <c r="R67" s="667"/>
      <c r="S67" s="666"/>
      <c r="T67" s="667"/>
      <c r="U67" s="668"/>
      <c r="V67" s="333"/>
      <c r="W67" s="657"/>
      <c r="X67" s="658"/>
    </row>
    <row r="68" spans="1:24" s="1" customFormat="1" ht="15" customHeight="1" x14ac:dyDescent="0.2">
      <c r="A68" s="326" t="s">
        <v>112</v>
      </c>
      <c r="B68" s="340">
        <v>34</v>
      </c>
      <c r="C68" s="328">
        <f>B68/C$56</f>
        <v>0.87179487179487181</v>
      </c>
      <c r="D68" s="341">
        <f>32+1</f>
        <v>33</v>
      </c>
      <c r="E68" s="329">
        <f>D68/E$56</f>
        <v>0.84615384615384615</v>
      </c>
      <c r="F68" s="341">
        <v>34</v>
      </c>
      <c r="G68" s="329">
        <f>F68/G$56</f>
        <v>0.85</v>
      </c>
      <c r="H68" s="342">
        <v>29</v>
      </c>
      <c r="I68" s="329">
        <f>H68/I$56</f>
        <v>0.82857142857142863</v>
      </c>
      <c r="J68" s="342">
        <f>29</f>
        <v>29</v>
      </c>
      <c r="K68" s="329">
        <f>J68/K$56</f>
        <v>0.78378378378378377</v>
      </c>
      <c r="L68" s="342">
        <v>26</v>
      </c>
      <c r="M68" s="329">
        <f>L68/M$56</f>
        <v>0.76470588235294112</v>
      </c>
      <c r="N68" s="342">
        <f>1+28</f>
        <v>29</v>
      </c>
      <c r="O68" s="329">
        <f>N68/O$56</f>
        <v>0.82857142857142863</v>
      </c>
      <c r="P68" s="342">
        <v>28</v>
      </c>
      <c r="Q68" s="329">
        <f>P68/Q$56</f>
        <v>0.8</v>
      </c>
      <c r="R68" s="342">
        <v>29</v>
      </c>
      <c r="S68" s="329">
        <f>R68/S$56</f>
        <v>0.82857142857142863</v>
      </c>
      <c r="T68" s="343">
        <v>31</v>
      </c>
      <c r="U68" s="332">
        <f>T68/U$56</f>
        <v>0.83783783783783783</v>
      </c>
      <c r="V68" s="333"/>
      <c r="W68" s="334">
        <f t="shared" si="18"/>
        <v>28.6</v>
      </c>
      <c r="X68" s="335">
        <f t="shared" si="19"/>
        <v>0.81193731546672721</v>
      </c>
    </row>
    <row r="69" spans="1:24" s="1" customFormat="1" ht="15" customHeight="1" thickBot="1" x14ac:dyDescent="0.25">
      <c r="A69" s="336" t="s">
        <v>113</v>
      </c>
      <c r="B69" s="669">
        <v>5</v>
      </c>
      <c r="C69" s="659">
        <f>B69/C$56</f>
        <v>0.12820512820512819</v>
      </c>
      <c r="D69" s="669">
        <v>6</v>
      </c>
      <c r="E69" s="660">
        <f>D69/E$56</f>
        <v>0.15384615384615385</v>
      </c>
      <c r="F69" s="669">
        <v>6</v>
      </c>
      <c r="G69" s="660">
        <f>F69/G$56</f>
        <v>0.15</v>
      </c>
      <c r="H69" s="670">
        <v>6</v>
      </c>
      <c r="I69" s="660">
        <f>H69/I$56</f>
        <v>0.17142857142857143</v>
      </c>
      <c r="J69" s="670">
        <f>8</f>
        <v>8</v>
      </c>
      <c r="K69" s="660">
        <f>J69/K$56</f>
        <v>0.21621621621621623</v>
      </c>
      <c r="L69" s="670">
        <v>8</v>
      </c>
      <c r="M69" s="660">
        <f>L69/M$56</f>
        <v>0.23529411764705882</v>
      </c>
      <c r="N69" s="670">
        <v>6</v>
      </c>
      <c r="O69" s="660">
        <f>N69/O$56</f>
        <v>0.17142857142857143</v>
      </c>
      <c r="P69" s="670">
        <v>7</v>
      </c>
      <c r="Q69" s="660">
        <f>P69/Q$56</f>
        <v>0.2</v>
      </c>
      <c r="R69" s="670">
        <v>6</v>
      </c>
      <c r="S69" s="660">
        <f>R69/S$56</f>
        <v>0.17142857142857143</v>
      </c>
      <c r="T69" s="670">
        <v>6</v>
      </c>
      <c r="U69" s="661">
        <f>T69/U$56</f>
        <v>0.16216216216216217</v>
      </c>
      <c r="V69" s="333"/>
      <c r="W69" s="662">
        <f t="shared" si="18"/>
        <v>6.6</v>
      </c>
      <c r="X69" s="663">
        <f t="shared" si="19"/>
        <v>0.18806268453327277</v>
      </c>
    </row>
    <row r="70" spans="1:24" s="1" customFormat="1" ht="18" customHeight="1" x14ac:dyDescent="0.2">
      <c r="A70" s="886" t="s">
        <v>114</v>
      </c>
      <c r="B70" s="671"/>
      <c r="C70" s="654"/>
      <c r="D70" s="671"/>
      <c r="E70" s="655"/>
      <c r="F70" s="671"/>
      <c r="G70" s="655"/>
      <c r="H70" s="672"/>
      <c r="I70" s="655"/>
      <c r="J70" s="672"/>
      <c r="K70" s="655"/>
      <c r="L70" s="672"/>
      <c r="M70" s="655"/>
      <c r="N70" s="672"/>
      <c r="O70" s="655"/>
      <c r="P70" s="672"/>
      <c r="Q70" s="655"/>
      <c r="R70" s="672"/>
      <c r="S70" s="655"/>
      <c r="T70" s="672"/>
      <c r="U70" s="656"/>
      <c r="V70" s="333"/>
      <c r="W70" s="657"/>
      <c r="X70" s="658"/>
    </row>
    <row r="71" spans="1:24" s="1" customFormat="1" ht="15" customHeight="1" x14ac:dyDescent="0.2">
      <c r="A71" s="326" t="s">
        <v>115</v>
      </c>
      <c r="B71" s="341">
        <v>30</v>
      </c>
      <c r="C71" s="328">
        <f>B71/C$56</f>
        <v>0.76923076923076927</v>
      </c>
      <c r="D71" s="341">
        <v>28</v>
      </c>
      <c r="E71" s="329">
        <f>D71/E$56</f>
        <v>0.71794871794871795</v>
      </c>
      <c r="F71" s="341">
        <v>28</v>
      </c>
      <c r="G71" s="329">
        <f>F71/G$56</f>
        <v>0.7</v>
      </c>
      <c r="H71" s="342">
        <v>25</v>
      </c>
      <c r="I71" s="329">
        <f>H71/I$56</f>
        <v>0.7142857142857143</v>
      </c>
      <c r="J71" s="342">
        <f>25</f>
        <v>25</v>
      </c>
      <c r="K71" s="329">
        <f>J71/K$56</f>
        <v>0.67567567567567566</v>
      </c>
      <c r="L71" s="342">
        <v>25</v>
      </c>
      <c r="M71" s="329">
        <f>L71/M$56</f>
        <v>0.73529411764705888</v>
      </c>
      <c r="N71" s="342">
        <f>1+25</f>
        <v>26</v>
      </c>
      <c r="O71" s="329">
        <f>N71/O$56</f>
        <v>0.74285714285714288</v>
      </c>
      <c r="P71" s="342">
        <v>24</v>
      </c>
      <c r="Q71" s="329">
        <f>P71/Q$56</f>
        <v>0.68571428571428572</v>
      </c>
      <c r="R71" s="342">
        <v>22</v>
      </c>
      <c r="S71" s="329">
        <f>R71/S$56</f>
        <v>0.62857142857142856</v>
      </c>
      <c r="T71" s="342">
        <v>22</v>
      </c>
      <c r="U71" s="332">
        <f>T71/U$56</f>
        <v>0.59459459459459463</v>
      </c>
      <c r="V71" s="333"/>
      <c r="W71" s="334">
        <f t="shared" si="18"/>
        <v>23.8</v>
      </c>
      <c r="X71" s="335">
        <f t="shared" si="19"/>
        <v>0.67740631387690209</v>
      </c>
    </row>
    <row r="72" spans="1:24" s="1" customFormat="1" ht="15" customHeight="1" x14ac:dyDescent="0.2">
      <c r="A72" s="326" t="s">
        <v>116</v>
      </c>
      <c r="B72" s="341">
        <v>5</v>
      </c>
      <c r="C72" s="328">
        <f>B72/C$56</f>
        <v>0.12820512820512819</v>
      </c>
      <c r="D72" s="341">
        <v>8</v>
      </c>
      <c r="E72" s="329">
        <f>D72/E$56</f>
        <v>0.20512820512820512</v>
      </c>
      <c r="F72" s="341">
        <v>7</v>
      </c>
      <c r="G72" s="329">
        <f>F72/G$56</f>
        <v>0.17499999999999999</v>
      </c>
      <c r="H72" s="342">
        <v>6</v>
      </c>
      <c r="I72" s="329">
        <f>H72/I$56</f>
        <v>0.17142857142857143</v>
      </c>
      <c r="J72" s="342">
        <f>9</f>
        <v>9</v>
      </c>
      <c r="K72" s="329">
        <f>J72/K$56</f>
        <v>0.24324324324324326</v>
      </c>
      <c r="L72" s="342">
        <v>6</v>
      </c>
      <c r="M72" s="329">
        <f>L72/M$56</f>
        <v>0.17647058823529413</v>
      </c>
      <c r="N72" s="342">
        <v>8</v>
      </c>
      <c r="O72" s="329">
        <f>N72/O$56</f>
        <v>0.22857142857142856</v>
      </c>
      <c r="P72" s="342">
        <v>9</v>
      </c>
      <c r="Q72" s="329">
        <f>P72/Q$56</f>
        <v>0.25714285714285712</v>
      </c>
      <c r="R72" s="342">
        <v>12</v>
      </c>
      <c r="S72" s="329">
        <f>R72/S$56</f>
        <v>0.34285714285714286</v>
      </c>
      <c r="T72" s="342">
        <v>12</v>
      </c>
      <c r="U72" s="332">
        <f>T72/U$56</f>
        <v>0.32432432432432434</v>
      </c>
      <c r="V72" s="333"/>
      <c r="W72" s="334">
        <f t="shared" si="18"/>
        <v>9.4</v>
      </c>
      <c r="X72" s="335">
        <f t="shared" si="19"/>
        <v>0.26587326822620938</v>
      </c>
    </row>
    <row r="73" spans="1:24" s="1" customFormat="1" ht="15" customHeight="1" thickBot="1" x14ac:dyDescent="0.25">
      <c r="A73" s="336" t="s">
        <v>117</v>
      </c>
      <c r="B73" s="669">
        <v>4</v>
      </c>
      <c r="C73" s="659">
        <f>B73/C$56</f>
        <v>0.10256410256410256</v>
      </c>
      <c r="D73" s="669">
        <f>1+2</f>
        <v>3</v>
      </c>
      <c r="E73" s="660">
        <f>D73/E$56</f>
        <v>7.6923076923076927E-2</v>
      </c>
      <c r="F73" s="669">
        <v>5</v>
      </c>
      <c r="G73" s="660">
        <f>F73/G$56</f>
        <v>0.125</v>
      </c>
      <c r="H73" s="669">
        <v>4</v>
      </c>
      <c r="I73" s="660">
        <f>H73/I$56</f>
        <v>0.11428571428571428</v>
      </c>
      <c r="J73" s="669">
        <f>3</f>
        <v>3</v>
      </c>
      <c r="K73" s="660">
        <f>J73/K$56</f>
        <v>8.1081081081081086E-2</v>
      </c>
      <c r="L73" s="669">
        <v>3</v>
      </c>
      <c r="M73" s="660">
        <f>L73/M$56</f>
        <v>8.8235294117647065E-2</v>
      </c>
      <c r="N73" s="669">
        <v>1</v>
      </c>
      <c r="O73" s="660">
        <f>N73/O$56</f>
        <v>2.8571428571428571E-2</v>
      </c>
      <c r="P73" s="669">
        <v>2</v>
      </c>
      <c r="Q73" s="660">
        <f>P73/Q$56</f>
        <v>5.7142857142857141E-2</v>
      </c>
      <c r="R73" s="669">
        <v>1</v>
      </c>
      <c r="S73" s="660">
        <f>R73/S$56</f>
        <v>2.8571428571428571E-2</v>
      </c>
      <c r="T73" s="670">
        <v>3</v>
      </c>
      <c r="U73" s="661">
        <f>T73/U$56</f>
        <v>8.1081081081081086E-2</v>
      </c>
      <c r="V73" s="333"/>
      <c r="W73" s="662">
        <f t="shared" si="18"/>
        <v>2</v>
      </c>
      <c r="X73" s="663">
        <f t="shared" si="19"/>
        <v>5.6720417896888489E-2</v>
      </c>
    </row>
    <row r="74" spans="1:24" s="1" customFormat="1" ht="18" customHeight="1" x14ac:dyDescent="0.2">
      <c r="A74" s="886" t="s">
        <v>118</v>
      </c>
      <c r="B74" s="671"/>
      <c r="C74" s="654"/>
      <c r="D74" s="671"/>
      <c r="E74" s="655"/>
      <c r="F74" s="671"/>
      <c r="G74" s="655"/>
      <c r="H74" s="671"/>
      <c r="I74" s="655"/>
      <c r="J74" s="671"/>
      <c r="K74" s="655"/>
      <c r="L74" s="671"/>
      <c r="M74" s="655"/>
      <c r="N74" s="671"/>
      <c r="O74" s="655"/>
      <c r="P74" s="671"/>
      <c r="Q74" s="655"/>
      <c r="R74" s="671"/>
      <c r="S74" s="655"/>
      <c r="T74" s="672"/>
      <c r="U74" s="656"/>
      <c r="V74" s="333"/>
      <c r="W74" s="657"/>
      <c r="X74" s="658"/>
    </row>
    <row r="75" spans="1:24" s="1" customFormat="1" ht="15" customHeight="1" x14ac:dyDescent="0.2">
      <c r="A75" s="326" t="s">
        <v>119</v>
      </c>
      <c r="B75" s="341">
        <v>38</v>
      </c>
      <c r="C75" s="328">
        <f>B75/C$56</f>
        <v>0.97435897435897434</v>
      </c>
      <c r="D75" s="341">
        <f>37+1</f>
        <v>38</v>
      </c>
      <c r="E75" s="329">
        <f>D75/E$56</f>
        <v>0.97435897435897434</v>
      </c>
      <c r="F75" s="341">
        <v>39</v>
      </c>
      <c r="G75" s="329">
        <f>F75/G$56</f>
        <v>0.97499999999999998</v>
      </c>
      <c r="H75" s="341">
        <v>34</v>
      </c>
      <c r="I75" s="329">
        <f>H75/I$56</f>
        <v>0.97142857142857142</v>
      </c>
      <c r="J75" s="341">
        <f>36</f>
        <v>36</v>
      </c>
      <c r="K75" s="329">
        <f>J75/K$56</f>
        <v>0.97297297297297303</v>
      </c>
      <c r="L75" s="341">
        <v>33</v>
      </c>
      <c r="M75" s="329">
        <f>L75/M$56</f>
        <v>0.97058823529411764</v>
      </c>
      <c r="N75" s="341">
        <f>1+34</f>
        <v>35</v>
      </c>
      <c r="O75" s="329">
        <f>N75/O$56</f>
        <v>1</v>
      </c>
      <c r="P75" s="341">
        <v>34</v>
      </c>
      <c r="Q75" s="329">
        <f>P75/Q$56</f>
        <v>0.97142857142857142</v>
      </c>
      <c r="R75" s="341">
        <v>34</v>
      </c>
      <c r="S75" s="329">
        <f>R75/S$56</f>
        <v>0.97142857142857142</v>
      </c>
      <c r="T75" s="342">
        <v>36</v>
      </c>
      <c r="U75" s="332">
        <f>T75/U$56</f>
        <v>0.97297297297297303</v>
      </c>
      <c r="V75" s="333"/>
      <c r="W75" s="334">
        <f t="shared" si="18"/>
        <v>34.4</v>
      </c>
      <c r="X75" s="335">
        <f t="shared" si="19"/>
        <v>0.97728367022484675</v>
      </c>
    </row>
    <row r="76" spans="1:24" s="1" customFormat="1" ht="15" customHeight="1" x14ac:dyDescent="0.2">
      <c r="A76" s="326" t="s">
        <v>120</v>
      </c>
      <c r="B76" s="341">
        <v>1</v>
      </c>
      <c r="C76" s="328">
        <f>B76/C$56</f>
        <v>2.564102564102564E-2</v>
      </c>
      <c r="D76" s="341">
        <v>1</v>
      </c>
      <c r="E76" s="329">
        <f>D76/E$56</f>
        <v>2.564102564102564E-2</v>
      </c>
      <c r="F76" s="341">
        <v>1</v>
      </c>
      <c r="G76" s="329">
        <f>F76/G$56</f>
        <v>2.5000000000000001E-2</v>
      </c>
      <c r="H76" s="341">
        <v>1</v>
      </c>
      <c r="I76" s="329">
        <f>H76/I$56</f>
        <v>2.8571428571428571E-2</v>
      </c>
      <c r="J76" s="341">
        <f>1</f>
        <v>1</v>
      </c>
      <c r="K76" s="329">
        <f>J76/K$56</f>
        <v>2.7027027027027029E-2</v>
      </c>
      <c r="L76" s="341">
        <v>1</v>
      </c>
      <c r="M76" s="329">
        <f>L76/M$56</f>
        <v>2.9411764705882353E-2</v>
      </c>
      <c r="N76" s="341">
        <v>0</v>
      </c>
      <c r="O76" s="329">
        <f>N76/O$56</f>
        <v>0</v>
      </c>
      <c r="P76" s="341">
        <v>1</v>
      </c>
      <c r="Q76" s="329">
        <f>P76/Q$56</f>
        <v>2.8571428571428571E-2</v>
      </c>
      <c r="R76" s="341">
        <v>1</v>
      </c>
      <c r="S76" s="329">
        <f>R76/S$56</f>
        <v>2.8571428571428571E-2</v>
      </c>
      <c r="T76" s="342">
        <v>1</v>
      </c>
      <c r="U76" s="332">
        <f>T76/U$56</f>
        <v>2.7027027027027029E-2</v>
      </c>
      <c r="V76" s="333"/>
      <c r="W76" s="334">
        <f t="shared" si="18"/>
        <v>0.8</v>
      </c>
      <c r="X76" s="335">
        <f t="shared" si="19"/>
        <v>2.2716329775153303E-2</v>
      </c>
    </row>
    <row r="77" spans="1:24" s="1" customFormat="1" ht="15" customHeight="1" x14ac:dyDescent="0.2">
      <c r="A77" s="326" t="s">
        <v>121</v>
      </c>
      <c r="B77" s="341">
        <v>0</v>
      </c>
      <c r="C77" s="328">
        <f>B77/C$56</f>
        <v>0</v>
      </c>
      <c r="D77" s="341">
        <v>0</v>
      </c>
      <c r="E77" s="329">
        <f>D77/E$56</f>
        <v>0</v>
      </c>
      <c r="F77" s="341">
        <v>0</v>
      </c>
      <c r="G77" s="329">
        <f>F77/G$56</f>
        <v>0</v>
      </c>
      <c r="H77" s="341">
        <v>0</v>
      </c>
      <c r="I77" s="329">
        <f>H77/I$56</f>
        <v>0</v>
      </c>
      <c r="J77" s="341">
        <f>0</f>
        <v>0</v>
      </c>
      <c r="K77" s="329">
        <f>J77/K$56</f>
        <v>0</v>
      </c>
      <c r="L77" s="341">
        <v>0</v>
      </c>
      <c r="M77" s="329">
        <f>L77/M$56</f>
        <v>0</v>
      </c>
      <c r="N77" s="341">
        <v>0</v>
      </c>
      <c r="O77" s="329">
        <f>N77/O$56</f>
        <v>0</v>
      </c>
      <c r="P77" s="341">
        <v>0</v>
      </c>
      <c r="Q77" s="329">
        <f>P77/Q$56</f>
        <v>0</v>
      </c>
      <c r="R77" s="341">
        <v>0</v>
      </c>
      <c r="S77" s="329">
        <f>R77/S$56</f>
        <v>0</v>
      </c>
      <c r="T77" s="342">
        <v>0</v>
      </c>
      <c r="U77" s="332">
        <f>T77/U$56</f>
        <v>0</v>
      </c>
      <c r="V77" s="320"/>
      <c r="W77" s="334">
        <f t="shared" si="18"/>
        <v>0</v>
      </c>
      <c r="X77" s="335">
        <f t="shared" si="19"/>
        <v>0</v>
      </c>
    </row>
    <row r="78" spans="1:24" s="1" customFormat="1" ht="15" customHeight="1" thickBot="1" x14ac:dyDescent="0.25">
      <c r="A78" s="344" t="s">
        <v>122</v>
      </c>
      <c r="B78" s="345">
        <v>0</v>
      </c>
      <c r="C78" s="346">
        <f>B78/C$56</f>
        <v>0</v>
      </c>
      <c r="D78" s="345">
        <v>0</v>
      </c>
      <c r="E78" s="347">
        <f>D78/E$56</f>
        <v>0</v>
      </c>
      <c r="F78" s="345">
        <v>0</v>
      </c>
      <c r="G78" s="347">
        <f>F78/G$56</f>
        <v>0</v>
      </c>
      <c r="H78" s="345">
        <v>0</v>
      </c>
      <c r="I78" s="347">
        <f>H78/I$56</f>
        <v>0</v>
      </c>
      <c r="J78" s="345">
        <f>0</f>
        <v>0</v>
      </c>
      <c r="K78" s="347">
        <f>J78/K$56</f>
        <v>0</v>
      </c>
      <c r="L78" s="345">
        <v>0</v>
      </c>
      <c r="M78" s="347">
        <f>L78/M$56</f>
        <v>0</v>
      </c>
      <c r="N78" s="345">
        <v>0</v>
      </c>
      <c r="O78" s="347">
        <f>N78/O$56</f>
        <v>0</v>
      </c>
      <c r="P78" s="345">
        <v>0</v>
      </c>
      <c r="Q78" s="347">
        <f>P78/Q$56</f>
        <v>0</v>
      </c>
      <c r="R78" s="345">
        <v>0</v>
      </c>
      <c r="S78" s="347">
        <f>R78/S$56</f>
        <v>0</v>
      </c>
      <c r="T78" s="348">
        <v>0</v>
      </c>
      <c r="U78" s="349">
        <f>T78/U$56</f>
        <v>0</v>
      </c>
      <c r="V78" s="320"/>
      <c r="W78" s="350">
        <f t="shared" si="18"/>
        <v>0</v>
      </c>
      <c r="X78" s="351">
        <f t="shared" si="19"/>
        <v>0</v>
      </c>
    </row>
    <row r="79" spans="1:24" ht="15" customHeight="1" thickTop="1" x14ac:dyDescent="0.2">
      <c r="A79" s="635" t="s">
        <v>251</v>
      </c>
    </row>
    <row r="80" spans="1:24" ht="15" customHeight="1" x14ac:dyDescent="0.2">
      <c r="A80" s="1"/>
      <c r="J80" s="41"/>
      <c r="K80" s="41"/>
      <c r="L80" s="41"/>
    </row>
    <row r="81" spans="1:20" ht="15" customHeight="1" x14ac:dyDescent="0.2">
      <c r="A81" s="548"/>
      <c r="H81" s="26"/>
      <c r="J81" s="1147"/>
      <c r="K81" s="1196"/>
      <c r="L81" s="1147" t="s">
        <v>16</v>
      </c>
      <c r="N81" s="26" t="s">
        <v>16</v>
      </c>
      <c r="P81" s="26" t="s">
        <v>16</v>
      </c>
      <c r="R81" s="26" t="s">
        <v>16</v>
      </c>
      <c r="T81" s="26" t="s">
        <v>16</v>
      </c>
    </row>
    <row r="82" spans="1:20" ht="15" customHeight="1" x14ac:dyDescent="0.2">
      <c r="A82" s="547"/>
      <c r="J82" s="41"/>
      <c r="K82" s="1197"/>
      <c r="L82" s="41"/>
    </row>
    <row r="83" spans="1:20" ht="15" customHeight="1" x14ac:dyDescent="0.2">
      <c r="A83" s="547"/>
      <c r="J83" s="41"/>
      <c r="K83" s="1196"/>
      <c r="L83" s="41"/>
    </row>
    <row r="84" spans="1:20" x14ac:dyDescent="0.2">
      <c r="A84" s="1"/>
      <c r="J84" s="41"/>
      <c r="K84" s="41"/>
      <c r="L84" s="41"/>
    </row>
    <row r="85" spans="1:20" x14ac:dyDescent="0.2">
      <c r="A85" s="1"/>
    </row>
    <row r="86" spans="1:20" x14ac:dyDescent="0.2">
      <c r="A86" s="1"/>
    </row>
    <row r="87" spans="1:20" x14ac:dyDescent="0.2">
      <c r="A87" s="1"/>
    </row>
    <row r="88" spans="1:20" x14ac:dyDescent="0.2">
      <c r="A88" s="1"/>
    </row>
    <row r="89" spans="1:20" x14ac:dyDescent="0.2">
      <c r="A89" s="1"/>
    </row>
    <row r="90" spans="1:20" x14ac:dyDescent="0.2">
      <c r="A90" s="1"/>
    </row>
    <row r="91" spans="1:20" x14ac:dyDescent="0.2">
      <c r="A91" s="1"/>
    </row>
    <row r="92" spans="1:20" x14ac:dyDescent="0.2">
      <c r="A92" s="1"/>
    </row>
    <row r="93" spans="1:20" x14ac:dyDescent="0.2">
      <c r="A93" s="1"/>
    </row>
    <row r="94" spans="1:20" x14ac:dyDescent="0.2">
      <c r="A94" s="1"/>
    </row>
    <row r="95" spans="1:20" x14ac:dyDescent="0.2">
      <c r="A95" s="1"/>
    </row>
    <row r="96" spans="1:20" x14ac:dyDescent="0.2">
      <c r="A96" s="547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</sheetData>
  <mergeCells count="77">
    <mergeCell ref="W44:X44"/>
    <mergeCell ref="N44:O44"/>
    <mergeCell ref="P44:Q44"/>
    <mergeCell ref="R44:S44"/>
    <mergeCell ref="B44:C44"/>
    <mergeCell ref="D44:E44"/>
    <mergeCell ref="F44:G44"/>
    <mergeCell ref="H44:I44"/>
    <mergeCell ref="J44:K44"/>
    <mergeCell ref="L44:M44"/>
    <mergeCell ref="T44:U44"/>
    <mergeCell ref="N9:O9"/>
    <mergeCell ref="P9:Q9"/>
    <mergeCell ref="R9:S9"/>
    <mergeCell ref="W9:X9"/>
    <mergeCell ref="B9:C9"/>
    <mergeCell ref="D9:E9"/>
    <mergeCell ref="F9:G9"/>
    <mergeCell ref="H9:I9"/>
    <mergeCell ref="J9:K9"/>
    <mergeCell ref="L9:M9"/>
    <mergeCell ref="T9:U9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W21:X21"/>
    <mergeCell ref="T21:U21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W26:X26"/>
    <mergeCell ref="T26:U26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W28:X28"/>
    <mergeCell ref="T28:U28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W35:X35"/>
    <mergeCell ref="T35:U35"/>
    <mergeCell ref="B38:C38"/>
    <mergeCell ref="D38:E38"/>
    <mergeCell ref="F38:G38"/>
    <mergeCell ref="H38:I38"/>
    <mergeCell ref="J38:K38"/>
    <mergeCell ref="N38:O38"/>
    <mergeCell ref="P38:Q38"/>
    <mergeCell ref="R38:S38"/>
    <mergeCell ref="W38:X38"/>
    <mergeCell ref="L38:M38"/>
    <mergeCell ref="T38:U38"/>
  </mergeCells>
  <pageMargins left="0.7" right="0.7" top="0.5" bottom="0.5" header="0.3" footer="0.3"/>
  <pageSetup scale="70" orientation="landscape" r:id="rId1"/>
  <headerFooter>
    <oddFooter>&amp;LPrepared by Planning and Analysis&amp;C&amp;P of &amp;N&amp;RUpdated &amp;D</oddFooter>
  </headerFooter>
  <rowBreaks count="1" manualBreakCount="1">
    <brk id="43" max="22" man="1"/>
  </rowBreaks>
  <colBreaks count="1" manualBreakCount="1">
    <brk id="21" max="1048575" man="1"/>
  </colBreaks>
  <ignoredErrors>
    <ignoredError sqref="D59:R7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39"/>
  <sheetViews>
    <sheetView view="pageBreakPreview" topLeftCell="A22" zoomScaleNormal="100" zoomScaleSheetLayoutView="100" workbookViewId="0">
      <pane xSplit="5" topLeftCell="F1" activePane="topRight" state="frozen"/>
      <selection activeCell="U23" sqref="U23"/>
      <selection pane="topRight" activeCell="U23" sqref="U23"/>
    </sheetView>
  </sheetViews>
  <sheetFormatPr defaultColWidth="10.28515625" defaultRowHeight="12.75" x14ac:dyDescent="0.2"/>
  <cols>
    <col min="1" max="1" width="35.8554687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4" ht="15.75" x14ac:dyDescent="0.25">
      <c r="A1" s="636" t="s">
        <v>208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</row>
    <row r="2" spans="1:24" ht="15.75" x14ac:dyDescent="0.25">
      <c r="A2" s="636" t="s">
        <v>209</v>
      </c>
    </row>
    <row r="3" spans="1:24" x14ac:dyDescent="0.2">
      <c r="A3" s="2"/>
    </row>
    <row r="4" spans="1:24" ht="15.75" x14ac:dyDescent="0.25">
      <c r="A4" s="157" t="s">
        <v>211</v>
      </c>
    </row>
    <row r="5" spans="1:24" x14ac:dyDescent="0.2">
      <c r="A5" s="556"/>
    </row>
    <row r="6" spans="1:24" x14ac:dyDescent="0.2">
      <c r="A6" s="2" t="s">
        <v>237</v>
      </c>
      <c r="O6" t="s">
        <v>16</v>
      </c>
    </row>
    <row r="7" spans="1:24" x14ac:dyDescent="0.2">
      <c r="A7" s="966">
        <v>3670010050</v>
      </c>
    </row>
    <row r="8" spans="1:24" ht="13.5" thickBot="1" x14ac:dyDescent="0.25">
      <c r="A8" s="1"/>
    </row>
    <row r="9" spans="1:24" ht="15" customHeight="1" thickTop="1" thickBot="1" x14ac:dyDescent="0.25">
      <c r="A9" s="215"/>
      <c r="B9" s="1304" t="s">
        <v>0</v>
      </c>
      <c r="C9" s="1305"/>
      <c r="D9" s="1304" t="s">
        <v>1</v>
      </c>
      <c r="E9" s="1305"/>
      <c r="F9" s="1304" t="s">
        <v>2</v>
      </c>
      <c r="G9" s="1305"/>
      <c r="H9" s="1304" t="s">
        <v>3</v>
      </c>
      <c r="I9" s="1305"/>
      <c r="J9" s="1304" t="s">
        <v>4</v>
      </c>
      <c r="K9" s="1305"/>
      <c r="L9" s="1304" t="s">
        <v>5</v>
      </c>
      <c r="M9" s="1305"/>
      <c r="N9" s="1304" t="s">
        <v>6</v>
      </c>
      <c r="O9" s="1305"/>
      <c r="P9" s="1304" t="s">
        <v>7</v>
      </c>
      <c r="Q9" s="1305"/>
      <c r="R9" s="1304" t="s">
        <v>8</v>
      </c>
      <c r="S9" s="1305"/>
      <c r="T9" s="1304" t="s">
        <v>254</v>
      </c>
      <c r="U9" s="1306"/>
      <c r="W9" s="1302" t="s">
        <v>9</v>
      </c>
      <c r="X9" s="1303"/>
    </row>
    <row r="10" spans="1:24" ht="15" customHeight="1" x14ac:dyDescent="0.2">
      <c r="A10" s="216"/>
      <c r="B10" s="28" t="s">
        <v>235</v>
      </c>
      <c r="C10" s="5" t="s">
        <v>11</v>
      </c>
      <c r="D10" s="28" t="s">
        <v>235</v>
      </c>
      <c r="E10" s="5" t="s">
        <v>11</v>
      </c>
      <c r="F10" s="28" t="s">
        <v>235</v>
      </c>
      <c r="G10" s="5" t="s">
        <v>11</v>
      </c>
      <c r="H10" s="28" t="s">
        <v>235</v>
      </c>
      <c r="I10" s="5" t="s">
        <v>11</v>
      </c>
      <c r="J10" s="28" t="s">
        <v>235</v>
      </c>
      <c r="K10" s="5" t="s">
        <v>11</v>
      </c>
      <c r="L10" s="28" t="s">
        <v>235</v>
      </c>
      <c r="M10" s="5" t="s">
        <v>11</v>
      </c>
      <c r="N10" s="28" t="s">
        <v>235</v>
      </c>
      <c r="O10" s="5" t="s">
        <v>11</v>
      </c>
      <c r="P10" s="28" t="s">
        <v>235</v>
      </c>
      <c r="Q10" s="5" t="s">
        <v>11</v>
      </c>
      <c r="R10" s="28" t="s">
        <v>235</v>
      </c>
      <c r="S10" s="5" t="s">
        <v>11</v>
      </c>
      <c r="T10" s="28" t="s">
        <v>235</v>
      </c>
      <c r="U10" s="52" t="s">
        <v>11</v>
      </c>
      <c r="W10" s="3" t="s">
        <v>236</v>
      </c>
      <c r="X10" s="4" t="s">
        <v>13</v>
      </c>
    </row>
    <row r="11" spans="1:24" ht="15" customHeight="1" thickBot="1" x14ac:dyDescent="0.25">
      <c r="A11" s="30" t="s">
        <v>84</v>
      </c>
      <c r="B11" s="29" t="s">
        <v>14</v>
      </c>
      <c r="C11" s="29" t="s">
        <v>15</v>
      </c>
      <c r="D11" s="62" t="s">
        <v>14</v>
      </c>
      <c r="E11" s="63" t="s">
        <v>15</v>
      </c>
      <c r="F11" s="29" t="s">
        <v>14</v>
      </c>
      <c r="G11" s="959" t="s">
        <v>15</v>
      </c>
      <c r="H11" s="62" t="s">
        <v>14</v>
      </c>
      <c r="I11" s="63" t="s">
        <v>15</v>
      </c>
      <c r="J11" s="62" t="s">
        <v>14</v>
      </c>
      <c r="K11" s="63" t="s">
        <v>15</v>
      </c>
      <c r="L11" s="62" t="s">
        <v>14</v>
      </c>
      <c r="M11" s="63" t="s">
        <v>15</v>
      </c>
      <c r="N11" s="62" t="s">
        <v>14</v>
      </c>
      <c r="O11" s="63" t="s">
        <v>15</v>
      </c>
      <c r="P11" s="62" t="s">
        <v>14</v>
      </c>
      <c r="Q11" s="63" t="s">
        <v>15</v>
      </c>
      <c r="R11" s="62" t="s">
        <v>14</v>
      </c>
      <c r="S11" s="63" t="s">
        <v>15</v>
      </c>
      <c r="T11" s="29" t="s">
        <v>14</v>
      </c>
      <c r="U11" s="7" t="s">
        <v>15</v>
      </c>
      <c r="W11" s="6" t="s">
        <v>14</v>
      </c>
      <c r="X11" s="7" t="s">
        <v>15</v>
      </c>
    </row>
    <row r="12" spans="1:24" ht="15" customHeight="1" x14ac:dyDescent="0.2">
      <c r="A12" s="1264" t="s">
        <v>135</v>
      </c>
      <c r="B12" s="597"/>
      <c r="C12" s="687"/>
      <c r="D12" s="594"/>
      <c r="E12" s="688"/>
      <c r="F12" s="597"/>
      <c r="G12" s="688"/>
      <c r="H12" s="597"/>
      <c r="I12" s="688"/>
      <c r="J12" s="597"/>
      <c r="K12" s="688"/>
      <c r="L12" s="597"/>
      <c r="M12" s="688"/>
      <c r="N12" s="597"/>
      <c r="O12" s="688"/>
      <c r="P12" s="597"/>
      <c r="Q12" s="688"/>
      <c r="R12" s="597"/>
      <c r="S12" s="688"/>
      <c r="T12" s="597"/>
      <c r="U12" s="689"/>
      <c r="V12" s="372"/>
      <c r="W12" s="478"/>
      <c r="X12" s="592"/>
    </row>
    <row r="13" spans="1:24" s="232" customFormat="1" ht="15" customHeight="1" x14ac:dyDescent="0.2">
      <c r="A13" s="224" t="s">
        <v>85</v>
      </c>
      <c r="B13" s="225">
        <v>280</v>
      </c>
      <c r="C13" s="226"/>
      <c r="D13" s="227">
        <v>298</v>
      </c>
      <c r="E13" s="228"/>
      <c r="F13" s="225">
        <v>324</v>
      </c>
      <c r="G13" s="228"/>
      <c r="H13" s="225">
        <v>398</v>
      </c>
      <c r="I13" s="228"/>
      <c r="J13" s="225">
        <v>416</v>
      </c>
      <c r="K13" s="228"/>
      <c r="L13" s="225">
        <v>430</v>
      </c>
      <c r="M13" s="228"/>
      <c r="N13" s="225">
        <v>394</v>
      </c>
      <c r="O13" s="228"/>
      <c r="P13" s="225">
        <v>539</v>
      </c>
      <c r="Q13" s="228"/>
      <c r="R13" s="225">
        <f>237+245</f>
        <v>482</v>
      </c>
      <c r="S13" s="228"/>
      <c r="T13" s="230">
        <v>473</v>
      </c>
      <c r="U13" s="231"/>
      <c r="W13" s="222">
        <f>AVERAGE(N13,L13,R13,T13,P13)</f>
        <v>463.6</v>
      </c>
      <c r="X13" s="1260"/>
    </row>
    <row r="14" spans="1:24" s="232" customFormat="1" ht="15" customHeight="1" thickBot="1" x14ac:dyDescent="0.25">
      <c r="A14" s="234" t="s">
        <v>86</v>
      </c>
      <c r="B14" s="235">
        <v>394</v>
      </c>
      <c r="C14" s="236"/>
      <c r="D14" s="237">
        <v>397</v>
      </c>
      <c r="E14" s="238"/>
      <c r="F14" s="235">
        <v>413</v>
      </c>
      <c r="G14" s="238"/>
      <c r="H14" s="235">
        <v>375</v>
      </c>
      <c r="I14" s="238"/>
      <c r="J14" s="235">
        <v>417</v>
      </c>
      <c r="K14" s="238"/>
      <c r="L14" s="235">
        <v>468</v>
      </c>
      <c r="M14" s="238"/>
      <c r="N14" s="235">
        <v>482</v>
      </c>
      <c r="O14" s="238"/>
      <c r="P14" s="235">
        <v>511</v>
      </c>
      <c r="Q14" s="238"/>
      <c r="R14" s="235">
        <f>229+286</f>
        <v>515</v>
      </c>
      <c r="S14" s="238"/>
      <c r="T14" s="235">
        <v>570</v>
      </c>
      <c r="U14" s="240"/>
      <c r="W14" s="449">
        <f t="shared" ref="W14:W31" si="0">AVERAGE(N14,L14,R14,T14,P14)</f>
        <v>509.2</v>
      </c>
      <c r="X14" s="1261"/>
    </row>
    <row r="15" spans="1:24" s="33" customFormat="1" ht="15" customHeight="1" thickBot="1" x14ac:dyDescent="0.25">
      <c r="A15" s="241" t="s">
        <v>87</v>
      </c>
      <c r="B15" s="242">
        <f t="shared" ref="B15:R15" si="1">SUM(B13:B14)</f>
        <v>674</v>
      </c>
      <c r="C15" s="540">
        <v>145</v>
      </c>
      <c r="D15" s="242">
        <f t="shared" si="1"/>
        <v>695</v>
      </c>
      <c r="E15" s="540">
        <v>133</v>
      </c>
      <c r="F15" s="258">
        <f t="shared" si="1"/>
        <v>737</v>
      </c>
      <c r="G15" s="243">
        <v>158</v>
      </c>
      <c r="H15" s="242">
        <f t="shared" si="1"/>
        <v>773</v>
      </c>
      <c r="I15" s="243">
        <v>159</v>
      </c>
      <c r="J15" s="242">
        <f t="shared" si="1"/>
        <v>833</v>
      </c>
      <c r="K15" s="243">
        <v>124</v>
      </c>
      <c r="L15" s="541">
        <f t="shared" si="1"/>
        <v>898</v>
      </c>
      <c r="M15" s="243">
        <v>178</v>
      </c>
      <c r="N15" s="242">
        <f t="shared" si="1"/>
        <v>876</v>
      </c>
      <c r="O15" s="243">
        <v>174</v>
      </c>
      <c r="P15" s="242">
        <f t="shared" si="1"/>
        <v>1050</v>
      </c>
      <c r="Q15" s="243">
        <v>200</v>
      </c>
      <c r="R15" s="242">
        <f t="shared" si="1"/>
        <v>997</v>
      </c>
      <c r="S15" s="243">
        <v>195</v>
      </c>
      <c r="T15" s="242">
        <v>1043</v>
      </c>
      <c r="U15" s="305">
        <f t="shared" ref="U15" si="2">SUM(U13:U14)</f>
        <v>0</v>
      </c>
      <c r="W15" s="831">
        <f t="shared" si="0"/>
        <v>972.8</v>
      </c>
      <c r="X15" s="960">
        <f>AVERAGE(O15,M15,S15,K15,Q15)</f>
        <v>174.2</v>
      </c>
    </row>
    <row r="16" spans="1:24" s="33" customFormat="1" ht="15" customHeight="1" x14ac:dyDescent="0.2">
      <c r="A16" s="156" t="s">
        <v>136</v>
      </c>
      <c r="B16" s="298">
        <v>32</v>
      </c>
      <c r="C16" s="297"/>
      <c r="D16" s="296">
        <v>16</v>
      </c>
      <c r="E16" s="287">
        <v>17</v>
      </c>
      <c r="F16" s="526">
        <v>22</v>
      </c>
      <c r="G16" s="287">
        <v>9</v>
      </c>
      <c r="H16" s="298">
        <v>35</v>
      </c>
      <c r="I16" s="287">
        <v>27</v>
      </c>
      <c r="J16" s="298">
        <v>35</v>
      </c>
      <c r="K16" s="287">
        <v>22</v>
      </c>
      <c r="L16" s="298">
        <v>35</v>
      </c>
      <c r="M16" s="287">
        <v>27</v>
      </c>
      <c r="N16" s="298">
        <v>48</v>
      </c>
      <c r="O16" s="287">
        <v>19</v>
      </c>
      <c r="P16" s="298">
        <v>68</v>
      </c>
      <c r="Q16" s="287">
        <v>34</v>
      </c>
      <c r="R16" s="298">
        <v>63</v>
      </c>
      <c r="S16" s="287">
        <v>28</v>
      </c>
      <c r="T16" s="533">
        <v>68</v>
      </c>
      <c r="U16" s="1252"/>
      <c r="W16" s="450">
        <f t="shared" si="0"/>
        <v>56.4</v>
      </c>
      <c r="X16" s="451">
        <f t="shared" ref="X16:X24" si="3">AVERAGE(O16,M16,S16,K16,Q16)</f>
        <v>26</v>
      </c>
    </row>
    <row r="17" spans="1:24" s="33" customFormat="1" ht="15" customHeight="1" x14ac:dyDescent="0.2">
      <c r="A17" s="156" t="s">
        <v>137</v>
      </c>
      <c r="B17" s="301"/>
      <c r="C17" s="510"/>
      <c r="D17" s="299"/>
      <c r="E17" s="300"/>
      <c r="F17" s="1258"/>
      <c r="G17" s="1259"/>
      <c r="H17" s="1258"/>
      <c r="I17" s="1259"/>
      <c r="J17" s="1258"/>
      <c r="K17" s="1259"/>
      <c r="L17" s="1258"/>
      <c r="M17" s="1259"/>
      <c r="N17" s="298">
        <v>1</v>
      </c>
      <c r="O17" s="287">
        <v>1</v>
      </c>
      <c r="P17" s="298">
        <v>5</v>
      </c>
      <c r="Q17" s="287">
        <v>1</v>
      </c>
      <c r="R17" s="298">
        <v>7</v>
      </c>
      <c r="S17" s="287">
        <v>3</v>
      </c>
      <c r="T17" s="298">
        <v>5</v>
      </c>
      <c r="U17" s="1253"/>
      <c r="W17" s="222">
        <f t="shared" si="0"/>
        <v>4.5</v>
      </c>
      <c r="X17" s="233">
        <f t="shared" si="3"/>
        <v>1.6666666666666667</v>
      </c>
    </row>
    <row r="18" spans="1:24" s="33" customFormat="1" ht="15" customHeight="1" x14ac:dyDescent="0.2">
      <c r="A18" s="156" t="s">
        <v>138</v>
      </c>
      <c r="B18" s="298">
        <v>68</v>
      </c>
      <c r="C18" s="297">
        <v>0</v>
      </c>
      <c r="D18" s="296">
        <v>56</v>
      </c>
      <c r="E18" s="287">
        <v>12</v>
      </c>
      <c r="F18" s="298">
        <f>66+2</f>
        <v>68</v>
      </c>
      <c r="G18" s="287">
        <v>9</v>
      </c>
      <c r="H18" s="298">
        <v>68</v>
      </c>
      <c r="I18" s="287">
        <v>0</v>
      </c>
      <c r="J18" s="298">
        <v>69</v>
      </c>
      <c r="K18" s="287">
        <v>8</v>
      </c>
      <c r="L18" s="298">
        <v>75</v>
      </c>
      <c r="M18" s="287">
        <v>8</v>
      </c>
      <c r="N18" s="298">
        <v>86</v>
      </c>
      <c r="O18" s="287">
        <v>8</v>
      </c>
      <c r="P18" s="298">
        <v>103</v>
      </c>
      <c r="Q18" s="287">
        <v>16</v>
      </c>
      <c r="R18" s="298">
        <v>123</v>
      </c>
      <c r="S18" s="287">
        <v>9</v>
      </c>
      <c r="T18" s="298">
        <v>115</v>
      </c>
      <c r="U18" s="1253"/>
      <c r="W18" s="222">
        <f t="shared" si="0"/>
        <v>100.4</v>
      </c>
      <c r="X18" s="233">
        <f t="shared" si="3"/>
        <v>9.8000000000000007</v>
      </c>
    </row>
    <row r="19" spans="1:24" s="33" customFormat="1" ht="15" customHeight="1" x14ac:dyDescent="0.2">
      <c r="A19" s="156" t="s">
        <v>139</v>
      </c>
      <c r="B19" s="1263"/>
      <c r="C19" s="303"/>
      <c r="D19" s="302"/>
      <c r="E19" s="304"/>
      <c r="F19" s="298">
        <v>0</v>
      </c>
      <c r="G19" s="287">
        <v>0</v>
      </c>
      <c r="H19" s="298">
        <v>3</v>
      </c>
      <c r="I19" s="287">
        <v>0</v>
      </c>
      <c r="J19" s="298">
        <v>2</v>
      </c>
      <c r="K19" s="287">
        <v>0</v>
      </c>
      <c r="L19" s="298">
        <v>3</v>
      </c>
      <c r="M19" s="287">
        <v>5</v>
      </c>
      <c r="N19" s="298">
        <v>5</v>
      </c>
      <c r="O19" s="287">
        <v>5</v>
      </c>
      <c r="P19" s="298">
        <v>5</v>
      </c>
      <c r="Q19" s="287">
        <v>7</v>
      </c>
      <c r="R19" s="298">
        <v>9</v>
      </c>
      <c r="S19" s="287">
        <v>5</v>
      </c>
      <c r="T19" s="298">
        <v>8</v>
      </c>
      <c r="U19" s="1253"/>
      <c r="W19" s="222">
        <f t="shared" si="0"/>
        <v>6</v>
      </c>
      <c r="X19" s="233">
        <f t="shared" si="3"/>
        <v>4.4000000000000004</v>
      </c>
    </row>
    <row r="20" spans="1:24" s="33" customFormat="1" ht="15" customHeight="1" x14ac:dyDescent="0.2">
      <c r="A20" s="156" t="s">
        <v>140</v>
      </c>
      <c r="B20" s="1263"/>
      <c r="C20" s="303"/>
      <c r="D20" s="302"/>
      <c r="E20" s="304"/>
      <c r="F20" s="298">
        <v>0</v>
      </c>
      <c r="G20" s="287">
        <v>1</v>
      </c>
      <c r="H20" s="298">
        <v>2</v>
      </c>
      <c r="I20" s="287">
        <v>0</v>
      </c>
      <c r="J20" s="298">
        <v>4</v>
      </c>
      <c r="K20" s="287">
        <v>2</v>
      </c>
      <c r="L20" s="298">
        <v>2</v>
      </c>
      <c r="M20" s="287">
        <v>1</v>
      </c>
      <c r="N20" s="298">
        <v>5</v>
      </c>
      <c r="O20" s="287">
        <v>0</v>
      </c>
      <c r="P20" s="298">
        <v>7</v>
      </c>
      <c r="Q20" s="287">
        <v>2</v>
      </c>
      <c r="R20" s="298">
        <v>12</v>
      </c>
      <c r="S20" s="287">
        <v>1</v>
      </c>
      <c r="T20" s="298">
        <v>11</v>
      </c>
      <c r="U20" s="1253"/>
      <c r="W20" s="222">
        <f t="shared" si="0"/>
        <v>7.4</v>
      </c>
      <c r="X20" s="233">
        <f t="shared" si="3"/>
        <v>1.2</v>
      </c>
    </row>
    <row r="21" spans="1:24" s="33" customFormat="1" ht="15" customHeight="1" x14ac:dyDescent="0.2">
      <c r="A21" s="156" t="s">
        <v>141</v>
      </c>
      <c r="B21" s="1263"/>
      <c r="C21" s="303"/>
      <c r="D21" s="302"/>
      <c r="E21" s="304"/>
      <c r="F21" s="298">
        <v>0</v>
      </c>
      <c r="G21" s="287">
        <v>0</v>
      </c>
      <c r="H21" s="298">
        <v>1</v>
      </c>
      <c r="I21" s="287">
        <v>0</v>
      </c>
      <c r="J21" s="298">
        <v>1</v>
      </c>
      <c r="K21" s="287">
        <v>1</v>
      </c>
      <c r="L21" s="298">
        <v>0</v>
      </c>
      <c r="M21" s="287">
        <v>1</v>
      </c>
      <c r="N21" s="298">
        <v>1</v>
      </c>
      <c r="O21" s="287">
        <v>0</v>
      </c>
      <c r="P21" s="298">
        <v>2</v>
      </c>
      <c r="Q21" s="287">
        <v>1</v>
      </c>
      <c r="R21" s="298">
        <v>2</v>
      </c>
      <c r="S21" s="287">
        <v>0</v>
      </c>
      <c r="T21" s="298">
        <v>5</v>
      </c>
      <c r="U21" s="1253"/>
      <c r="W21" s="222">
        <f t="shared" si="0"/>
        <v>2</v>
      </c>
      <c r="X21" s="233">
        <f t="shared" si="3"/>
        <v>0.6</v>
      </c>
    </row>
    <row r="22" spans="1:24" s="33" customFormat="1" ht="15" customHeight="1" x14ac:dyDescent="0.2">
      <c r="A22" s="156" t="s">
        <v>142</v>
      </c>
      <c r="B22" s="298">
        <v>0</v>
      </c>
      <c r="C22" s="297">
        <v>0</v>
      </c>
      <c r="D22" s="296">
        <v>0</v>
      </c>
      <c r="E22" s="287">
        <v>0</v>
      </c>
      <c r="F22" s="298">
        <v>0</v>
      </c>
      <c r="G22" s="287">
        <v>0</v>
      </c>
      <c r="H22" s="298">
        <v>0</v>
      </c>
      <c r="I22" s="287">
        <v>1</v>
      </c>
      <c r="J22" s="298">
        <v>0</v>
      </c>
      <c r="K22" s="287">
        <v>0</v>
      </c>
      <c r="L22" s="298">
        <v>0</v>
      </c>
      <c r="M22" s="287">
        <v>0</v>
      </c>
      <c r="N22" s="298">
        <v>0</v>
      </c>
      <c r="O22" s="287">
        <v>0</v>
      </c>
      <c r="P22" s="298">
        <v>0</v>
      </c>
      <c r="Q22" s="287">
        <v>2</v>
      </c>
      <c r="R22" s="298">
        <v>8</v>
      </c>
      <c r="S22" s="287">
        <v>1</v>
      </c>
      <c r="T22" s="298">
        <v>5</v>
      </c>
      <c r="U22" s="1253"/>
      <c r="W22" s="222">
        <f t="shared" si="0"/>
        <v>2.6</v>
      </c>
      <c r="X22" s="233">
        <f t="shared" si="3"/>
        <v>0.6</v>
      </c>
    </row>
    <row r="23" spans="1:24" s="33" customFormat="1" ht="15" customHeight="1" x14ac:dyDescent="0.2">
      <c r="A23" s="156" t="s">
        <v>88</v>
      </c>
      <c r="B23" s="298">
        <v>50</v>
      </c>
      <c r="C23" s="297">
        <f>17+1</f>
        <v>18</v>
      </c>
      <c r="D23" s="296">
        <v>47</v>
      </c>
      <c r="E23" s="287">
        <v>17</v>
      </c>
      <c r="F23" s="298">
        <v>47</v>
      </c>
      <c r="G23" s="287">
        <v>13</v>
      </c>
      <c r="H23" s="298">
        <v>50</v>
      </c>
      <c r="I23" s="287">
        <v>16</v>
      </c>
      <c r="J23" s="298">
        <v>45</v>
      </c>
      <c r="K23" s="287">
        <v>22</v>
      </c>
      <c r="L23" s="298">
        <v>34</v>
      </c>
      <c r="M23" s="287">
        <v>17</v>
      </c>
      <c r="N23" s="298">
        <v>35</v>
      </c>
      <c r="O23" s="287">
        <v>8</v>
      </c>
      <c r="P23" s="298">
        <v>43</v>
      </c>
      <c r="Q23" s="287">
        <v>9</v>
      </c>
      <c r="R23" s="298">
        <v>49</v>
      </c>
      <c r="S23" s="287">
        <v>16</v>
      </c>
      <c r="T23" s="298">
        <v>48</v>
      </c>
      <c r="U23" s="1253"/>
      <c r="W23" s="222">
        <f t="shared" si="0"/>
        <v>41.8</v>
      </c>
      <c r="X23" s="233">
        <f t="shared" si="3"/>
        <v>14.4</v>
      </c>
    </row>
    <row r="24" spans="1:24" s="33" customFormat="1" ht="15" customHeight="1" x14ac:dyDescent="0.2">
      <c r="A24" s="156" t="s">
        <v>131</v>
      </c>
      <c r="B24" s="974">
        <v>20</v>
      </c>
      <c r="C24" s="972">
        <v>5</v>
      </c>
      <c r="D24" s="971">
        <v>22</v>
      </c>
      <c r="E24" s="973">
        <v>4</v>
      </c>
      <c r="F24" s="974">
        <v>22</v>
      </c>
      <c r="G24" s="973">
        <v>3</v>
      </c>
      <c r="H24" s="974">
        <v>28</v>
      </c>
      <c r="I24" s="973">
        <v>5</v>
      </c>
      <c r="J24" s="974">
        <v>20</v>
      </c>
      <c r="K24" s="973">
        <v>5</v>
      </c>
      <c r="L24" s="974">
        <v>24</v>
      </c>
      <c r="M24" s="973">
        <v>6</v>
      </c>
      <c r="N24" s="974">
        <v>26</v>
      </c>
      <c r="O24" s="973">
        <v>5</v>
      </c>
      <c r="P24" s="974">
        <v>22</v>
      </c>
      <c r="Q24" s="973">
        <v>6</v>
      </c>
      <c r="R24" s="974">
        <v>25</v>
      </c>
      <c r="S24" s="973">
        <v>8</v>
      </c>
      <c r="T24" s="974">
        <v>23</v>
      </c>
      <c r="U24" s="1254"/>
      <c r="V24" s="970"/>
      <c r="W24" s="478">
        <f t="shared" si="0"/>
        <v>24</v>
      </c>
      <c r="X24" s="592">
        <f t="shared" si="3"/>
        <v>6</v>
      </c>
    </row>
    <row r="25" spans="1:24" s="33" customFormat="1" ht="15" customHeight="1" x14ac:dyDescent="0.2">
      <c r="A25" s="307" t="s">
        <v>143</v>
      </c>
      <c r="B25" s="969"/>
      <c r="C25" s="975"/>
      <c r="D25" s="976"/>
      <c r="E25" s="977"/>
      <c r="F25" s="976"/>
      <c r="G25" s="977"/>
      <c r="H25" s="976"/>
      <c r="I25" s="977"/>
      <c r="J25" s="976"/>
      <c r="K25" s="977"/>
      <c r="L25" s="976"/>
      <c r="M25" s="977"/>
      <c r="N25" s="976"/>
      <c r="O25" s="977"/>
      <c r="P25" s="976"/>
      <c r="Q25" s="977"/>
      <c r="R25" s="976"/>
      <c r="S25" s="977"/>
      <c r="T25" s="330"/>
      <c r="U25" s="1255"/>
      <c r="V25" s="970"/>
      <c r="W25" s="478"/>
      <c r="X25" s="592"/>
    </row>
    <row r="26" spans="1:24" s="232" customFormat="1" ht="15" customHeight="1" x14ac:dyDescent="0.2">
      <c r="A26" s="224" t="s">
        <v>85</v>
      </c>
      <c r="B26" s="225">
        <v>33</v>
      </c>
      <c r="C26" s="226"/>
      <c r="D26" s="227">
        <v>37</v>
      </c>
      <c r="E26" s="228"/>
      <c r="F26" s="225">
        <v>39</v>
      </c>
      <c r="G26" s="228"/>
      <c r="H26" s="225">
        <v>58</v>
      </c>
      <c r="I26" s="228"/>
      <c r="J26" s="225">
        <v>60</v>
      </c>
      <c r="K26" s="228"/>
      <c r="L26" s="225">
        <v>72</v>
      </c>
      <c r="M26" s="228"/>
      <c r="N26" s="225">
        <v>73</v>
      </c>
      <c r="O26" s="228"/>
      <c r="P26" s="225">
        <v>63</v>
      </c>
      <c r="Q26" s="228"/>
      <c r="R26" s="225">
        <f>31+29+4</f>
        <v>64</v>
      </c>
      <c r="S26" s="228"/>
      <c r="T26" s="298">
        <v>55</v>
      </c>
      <c r="U26" s="1253"/>
      <c r="W26" s="222">
        <f t="shared" si="0"/>
        <v>65.400000000000006</v>
      </c>
      <c r="X26" s="1260"/>
    </row>
    <row r="27" spans="1:24" s="232" customFormat="1" ht="15" customHeight="1" thickBot="1" x14ac:dyDescent="0.25">
      <c r="A27" s="234" t="s">
        <v>86</v>
      </c>
      <c r="B27" s="235">
        <v>76</v>
      </c>
      <c r="C27" s="236"/>
      <c r="D27" s="237">
        <v>74</v>
      </c>
      <c r="E27" s="238"/>
      <c r="F27" s="235">
        <v>94</v>
      </c>
      <c r="G27" s="238"/>
      <c r="H27" s="235">
        <v>110</v>
      </c>
      <c r="I27" s="238"/>
      <c r="J27" s="235">
        <v>136</v>
      </c>
      <c r="K27" s="238"/>
      <c r="L27" s="235">
        <v>154</v>
      </c>
      <c r="M27" s="238"/>
      <c r="N27" s="235">
        <v>169</v>
      </c>
      <c r="O27" s="238"/>
      <c r="P27" s="235">
        <v>172</v>
      </c>
      <c r="Q27" s="238"/>
      <c r="R27" s="235">
        <f>52+121</f>
        <v>173</v>
      </c>
      <c r="S27" s="238"/>
      <c r="T27" s="286">
        <v>144</v>
      </c>
      <c r="U27" s="1255"/>
      <c r="W27" s="449">
        <f t="shared" si="0"/>
        <v>162.4</v>
      </c>
      <c r="X27" s="1261"/>
    </row>
    <row r="28" spans="1:24" s="33" customFormat="1" ht="15" customHeight="1" thickBot="1" x14ac:dyDescent="0.25">
      <c r="A28" s="241" t="s">
        <v>87</v>
      </c>
      <c r="B28" s="242">
        <f t="shared" ref="B28" si="4">SUM(B26:B27)</f>
        <v>109</v>
      </c>
      <c r="C28" s="243">
        <v>21</v>
      </c>
      <c r="D28" s="242">
        <f t="shared" ref="D28" si="5">SUM(D26:D27)</f>
        <v>111</v>
      </c>
      <c r="E28" s="243">
        <v>22</v>
      </c>
      <c r="F28" s="242">
        <f t="shared" ref="F28" si="6">SUM(F26:F27)</f>
        <v>133</v>
      </c>
      <c r="G28" s="243">
        <v>20</v>
      </c>
      <c r="H28" s="242">
        <f t="shared" ref="H28" si="7">SUM(H26:H27)</f>
        <v>168</v>
      </c>
      <c r="I28" s="243">
        <v>30</v>
      </c>
      <c r="J28" s="242">
        <f t="shared" ref="J28" si="8">SUM(J26:J27)</f>
        <v>196</v>
      </c>
      <c r="K28" s="243">
        <v>41</v>
      </c>
      <c r="L28" s="541">
        <f t="shared" ref="L28" si="9">SUM(L26:L27)</f>
        <v>226</v>
      </c>
      <c r="M28" s="243">
        <v>36</v>
      </c>
      <c r="N28" s="242">
        <f t="shared" ref="N28" si="10">SUM(N26:N27)</f>
        <v>242</v>
      </c>
      <c r="O28" s="243">
        <v>42</v>
      </c>
      <c r="P28" s="242">
        <f t="shared" ref="P28" si="11">SUM(P26:P27)</f>
        <v>235</v>
      </c>
      <c r="Q28" s="243">
        <v>52</v>
      </c>
      <c r="R28" s="242">
        <f>SUM(R26:R27)</f>
        <v>237</v>
      </c>
      <c r="S28" s="243">
        <v>60</v>
      </c>
      <c r="T28" s="242">
        <v>199</v>
      </c>
      <c r="U28" s="1191"/>
      <c r="W28" s="831">
        <f t="shared" si="0"/>
        <v>227.8</v>
      </c>
      <c r="X28" s="960">
        <f t="shared" ref="X28:X31" si="12">AVERAGE(O28,M28,S28,K28,Q28)</f>
        <v>46.2</v>
      </c>
    </row>
    <row r="29" spans="1:24" s="33" customFormat="1" ht="15" customHeight="1" x14ac:dyDescent="0.2">
      <c r="A29" s="183" t="s">
        <v>126</v>
      </c>
      <c r="B29" s="264">
        <v>0</v>
      </c>
      <c r="C29" s="265">
        <v>0</v>
      </c>
      <c r="D29" s="264">
        <v>0</v>
      </c>
      <c r="E29" s="266">
        <v>0</v>
      </c>
      <c r="F29" s="267">
        <v>1</v>
      </c>
      <c r="G29" s="266">
        <v>0</v>
      </c>
      <c r="H29" s="267">
        <v>6</v>
      </c>
      <c r="I29" s="266">
        <v>3</v>
      </c>
      <c r="J29" s="267">
        <v>6</v>
      </c>
      <c r="K29" s="266">
        <v>6</v>
      </c>
      <c r="L29" s="267">
        <v>6</v>
      </c>
      <c r="M29" s="266">
        <v>4</v>
      </c>
      <c r="N29" s="267">
        <v>12</v>
      </c>
      <c r="O29" s="266">
        <v>6</v>
      </c>
      <c r="P29" s="267">
        <v>10</v>
      </c>
      <c r="Q29" s="266">
        <v>6</v>
      </c>
      <c r="R29" s="267">
        <v>11</v>
      </c>
      <c r="S29" s="266">
        <v>6</v>
      </c>
      <c r="T29" s="267">
        <v>9</v>
      </c>
      <c r="U29" s="1256"/>
      <c r="W29" s="450">
        <f t="shared" si="0"/>
        <v>9.6</v>
      </c>
      <c r="X29" s="451">
        <f t="shared" si="12"/>
        <v>5.6</v>
      </c>
    </row>
    <row r="30" spans="1:24" s="33" customFormat="1" ht="15" customHeight="1" x14ac:dyDescent="0.2">
      <c r="A30" s="1265" t="s">
        <v>144</v>
      </c>
      <c r="B30" s="264"/>
      <c r="C30" s="265"/>
      <c r="D30" s="264"/>
      <c r="E30" s="266"/>
      <c r="F30" s="267"/>
      <c r="G30" s="266"/>
      <c r="H30" s="267"/>
      <c r="I30" s="266"/>
      <c r="J30" s="267"/>
      <c r="K30" s="266"/>
      <c r="L30" s="267"/>
      <c r="M30" s="266"/>
      <c r="N30" s="267"/>
      <c r="O30" s="266"/>
      <c r="P30" s="267"/>
      <c r="Q30" s="266"/>
      <c r="R30" s="267"/>
      <c r="S30" s="266"/>
      <c r="T30" s="267"/>
      <c r="U30" s="1256"/>
      <c r="W30" s="222"/>
      <c r="X30" s="34"/>
    </row>
    <row r="31" spans="1:24" s="232" customFormat="1" ht="15" customHeight="1" thickBot="1" x14ac:dyDescent="0.25">
      <c r="A31" s="137" t="s">
        <v>145</v>
      </c>
      <c r="B31" s="268">
        <v>0</v>
      </c>
      <c r="C31" s="269">
        <v>0</v>
      </c>
      <c r="D31" s="268">
        <v>1</v>
      </c>
      <c r="E31" s="270">
        <v>0</v>
      </c>
      <c r="F31" s="271">
        <v>1</v>
      </c>
      <c r="G31" s="270">
        <v>0</v>
      </c>
      <c r="H31" s="271">
        <v>1</v>
      </c>
      <c r="I31" s="270">
        <v>3</v>
      </c>
      <c r="J31" s="271">
        <v>6</v>
      </c>
      <c r="K31" s="270">
        <v>2</v>
      </c>
      <c r="L31" s="271">
        <v>14</v>
      </c>
      <c r="M31" s="270">
        <v>9</v>
      </c>
      <c r="N31" s="271">
        <v>13</v>
      </c>
      <c r="O31" s="270">
        <v>7</v>
      </c>
      <c r="P31" s="271">
        <v>11</v>
      </c>
      <c r="Q31" s="270">
        <v>5</v>
      </c>
      <c r="R31" s="271">
        <v>5</v>
      </c>
      <c r="S31" s="270">
        <v>3</v>
      </c>
      <c r="T31" s="271">
        <v>10</v>
      </c>
      <c r="U31" s="1257"/>
      <c r="W31" s="479">
        <f t="shared" si="0"/>
        <v>10.6</v>
      </c>
      <c r="X31" s="480">
        <f t="shared" si="12"/>
        <v>5.2</v>
      </c>
    </row>
    <row r="32" spans="1:24" ht="18" customHeight="1" thickTop="1" thickBot="1" x14ac:dyDescent="0.25">
      <c r="A32" s="390" t="s">
        <v>92</v>
      </c>
      <c r="B32" s="1322"/>
      <c r="C32" s="1323"/>
      <c r="D32" s="1322"/>
      <c r="E32" s="1323"/>
      <c r="F32" s="1322"/>
      <c r="G32" s="1323"/>
      <c r="H32" s="1322"/>
      <c r="I32" s="1323"/>
      <c r="J32" s="1322"/>
      <c r="K32" s="1323"/>
      <c r="L32" s="1322"/>
      <c r="M32" s="1323"/>
      <c r="N32" s="1322"/>
      <c r="O32" s="1323"/>
      <c r="P32" s="1322"/>
      <c r="Q32" s="1323"/>
      <c r="R32" s="1322"/>
      <c r="S32" s="1323"/>
      <c r="T32" s="1322"/>
      <c r="U32" s="1299"/>
      <c r="V32" s="372"/>
      <c r="W32" s="1298"/>
      <c r="X32" s="1299"/>
    </row>
    <row r="33" spans="1:24" ht="15" customHeight="1" x14ac:dyDescent="0.2">
      <c r="A33" s="978" t="s">
        <v>93</v>
      </c>
      <c r="B33" s="391"/>
      <c r="C33" s="483"/>
      <c r="D33" s="484"/>
      <c r="E33" s="483"/>
      <c r="F33" s="484"/>
      <c r="G33" s="483"/>
      <c r="H33" s="484"/>
      <c r="I33" s="483"/>
      <c r="J33" s="484"/>
      <c r="K33" s="483"/>
      <c r="L33" s="484"/>
      <c r="M33" s="483"/>
      <c r="N33" s="484"/>
      <c r="O33" s="483"/>
      <c r="P33" s="484"/>
      <c r="Q33" s="483"/>
      <c r="R33" s="484"/>
      <c r="S33" s="483"/>
      <c r="T33" s="484"/>
      <c r="U33" s="485"/>
      <c r="V33" s="511"/>
      <c r="W33" s="980"/>
      <c r="X33" s="979" t="e">
        <f t="shared" ref="X33" si="13">AVERAGE(O33,M33,I33,K33,Q33)</f>
        <v>#DIV/0!</v>
      </c>
    </row>
    <row r="34" spans="1:24" ht="24" x14ac:dyDescent="0.2">
      <c r="A34" s="771" t="s">
        <v>148</v>
      </c>
      <c r="B34" s="481"/>
      <c r="C34" s="486">
        <v>0.7</v>
      </c>
      <c r="D34" s="487"/>
      <c r="E34" s="486">
        <v>0.57999999999999996</v>
      </c>
      <c r="F34" s="487"/>
      <c r="G34" s="486">
        <v>0.57999999999999996</v>
      </c>
      <c r="H34" s="487"/>
      <c r="I34" s="486">
        <v>0.59</v>
      </c>
      <c r="J34" s="487"/>
      <c r="K34" s="486">
        <v>0.67</v>
      </c>
      <c r="L34" s="487"/>
      <c r="M34" s="486">
        <v>0.56000000000000005</v>
      </c>
      <c r="N34" s="487"/>
      <c r="O34" s="486">
        <v>0.65</v>
      </c>
      <c r="P34" s="487"/>
      <c r="Q34" s="486">
        <v>0.64</v>
      </c>
      <c r="R34" s="487"/>
      <c r="S34" s="486">
        <v>0.73</v>
      </c>
      <c r="T34" s="487"/>
      <c r="U34" s="1262"/>
      <c r="V34" s="511"/>
      <c r="W34" s="848"/>
      <c r="X34" s="979">
        <f>AVERAGE(O34,M34,S34,K34,Q34)</f>
        <v>0.65</v>
      </c>
    </row>
    <row r="35" spans="1:24" ht="15" customHeight="1" x14ac:dyDescent="0.2">
      <c r="A35" s="771" t="s">
        <v>149</v>
      </c>
      <c r="B35" s="481"/>
      <c r="C35" s="486">
        <v>0.65</v>
      </c>
      <c r="D35" s="487"/>
      <c r="E35" s="486">
        <v>0.71</v>
      </c>
      <c r="F35" s="487"/>
      <c r="G35" s="486">
        <v>0.43</v>
      </c>
      <c r="H35" s="487"/>
      <c r="I35" s="486">
        <v>0.63</v>
      </c>
      <c r="J35" s="487"/>
      <c r="K35" s="486">
        <v>0.65</v>
      </c>
      <c r="L35" s="487"/>
      <c r="M35" s="486">
        <v>0.52</v>
      </c>
      <c r="N35" s="487"/>
      <c r="O35" s="486">
        <v>0.57999999999999996</v>
      </c>
      <c r="P35" s="487"/>
      <c r="Q35" s="469">
        <v>0.71</v>
      </c>
      <c r="R35" s="487"/>
      <c r="S35" s="486">
        <v>0.79</v>
      </c>
      <c r="T35" s="487"/>
      <c r="U35" s="1262"/>
      <c r="V35" s="511"/>
      <c r="W35" s="848"/>
      <c r="X35" s="979">
        <f t="shared" ref="X35:X38" si="14">AVERAGE(O35,M35,S35,K35,Q35)</f>
        <v>0.65</v>
      </c>
    </row>
    <row r="36" spans="1:24" ht="15" customHeight="1" x14ac:dyDescent="0.2">
      <c r="A36" s="861" t="s">
        <v>150</v>
      </c>
      <c r="B36" s="481"/>
      <c r="C36" s="486">
        <v>0.22</v>
      </c>
      <c r="D36" s="487"/>
      <c r="E36" s="486">
        <v>0.28000000000000003</v>
      </c>
      <c r="F36" s="487"/>
      <c r="G36" s="486">
        <v>0.32</v>
      </c>
      <c r="H36" s="487"/>
      <c r="I36" s="486">
        <v>0.32</v>
      </c>
      <c r="J36" s="487"/>
      <c r="K36" s="486">
        <v>0.26</v>
      </c>
      <c r="L36" s="487"/>
      <c r="M36" s="486">
        <v>0.38</v>
      </c>
      <c r="N36" s="487"/>
      <c r="O36" s="486">
        <v>0.31</v>
      </c>
      <c r="P36" s="487"/>
      <c r="Q36" s="486">
        <v>0.31</v>
      </c>
      <c r="R36" s="487"/>
      <c r="S36" s="486">
        <v>0.2</v>
      </c>
      <c r="T36" s="487"/>
      <c r="U36" s="1262"/>
      <c r="V36" s="511"/>
      <c r="W36" s="848"/>
      <c r="X36" s="979">
        <f t="shared" si="14"/>
        <v>0.29199999999999998</v>
      </c>
    </row>
    <row r="37" spans="1:24" ht="15" customHeight="1" x14ac:dyDescent="0.2">
      <c r="A37" s="861" t="s">
        <v>151</v>
      </c>
      <c r="B37" s="481"/>
      <c r="C37" s="486">
        <v>0.24</v>
      </c>
      <c r="D37" s="487"/>
      <c r="E37" s="486">
        <v>0.27</v>
      </c>
      <c r="F37" s="487"/>
      <c r="G37" s="486">
        <v>0.56999999999999995</v>
      </c>
      <c r="H37" s="487"/>
      <c r="I37" s="486">
        <v>0.28999999999999998</v>
      </c>
      <c r="J37" s="487"/>
      <c r="K37" s="486">
        <v>0.26</v>
      </c>
      <c r="L37" s="487"/>
      <c r="M37" s="486">
        <v>0.39</v>
      </c>
      <c r="N37" s="487"/>
      <c r="O37" s="486">
        <v>0.36</v>
      </c>
      <c r="P37" s="487"/>
      <c r="Q37" s="486">
        <v>0.21</v>
      </c>
      <c r="R37" s="487"/>
      <c r="S37" s="486">
        <v>0.19</v>
      </c>
      <c r="T37" s="487"/>
      <c r="U37" s="1262"/>
      <c r="V37" s="511"/>
      <c r="W37" s="848"/>
      <c r="X37" s="979">
        <f t="shared" si="14"/>
        <v>0.28199999999999997</v>
      </c>
    </row>
    <row r="38" spans="1:24" ht="15" customHeight="1" thickBot="1" x14ac:dyDescent="0.25">
      <c r="A38" s="631" t="s">
        <v>96</v>
      </c>
      <c r="B38" s="396"/>
      <c r="C38" s="397"/>
      <c r="D38" s="396"/>
      <c r="E38" s="397"/>
      <c r="F38" s="396"/>
      <c r="G38" s="397"/>
      <c r="H38" s="396"/>
      <c r="I38" s="397"/>
      <c r="J38" s="396"/>
      <c r="K38" s="397"/>
      <c r="L38" s="396"/>
      <c r="M38" s="397"/>
      <c r="N38" s="396"/>
      <c r="O38" s="397"/>
      <c r="P38" s="396"/>
      <c r="Q38" s="397"/>
      <c r="R38" s="396"/>
      <c r="S38" s="397"/>
      <c r="T38" s="396"/>
      <c r="U38" s="398"/>
      <c r="V38" s="372"/>
      <c r="W38" s="981"/>
      <c r="X38" s="496" t="e">
        <f t="shared" si="14"/>
        <v>#DIV/0!</v>
      </c>
    </row>
    <row r="39" spans="1:24" ht="18" customHeight="1" thickTop="1" thickBot="1" x14ac:dyDescent="0.25">
      <c r="A39" s="399" t="s">
        <v>39</v>
      </c>
      <c r="B39" s="1322"/>
      <c r="C39" s="1323"/>
      <c r="D39" s="1322"/>
      <c r="E39" s="1323"/>
      <c r="F39" s="1322"/>
      <c r="G39" s="1323"/>
      <c r="H39" s="1322"/>
      <c r="I39" s="1323"/>
      <c r="J39" s="1322"/>
      <c r="K39" s="1323"/>
      <c r="L39" s="1322"/>
      <c r="M39" s="1323"/>
      <c r="N39" s="1322"/>
      <c r="O39" s="1323"/>
      <c r="P39" s="1322"/>
      <c r="Q39" s="1323"/>
      <c r="R39" s="1322"/>
      <c r="S39" s="1323"/>
      <c r="T39" s="1322"/>
      <c r="U39" s="1299"/>
      <c r="V39" s="372"/>
      <c r="W39" s="1298"/>
      <c r="X39" s="1299"/>
    </row>
    <row r="40" spans="1:24" ht="15" customHeight="1" x14ac:dyDescent="0.2">
      <c r="A40" s="737" t="s">
        <v>147</v>
      </c>
      <c r="B40" s="507"/>
      <c r="C40" s="508">
        <v>23.8</v>
      </c>
      <c r="D40" s="507"/>
      <c r="E40" s="508">
        <v>24.1</v>
      </c>
      <c r="F40" s="507"/>
      <c r="G40" s="508">
        <v>24</v>
      </c>
      <c r="H40" s="507"/>
      <c r="I40" s="508">
        <v>24</v>
      </c>
      <c r="J40" s="507"/>
      <c r="K40" s="508">
        <v>24.2</v>
      </c>
      <c r="L40" s="507"/>
      <c r="M40" s="508">
        <v>23.8</v>
      </c>
      <c r="N40" s="507"/>
      <c r="O40" s="508">
        <v>23.7</v>
      </c>
      <c r="P40" s="507"/>
      <c r="Q40" s="508">
        <v>24.1</v>
      </c>
      <c r="R40" s="507"/>
      <c r="S40" s="508">
        <v>23.9</v>
      </c>
      <c r="T40" s="507"/>
      <c r="U40" s="523">
        <v>23.7</v>
      </c>
      <c r="V40" s="372"/>
      <c r="W40" s="509"/>
      <c r="X40" s="523">
        <f t="shared" ref="X40:X41" si="15">AVERAGE(O40,M40,S40,K40,Q40)</f>
        <v>23.940000000000005</v>
      </c>
    </row>
    <row r="41" spans="1:24" ht="15" customHeight="1" thickBot="1" x14ac:dyDescent="0.25">
      <c r="A41" s="1000" t="s">
        <v>146</v>
      </c>
      <c r="B41" s="460"/>
      <c r="C41" s="461">
        <v>25</v>
      </c>
      <c r="D41" s="460"/>
      <c r="E41" s="461">
        <v>25.5</v>
      </c>
      <c r="F41" s="460"/>
      <c r="G41" s="461">
        <v>25.8</v>
      </c>
      <c r="H41" s="460"/>
      <c r="I41" s="461">
        <v>25.6</v>
      </c>
      <c r="J41" s="460"/>
      <c r="K41" s="461">
        <v>26.1</v>
      </c>
      <c r="L41" s="460"/>
      <c r="M41" s="461">
        <v>25.8</v>
      </c>
      <c r="N41" s="460"/>
      <c r="O41" s="461">
        <v>25.3</v>
      </c>
      <c r="P41" s="460"/>
      <c r="Q41" s="461">
        <v>24.9</v>
      </c>
      <c r="R41" s="460"/>
      <c r="S41" s="461">
        <v>25.4</v>
      </c>
      <c r="T41" s="460"/>
      <c r="U41" s="462">
        <v>24.3</v>
      </c>
      <c r="V41" s="372"/>
      <c r="W41" s="455"/>
      <c r="X41" s="833">
        <f t="shared" si="15"/>
        <v>25.5</v>
      </c>
    </row>
    <row r="42" spans="1:24" ht="18" customHeight="1" thickTop="1" thickBot="1" x14ac:dyDescent="0.25">
      <c r="A42" s="415" t="s">
        <v>17</v>
      </c>
      <c r="B42" s="1322"/>
      <c r="C42" s="1323"/>
      <c r="D42" s="1322"/>
      <c r="E42" s="1323"/>
      <c r="F42" s="1322"/>
      <c r="G42" s="1323"/>
      <c r="H42" s="1322"/>
      <c r="I42" s="1323"/>
      <c r="J42" s="1322"/>
      <c r="K42" s="1323"/>
      <c r="L42" s="1322"/>
      <c r="M42" s="1323"/>
      <c r="N42" s="1322"/>
      <c r="O42" s="1323"/>
      <c r="P42" s="1322"/>
      <c r="Q42" s="1323"/>
      <c r="R42" s="1322"/>
      <c r="S42" s="1323"/>
      <c r="T42" s="1322"/>
      <c r="U42" s="1299"/>
      <c r="V42" s="372"/>
      <c r="W42" s="1298"/>
      <c r="X42" s="1299"/>
    </row>
    <row r="43" spans="1:24" ht="15" customHeight="1" x14ac:dyDescent="0.2">
      <c r="A43" s="578" t="s">
        <v>18</v>
      </c>
      <c r="B43" s="416"/>
      <c r="C43" s="343">
        <v>1959</v>
      </c>
      <c r="D43" s="417"/>
      <c r="E43" s="418">
        <v>1871</v>
      </c>
      <c r="F43" s="416"/>
      <c r="G43" s="418">
        <v>2142</v>
      </c>
      <c r="H43" s="416"/>
      <c r="I43" s="418">
        <v>2206</v>
      </c>
      <c r="J43" s="416"/>
      <c r="K43" s="418">
        <v>2440</v>
      </c>
      <c r="L43" s="416"/>
      <c r="M43" s="418">
        <v>2647</v>
      </c>
      <c r="N43" s="416"/>
      <c r="O43" s="418">
        <v>2986</v>
      </c>
      <c r="P43" s="416"/>
      <c r="Q43" s="418">
        <v>3003</v>
      </c>
      <c r="R43" s="416"/>
      <c r="S43" s="418">
        <v>2868</v>
      </c>
      <c r="T43" s="416"/>
      <c r="U43" s="19">
        <v>2807</v>
      </c>
      <c r="V43" s="372"/>
      <c r="W43" s="420"/>
      <c r="X43" s="421">
        <f>AVERAGE(O43,M43,S43,K43,Q43)</f>
        <v>2788.8</v>
      </c>
    </row>
    <row r="44" spans="1:24" ht="15" customHeight="1" x14ac:dyDescent="0.2">
      <c r="A44" s="578" t="s">
        <v>19</v>
      </c>
      <c r="B44" s="416"/>
      <c r="C44" s="343">
        <v>9756</v>
      </c>
      <c r="D44" s="417"/>
      <c r="E44" s="418">
        <v>10020</v>
      </c>
      <c r="F44" s="416"/>
      <c r="G44" s="418">
        <v>10297</v>
      </c>
      <c r="H44" s="416"/>
      <c r="I44" s="418">
        <v>10819</v>
      </c>
      <c r="J44" s="416"/>
      <c r="K44" s="418">
        <v>11544</v>
      </c>
      <c r="L44" s="416"/>
      <c r="M44" s="418">
        <v>12400</v>
      </c>
      <c r="N44" s="416"/>
      <c r="O44" s="418">
        <v>12631</v>
      </c>
      <c r="P44" s="416"/>
      <c r="Q44" s="418">
        <v>13636</v>
      </c>
      <c r="R44" s="416"/>
      <c r="S44" s="418">
        <v>13814</v>
      </c>
      <c r="T44" s="416"/>
      <c r="U44" s="19">
        <v>13533</v>
      </c>
      <c r="V44" s="372"/>
      <c r="W44" s="422"/>
      <c r="X44" s="421">
        <f t="shared" ref="X44:X47" si="16">AVERAGE(O44,M44,S44,K44,Q44)</f>
        <v>12805</v>
      </c>
    </row>
    <row r="45" spans="1:24" ht="15" customHeight="1" x14ac:dyDescent="0.2">
      <c r="A45" s="578" t="s">
        <v>20</v>
      </c>
      <c r="B45" s="416"/>
      <c r="C45" s="343">
        <v>850</v>
      </c>
      <c r="D45" s="417"/>
      <c r="E45" s="418">
        <v>976</v>
      </c>
      <c r="F45" s="416"/>
      <c r="G45" s="418">
        <v>1097</v>
      </c>
      <c r="H45" s="416"/>
      <c r="I45" s="418">
        <v>1215</v>
      </c>
      <c r="J45" s="416"/>
      <c r="K45" s="418">
        <v>1330</v>
      </c>
      <c r="L45" s="416"/>
      <c r="M45" s="418">
        <v>1345</v>
      </c>
      <c r="N45" s="416"/>
      <c r="O45" s="418">
        <v>1473</v>
      </c>
      <c r="P45" s="416"/>
      <c r="Q45" s="418">
        <v>1452</v>
      </c>
      <c r="R45" s="416"/>
      <c r="S45" s="418">
        <v>1389</v>
      </c>
      <c r="T45" s="416"/>
      <c r="U45" s="19">
        <v>1335</v>
      </c>
      <c r="V45" s="372"/>
      <c r="W45" s="422"/>
      <c r="X45" s="421">
        <f t="shared" si="16"/>
        <v>1397.8</v>
      </c>
    </row>
    <row r="46" spans="1:24" ht="15" customHeight="1" thickBot="1" x14ac:dyDescent="0.25">
      <c r="A46" s="1212" t="s">
        <v>21</v>
      </c>
      <c r="B46" s="252"/>
      <c r="C46" s="423">
        <v>421</v>
      </c>
      <c r="D46" s="417"/>
      <c r="E46" s="424">
        <v>342</v>
      </c>
      <c r="F46" s="416"/>
      <c r="G46" s="424">
        <v>443</v>
      </c>
      <c r="H46" s="416"/>
      <c r="I46" s="424">
        <v>410</v>
      </c>
      <c r="J46" s="416"/>
      <c r="K46" s="424">
        <v>431</v>
      </c>
      <c r="L46" s="416"/>
      <c r="M46" s="424">
        <v>362</v>
      </c>
      <c r="N46" s="416"/>
      <c r="O46" s="424">
        <v>401</v>
      </c>
      <c r="P46" s="416"/>
      <c r="Q46" s="424">
        <v>388</v>
      </c>
      <c r="R46" s="416"/>
      <c r="S46" s="424">
        <v>348</v>
      </c>
      <c r="T46" s="252"/>
      <c r="U46" s="46">
        <v>401</v>
      </c>
      <c r="V46" s="372"/>
      <c r="W46" s="431"/>
      <c r="X46" s="501">
        <f t="shared" si="16"/>
        <v>386</v>
      </c>
    </row>
    <row r="47" spans="1:24" ht="15" customHeight="1" thickBot="1" x14ac:dyDescent="0.25">
      <c r="A47" s="1211" t="s">
        <v>22</v>
      </c>
      <c r="B47" s="426"/>
      <c r="C47" s="427">
        <f>SUM(C43:C46)</f>
        <v>12986</v>
      </c>
      <c r="D47" s="428"/>
      <c r="E47" s="429">
        <f>SUM(E43:E46)</f>
        <v>13209</v>
      </c>
      <c r="F47" s="426"/>
      <c r="G47" s="429">
        <f>SUM(G43:G46)</f>
        <v>13979</v>
      </c>
      <c r="H47" s="426"/>
      <c r="I47" s="429">
        <f>SUM(I43:I46)</f>
        <v>14650</v>
      </c>
      <c r="J47" s="426"/>
      <c r="K47" s="429">
        <f>SUM(K43:K46)</f>
        <v>15745</v>
      </c>
      <c r="L47" s="426"/>
      <c r="M47" s="429">
        <f>SUM(M43:M46)</f>
        <v>16754</v>
      </c>
      <c r="N47" s="426"/>
      <c r="O47" s="429">
        <f>SUM(O43:O46)</f>
        <v>17491</v>
      </c>
      <c r="P47" s="426"/>
      <c r="Q47" s="429">
        <f>SUM(Q43:Q46)</f>
        <v>18479</v>
      </c>
      <c r="R47" s="426"/>
      <c r="S47" s="429">
        <f>SUM(S43:S46)</f>
        <v>18419</v>
      </c>
      <c r="T47" s="426"/>
      <c r="U47" s="51">
        <f>SUM(U43:U46)</f>
        <v>18076</v>
      </c>
      <c r="V47" s="372"/>
      <c r="W47" s="528"/>
      <c r="X47" s="527">
        <f t="shared" si="16"/>
        <v>17377.599999999999</v>
      </c>
    </row>
    <row r="48" spans="1:24" ht="15" customHeight="1" thickTop="1" thickBot="1" x14ac:dyDescent="0.25">
      <c r="A48" s="432"/>
      <c r="B48" s="433"/>
      <c r="C48" s="434"/>
      <c r="D48" s="433"/>
      <c r="E48" s="434"/>
      <c r="F48" s="433"/>
      <c r="G48" s="434"/>
      <c r="H48" s="433"/>
      <c r="I48" s="434"/>
      <c r="J48" s="433"/>
      <c r="K48" s="434"/>
      <c r="L48" s="433"/>
      <c r="M48" s="434"/>
      <c r="N48" s="433"/>
      <c r="O48" s="434"/>
      <c r="P48" s="433"/>
      <c r="Q48" s="434"/>
      <c r="R48" s="433"/>
      <c r="S48" s="434"/>
      <c r="T48" s="433"/>
      <c r="U48" s="434"/>
      <c r="V48" s="435"/>
      <c r="W48" s="436"/>
      <c r="X48" s="434"/>
    </row>
    <row r="49" spans="1:27" ht="18" customHeight="1" thickTop="1" thickBot="1" x14ac:dyDescent="0.25">
      <c r="A49" s="352" t="s">
        <v>23</v>
      </c>
      <c r="B49" s="1296" t="s">
        <v>24</v>
      </c>
      <c r="C49" s="1301"/>
      <c r="D49" s="1296" t="s">
        <v>25</v>
      </c>
      <c r="E49" s="1297"/>
      <c r="F49" s="1296" t="s">
        <v>26</v>
      </c>
      <c r="G49" s="1297"/>
      <c r="H49" s="1296" t="s">
        <v>27</v>
      </c>
      <c r="I49" s="1297"/>
      <c r="J49" s="1296" t="s">
        <v>28</v>
      </c>
      <c r="K49" s="1297"/>
      <c r="L49" s="1296" t="s">
        <v>29</v>
      </c>
      <c r="M49" s="1297"/>
      <c r="N49" s="1296" t="s">
        <v>30</v>
      </c>
      <c r="O49" s="1297"/>
      <c r="P49" s="1296" t="s">
        <v>31</v>
      </c>
      <c r="Q49" s="1297"/>
      <c r="R49" s="1296" t="s">
        <v>32</v>
      </c>
      <c r="S49" s="1297"/>
      <c r="T49" s="1296" t="s">
        <v>255</v>
      </c>
      <c r="U49" s="1300"/>
      <c r="V49" s="353"/>
      <c r="W49" s="1298" t="s">
        <v>9</v>
      </c>
      <c r="X49" s="1299"/>
      <c r="Y49" s="23"/>
      <c r="Z49" s="23"/>
      <c r="AA49" s="24"/>
    </row>
    <row r="50" spans="1:27" ht="15" customHeight="1" x14ac:dyDescent="0.2">
      <c r="A50" s="937" t="s">
        <v>221</v>
      </c>
      <c r="B50" s="355"/>
      <c r="C50" s="356">
        <v>0.6</v>
      </c>
      <c r="D50" s="357"/>
      <c r="E50" s="358">
        <v>0.67500000000000004</v>
      </c>
      <c r="F50" s="359"/>
      <c r="G50" s="358">
        <v>0.66100000000000003</v>
      </c>
      <c r="H50" s="359"/>
      <c r="I50" s="358">
        <v>0.57599999999999996</v>
      </c>
      <c r="J50" s="359"/>
      <c r="K50" s="358">
        <v>0.68400000000000005</v>
      </c>
      <c r="L50" s="359"/>
      <c r="M50" s="358">
        <v>0.69699999999999995</v>
      </c>
      <c r="N50" s="359"/>
      <c r="O50" s="358">
        <v>0.66</v>
      </c>
      <c r="P50" s="359"/>
      <c r="Q50" s="358">
        <v>0.747</v>
      </c>
      <c r="R50" s="359"/>
      <c r="S50" s="358">
        <v>0.74299999999999999</v>
      </c>
      <c r="T50" s="359"/>
      <c r="U50" s="360">
        <v>0.76300000000000001</v>
      </c>
      <c r="V50" s="361"/>
      <c r="W50" s="362"/>
      <c r="X50" s="363">
        <f>AVERAGE(O50,M50,S50,U50,Q50)</f>
        <v>0.72199999999999998</v>
      </c>
      <c r="Y50" s="23"/>
      <c r="Z50" s="23"/>
      <c r="AA50" s="24"/>
    </row>
    <row r="51" spans="1:27" ht="15" customHeight="1" x14ac:dyDescent="0.2">
      <c r="A51" s="938" t="s">
        <v>222</v>
      </c>
      <c r="B51" s="365"/>
      <c r="C51" s="366">
        <v>0.05</v>
      </c>
      <c r="D51" s="365"/>
      <c r="E51" s="366">
        <v>4.8000000000000001E-2</v>
      </c>
      <c r="F51" s="367"/>
      <c r="G51" s="366">
        <v>9.7000000000000003E-2</v>
      </c>
      <c r="H51" s="367"/>
      <c r="I51" s="366">
        <v>8.7999999999999995E-2</v>
      </c>
      <c r="J51" s="367"/>
      <c r="K51" s="366">
        <v>3.6999999999999998E-2</v>
      </c>
      <c r="L51" s="367"/>
      <c r="M51" s="366">
        <v>3.2000000000000001E-2</v>
      </c>
      <c r="N51" s="367"/>
      <c r="O51" s="366">
        <v>2.9000000000000001E-2</v>
      </c>
      <c r="P51" s="367"/>
      <c r="Q51" s="366">
        <v>2.5999999999999999E-2</v>
      </c>
      <c r="R51" s="367"/>
      <c r="S51" s="366">
        <v>0.03</v>
      </c>
      <c r="T51" s="367"/>
      <c r="U51" s="368">
        <v>0.03</v>
      </c>
      <c r="V51" s="361"/>
      <c r="W51" s="369"/>
      <c r="X51" s="370">
        <f>AVERAGE(O51,M51,S51,U51,Q51)</f>
        <v>2.9399999999999999E-2</v>
      </c>
      <c r="Y51" s="23"/>
      <c r="Z51" s="23"/>
      <c r="AA51" s="24"/>
    </row>
    <row r="52" spans="1:27" ht="15" customHeight="1" thickBot="1" x14ac:dyDescent="0.25">
      <c r="A52" s="889" t="s">
        <v>217</v>
      </c>
      <c r="B52" s="1320">
        <f>1-C50-C51</f>
        <v>0.35000000000000003</v>
      </c>
      <c r="C52" s="1321"/>
      <c r="D52" s="1320">
        <f>1-E50-E51</f>
        <v>0.27699999999999997</v>
      </c>
      <c r="E52" s="1321"/>
      <c r="F52" s="1320">
        <f>1-G50-G51</f>
        <v>0.24199999999999997</v>
      </c>
      <c r="G52" s="1321"/>
      <c r="H52" s="1320">
        <f>1-I50-I51</f>
        <v>0.33600000000000008</v>
      </c>
      <c r="I52" s="1321"/>
      <c r="J52" s="1320">
        <f>1-K50-K51</f>
        <v>0.27899999999999997</v>
      </c>
      <c r="K52" s="1321"/>
      <c r="L52" s="1320">
        <f>1-M50-M51</f>
        <v>0.27100000000000002</v>
      </c>
      <c r="M52" s="1321"/>
      <c r="N52" s="1320">
        <f>1-O50-O51</f>
        <v>0.31099999999999994</v>
      </c>
      <c r="O52" s="1321"/>
      <c r="P52" s="1320">
        <f>1-Q50-Q51</f>
        <v>0.22700000000000001</v>
      </c>
      <c r="Q52" s="1321"/>
      <c r="R52" s="1320">
        <f>1-S50-S51</f>
        <v>0.22700000000000001</v>
      </c>
      <c r="S52" s="1321"/>
      <c r="T52" s="1320">
        <f>1-U50-U51</f>
        <v>0.20699999999999999</v>
      </c>
      <c r="U52" s="1324"/>
      <c r="V52" s="361"/>
      <c r="W52" s="1325">
        <f>1-X50-X51</f>
        <v>0.24860000000000002</v>
      </c>
      <c r="X52" s="1324"/>
      <c r="Y52" s="25"/>
      <c r="Z52" s="23"/>
      <c r="AA52" s="24"/>
    </row>
    <row r="53" spans="1:27" s="2" customFormat="1" ht="18" customHeight="1" thickTop="1" thickBot="1" x14ac:dyDescent="0.25">
      <c r="A53" s="319" t="s">
        <v>37</v>
      </c>
      <c r="B53" s="982" t="s">
        <v>36</v>
      </c>
      <c r="C53" s="983" t="s">
        <v>38</v>
      </c>
      <c r="D53" s="846" t="s">
        <v>36</v>
      </c>
      <c r="E53" s="845" t="s">
        <v>38</v>
      </c>
      <c r="F53" s="846" t="s">
        <v>36</v>
      </c>
      <c r="G53" s="845" t="s">
        <v>38</v>
      </c>
      <c r="H53" s="846" t="s">
        <v>36</v>
      </c>
      <c r="I53" s="845" t="s">
        <v>38</v>
      </c>
      <c r="J53" s="846" t="s">
        <v>36</v>
      </c>
      <c r="K53" s="845" t="s">
        <v>38</v>
      </c>
      <c r="L53" s="846" t="s">
        <v>36</v>
      </c>
      <c r="M53" s="845" t="s">
        <v>38</v>
      </c>
      <c r="N53" s="846" t="s">
        <v>36</v>
      </c>
      <c r="O53" s="845" t="s">
        <v>38</v>
      </c>
      <c r="P53" s="846" t="s">
        <v>36</v>
      </c>
      <c r="Q53" s="845" t="s">
        <v>38</v>
      </c>
      <c r="R53" s="846" t="s">
        <v>36</v>
      </c>
      <c r="S53" s="845" t="s">
        <v>38</v>
      </c>
      <c r="T53" s="846" t="s">
        <v>36</v>
      </c>
      <c r="U53" s="847" t="s">
        <v>38</v>
      </c>
      <c r="V53" s="939"/>
      <c r="W53" s="984" t="s">
        <v>36</v>
      </c>
      <c r="X53" s="847" t="s">
        <v>38</v>
      </c>
    </row>
    <row r="54" spans="1:27" ht="15" customHeight="1" x14ac:dyDescent="0.2">
      <c r="A54" s="378" t="s">
        <v>90</v>
      </c>
      <c r="B54" s="379"/>
      <c r="C54" s="380">
        <f>B54/B23</f>
        <v>0</v>
      </c>
      <c r="D54" s="379"/>
      <c r="E54" s="380">
        <f>D54/D23</f>
        <v>0</v>
      </c>
      <c r="F54" s="379"/>
      <c r="G54" s="380">
        <f>F54/F23</f>
        <v>0</v>
      </c>
      <c r="H54" s="379">
        <v>35</v>
      </c>
      <c r="I54" s="380">
        <f>H54/H23</f>
        <v>0.7</v>
      </c>
      <c r="J54" s="379">
        <v>34</v>
      </c>
      <c r="K54" s="380">
        <f>J54/J23</f>
        <v>0.75555555555555554</v>
      </c>
      <c r="L54" s="379">
        <v>27</v>
      </c>
      <c r="M54" s="380">
        <f>L54/L23</f>
        <v>0.79411764705882348</v>
      </c>
      <c r="N54" s="379">
        <v>27</v>
      </c>
      <c r="O54" s="380">
        <f>N54/N23</f>
        <v>0.77142857142857146</v>
      </c>
      <c r="P54" s="379">
        <v>33</v>
      </c>
      <c r="Q54" s="380">
        <f>P54/P23</f>
        <v>0.76744186046511631</v>
      </c>
      <c r="R54" s="379">
        <v>38</v>
      </c>
      <c r="S54" s="380">
        <f>R54/R23</f>
        <v>0.77551020408163263</v>
      </c>
      <c r="T54" s="133">
        <v>43</v>
      </c>
      <c r="U54" s="135">
        <f>T54/T23</f>
        <v>0.89583333333333337</v>
      </c>
      <c r="V54" s="372"/>
      <c r="W54" s="382">
        <f>AVERAGE(N54,L54,R54,T54,P54)</f>
        <v>33.6</v>
      </c>
      <c r="X54" s="407">
        <f>W54/W23</f>
        <v>0.80382775119617234</v>
      </c>
    </row>
    <row r="55" spans="1:27" ht="15" customHeight="1" thickBot="1" x14ac:dyDescent="0.25">
      <c r="A55" s="383" t="s">
        <v>91</v>
      </c>
      <c r="B55" s="384"/>
      <c r="C55" s="385">
        <f>B55/B24</f>
        <v>0</v>
      </c>
      <c r="D55" s="384"/>
      <c r="E55" s="385">
        <f>D55/D24</f>
        <v>0</v>
      </c>
      <c r="F55" s="384"/>
      <c r="G55" s="385">
        <f>F55/F24</f>
        <v>0</v>
      </c>
      <c r="H55" s="384">
        <v>18</v>
      </c>
      <c r="I55" s="385">
        <f>H55/H24</f>
        <v>0.6428571428571429</v>
      </c>
      <c r="J55" s="384">
        <v>15</v>
      </c>
      <c r="K55" s="385">
        <f>J55/J24</f>
        <v>0.75</v>
      </c>
      <c r="L55" s="384">
        <v>19</v>
      </c>
      <c r="M55" s="385">
        <f>L55/L24</f>
        <v>0.79166666666666663</v>
      </c>
      <c r="N55" s="384">
        <v>21</v>
      </c>
      <c r="O55" s="385">
        <f>N55/N24</f>
        <v>0.80769230769230771</v>
      </c>
      <c r="P55" s="384">
        <v>18</v>
      </c>
      <c r="Q55" s="385">
        <f>P55/P24</f>
        <v>0.81818181818181823</v>
      </c>
      <c r="R55" s="384">
        <v>20</v>
      </c>
      <c r="S55" s="385">
        <f>R55/R24</f>
        <v>0.8</v>
      </c>
      <c r="T55" s="138">
        <v>16</v>
      </c>
      <c r="U55" s="140">
        <f>T55/T24</f>
        <v>0.69565217391304346</v>
      </c>
      <c r="V55" s="372"/>
      <c r="W55" s="387">
        <f>AVERAGE(N55,L55,R55,T55,P55)</f>
        <v>18.8</v>
      </c>
      <c r="X55" s="386">
        <f>W55/W24</f>
        <v>0.78333333333333333</v>
      </c>
    </row>
    <row r="56" spans="1:27" ht="15" customHeight="1" thickTop="1" x14ac:dyDescent="0.2">
      <c r="A56" s="8" t="str">
        <f>'Dean AG'!A64</f>
        <v>Number of Fall Majors includes second majors</v>
      </c>
      <c r="B56" s="10"/>
      <c r="C56" s="11"/>
      <c r="D56" s="10"/>
      <c r="E56" s="11"/>
      <c r="F56" s="10"/>
      <c r="G56" s="11"/>
      <c r="H56" s="10"/>
      <c r="I56" s="11"/>
      <c r="J56" s="10"/>
      <c r="K56" s="11"/>
      <c r="L56" s="10"/>
      <c r="M56" s="11"/>
      <c r="N56" s="10"/>
      <c r="O56" s="11"/>
      <c r="P56" s="10"/>
      <c r="Q56" s="11"/>
      <c r="R56" s="10"/>
      <c r="S56" s="11"/>
      <c r="T56" s="10"/>
      <c r="U56" s="11"/>
      <c r="W56" s="12"/>
      <c r="X56" s="13"/>
    </row>
    <row r="57" spans="1:27" s="41" customFormat="1" ht="15" customHeight="1" thickBot="1" x14ac:dyDescent="0.25">
      <c r="A57" s="552"/>
      <c r="B57" s="553"/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4"/>
      <c r="W57" s="553"/>
      <c r="X57" s="553"/>
      <c r="Y57" s="23"/>
      <c r="Z57" s="23"/>
      <c r="AA57" s="24"/>
    </row>
    <row r="58" spans="1:27" s="1" customFormat="1" ht="18.75" customHeight="1" thickTop="1" thickBot="1" x14ac:dyDescent="0.25">
      <c r="A58" s="352" t="s">
        <v>207</v>
      </c>
      <c r="B58" s="1296" t="s">
        <v>24</v>
      </c>
      <c r="C58" s="1301"/>
      <c r="D58" s="1296" t="s">
        <v>25</v>
      </c>
      <c r="E58" s="1297"/>
      <c r="F58" s="1296" t="s">
        <v>26</v>
      </c>
      <c r="G58" s="1297"/>
      <c r="H58" s="1296" t="s">
        <v>27</v>
      </c>
      <c r="I58" s="1297"/>
      <c r="J58" s="1296" t="s">
        <v>28</v>
      </c>
      <c r="K58" s="1297"/>
      <c r="L58" s="1296" t="s">
        <v>29</v>
      </c>
      <c r="M58" s="1297"/>
      <c r="N58" s="1296" t="s">
        <v>30</v>
      </c>
      <c r="O58" s="1297"/>
      <c r="P58" s="1296" t="s">
        <v>31</v>
      </c>
      <c r="Q58" s="1297"/>
      <c r="R58" s="1296" t="s">
        <v>32</v>
      </c>
      <c r="S58" s="1297"/>
      <c r="T58" s="1296" t="s">
        <v>255</v>
      </c>
      <c r="U58" s="1300"/>
      <c r="V58" s="320"/>
      <c r="W58" s="1298" t="s">
        <v>9</v>
      </c>
      <c r="X58" s="1299"/>
    </row>
    <row r="59" spans="1:27" s="1" customFormat="1" ht="24" x14ac:dyDescent="0.2">
      <c r="A59" s="612" t="s">
        <v>219</v>
      </c>
      <c r="B59" s="699"/>
      <c r="C59" s="508"/>
      <c r="D59" s="699"/>
      <c r="E59" s="700"/>
      <c r="F59" s="699"/>
      <c r="G59" s="700"/>
      <c r="H59" s="699"/>
      <c r="I59" s="700"/>
      <c r="J59" s="699"/>
      <c r="K59" s="700"/>
      <c r="L59" s="699"/>
      <c r="M59" s="700"/>
      <c r="N59" s="699"/>
      <c r="O59" s="700"/>
      <c r="P59" s="699"/>
      <c r="Q59" s="700"/>
      <c r="R59" s="699"/>
      <c r="S59" s="700"/>
      <c r="T59" s="701"/>
      <c r="U59" s="702"/>
      <c r="V59" s="320"/>
      <c r="W59" s="940"/>
      <c r="X59" s="941"/>
    </row>
    <row r="60" spans="1:27" s="1" customFormat="1" ht="24" x14ac:dyDescent="0.2">
      <c r="A60" s="685" t="s">
        <v>195</v>
      </c>
      <c r="B60" s="367"/>
      <c r="C60" s="550">
        <v>16</v>
      </c>
      <c r="D60" s="367"/>
      <c r="E60" s="550">
        <v>15</v>
      </c>
      <c r="F60" s="367"/>
      <c r="G60" s="550">
        <v>15</v>
      </c>
      <c r="H60" s="367"/>
      <c r="I60" s="550">
        <v>14</v>
      </c>
      <c r="J60" s="367"/>
      <c r="K60" s="550">
        <v>16</v>
      </c>
      <c r="L60" s="367"/>
      <c r="M60" s="550">
        <v>15</v>
      </c>
      <c r="N60" s="367"/>
      <c r="O60" s="550">
        <v>17</v>
      </c>
      <c r="P60" s="367"/>
      <c r="Q60" s="550">
        <v>16</v>
      </c>
      <c r="R60" s="367"/>
      <c r="S60" s="550">
        <v>16</v>
      </c>
      <c r="T60" s="551"/>
      <c r="U60" s="441">
        <v>16</v>
      </c>
      <c r="V60" s="320"/>
      <c r="W60" s="362"/>
      <c r="X60" s="421">
        <f>AVERAGE(O60,M60,S60,U60,Q60)</f>
        <v>16</v>
      </c>
    </row>
    <row r="61" spans="1:27" s="1" customFormat="1" ht="24" x14ac:dyDescent="0.2">
      <c r="A61" s="685" t="s">
        <v>197</v>
      </c>
      <c r="B61" s="551"/>
      <c r="C61" s="590">
        <v>16</v>
      </c>
      <c r="D61" s="551"/>
      <c r="E61" s="590">
        <v>15</v>
      </c>
      <c r="F61" s="551"/>
      <c r="G61" s="590">
        <v>15</v>
      </c>
      <c r="H61" s="551"/>
      <c r="I61" s="590">
        <v>14</v>
      </c>
      <c r="J61" s="551"/>
      <c r="K61" s="590">
        <v>16</v>
      </c>
      <c r="L61" s="551"/>
      <c r="M61" s="590">
        <v>15</v>
      </c>
      <c r="N61" s="551"/>
      <c r="O61" s="590">
        <v>17</v>
      </c>
      <c r="P61" s="551"/>
      <c r="Q61" s="590">
        <v>16</v>
      </c>
      <c r="R61" s="551"/>
      <c r="S61" s="590">
        <v>16</v>
      </c>
      <c r="T61" s="551"/>
      <c r="U61" s="441">
        <v>16</v>
      </c>
      <c r="V61" s="320"/>
      <c r="W61" s="953"/>
      <c r="X61" s="560">
        <f t="shared" ref="X61:X62" si="17">AVERAGE(O61,M61,S61,U61,Q61)</f>
        <v>16</v>
      </c>
    </row>
    <row r="62" spans="1:27" s="1" customFormat="1" ht="15" customHeight="1" thickBot="1" x14ac:dyDescent="0.25">
      <c r="A62" s="944" t="s">
        <v>196</v>
      </c>
      <c r="B62" s="992"/>
      <c r="C62" s="993">
        <v>15.74</v>
      </c>
      <c r="D62" s="992"/>
      <c r="E62" s="993">
        <v>14.81</v>
      </c>
      <c r="F62" s="992"/>
      <c r="G62" s="993">
        <v>15.21</v>
      </c>
      <c r="H62" s="992"/>
      <c r="I62" s="993">
        <v>15.01</v>
      </c>
      <c r="J62" s="992"/>
      <c r="K62" s="993">
        <f>10.49+5.82</f>
        <v>16.310000000000002</v>
      </c>
      <c r="L62" s="992"/>
      <c r="M62" s="993">
        <v>16.05</v>
      </c>
      <c r="N62" s="992"/>
      <c r="O62" s="993">
        <v>17.66</v>
      </c>
      <c r="P62" s="992"/>
      <c r="Q62" s="993">
        <v>16.5</v>
      </c>
      <c r="R62" s="992"/>
      <c r="S62" s="993">
        <f>11.03+5.14</f>
        <v>16.169999999999998</v>
      </c>
      <c r="T62" s="994"/>
      <c r="U62" s="562">
        <v>17.03</v>
      </c>
      <c r="V62" s="320"/>
      <c r="W62" s="954"/>
      <c r="X62" s="562">
        <f t="shared" si="17"/>
        <v>16.681999999999999</v>
      </c>
    </row>
    <row r="63" spans="1:27" s="1" customFormat="1" ht="18" customHeight="1" thickBot="1" x14ac:dyDescent="0.25">
      <c r="A63" s="796" t="s">
        <v>231</v>
      </c>
      <c r="B63" s="995" t="s">
        <v>89</v>
      </c>
      <c r="C63" s="996" t="s">
        <v>97</v>
      </c>
      <c r="D63" s="995" t="s">
        <v>89</v>
      </c>
      <c r="E63" s="996" t="s">
        <v>97</v>
      </c>
      <c r="F63" s="995" t="s">
        <v>89</v>
      </c>
      <c r="G63" s="996" t="s">
        <v>97</v>
      </c>
      <c r="H63" s="995" t="s">
        <v>89</v>
      </c>
      <c r="I63" s="996" t="s">
        <v>97</v>
      </c>
      <c r="J63" s="995" t="s">
        <v>89</v>
      </c>
      <c r="K63" s="996" t="s">
        <v>97</v>
      </c>
      <c r="L63" s="995" t="s">
        <v>89</v>
      </c>
      <c r="M63" s="996" t="s">
        <v>97</v>
      </c>
      <c r="N63" s="995" t="s">
        <v>89</v>
      </c>
      <c r="O63" s="996" t="s">
        <v>97</v>
      </c>
      <c r="P63" s="995" t="s">
        <v>89</v>
      </c>
      <c r="Q63" s="996" t="s">
        <v>97</v>
      </c>
      <c r="R63" s="995" t="s">
        <v>89</v>
      </c>
      <c r="S63" s="996" t="s">
        <v>97</v>
      </c>
      <c r="T63" s="995" t="s">
        <v>89</v>
      </c>
      <c r="U63" s="997" t="s">
        <v>97</v>
      </c>
      <c r="V63" s="333"/>
      <c r="W63" s="998" t="s">
        <v>89</v>
      </c>
      <c r="X63" s="997" t="s">
        <v>97</v>
      </c>
    </row>
    <row r="64" spans="1:27" s="1" customFormat="1" ht="15" customHeight="1" x14ac:dyDescent="0.2">
      <c r="A64" s="703" t="s">
        <v>98</v>
      </c>
      <c r="B64" s="825"/>
      <c r="C64" s="619"/>
      <c r="D64" s="825"/>
      <c r="E64" s="824"/>
      <c r="F64" s="825"/>
      <c r="G64" s="824"/>
      <c r="H64" s="825"/>
      <c r="I64" s="824"/>
      <c r="J64" s="825"/>
      <c r="K64" s="824"/>
      <c r="L64" s="825"/>
      <c r="M64" s="824"/>
      <c r="N64" s="825"/>
      <c r="O64" s="824"/>
      <c r="P64" s="825"/>
      <c r="Q64" s="824"/>
      <c r="R64" s="825"/>
      <c r="S64" s="824"/>
      <c r="T64" s="825"/>
      <c r="U64" s="948"/>
      <c r="V64" s="320"/>
      <c r="W64" s="950"/>
      <c r="X64" s="830"/>
    </row>
    <row r="65" spans="1:24" s="1" customFormat="1" ht="15" customHeight="1" x14ac:dyDescent="0.2">
      <c r="A65" s="697" t="s">
        <v>99</v>
      </c>
      <c r="B65" s="280"/>
      <c r="C65" s="596">
        <v>16</v>
      </c>
      <c r="D65" s="280"/>
      <c r="E65" s="596">
        <v>15</v>
      </c>
      <c r="F65" s="280"/>
      <c r="G65" s="596">
        <v>17</v>
      </c>
      <c r="H65" s="280"/>
      <c r="I65" s="596">
        <v>16</v>
      </c>
      <c r="J65" s="764">
        <v>18</v>
      </c>
      <c r="K65" s="596">
        <v>18</v>
      </c>
      <c r="L65" s="764">
        <v>18</v>
      </c>
      <c r="M65" s="596">
        <v>18</v>
      </c>
      <c r="N65" s="764">
        <v>21</v>
      </c>
      <c r="O65" s="596">
        <f>19+2</f>
        <v>21</v>
      </c>
      <c r="P65" s="764">
        <v>19</v>
      </c>
      <c r="Q65" s="596">
        <v>19</v>
      </c>
      <c r="R65" s="764">
        <v>21</v>
      </c>
      <c r="S65" s="596">
        <v>21</v>
      </c>
      <c r="T65" s="764">
        <v>21</v>
      </c>
      <c r="U65" s="599">
        <v>21</v>
      </c>
      <c r="V65" s="320"/>
      <c r="W65" s="951">
        <f>AVERAGE(T65,L65,N65,P65,R65)</f>
        <v>20</v>
      </c>
      <c r="X65" s="843">
        <f t="shared" ref="X65:X70" si="18">AVERAGE(O65,M65,S65,U65,Q65)</f>
        <v>20</v>
      </c>
    </row>
    <row r="66" spans="1:24" s="1" customFormat="1" ht="15" customHeight="1" x14ac:dyDescent="0.2">
      <c r="A66" s="697" t="s">
        <v>100</v>
      </c>
      <c r="B66" s="280"/>
      <c r="C66" s="596">
        <v>1</v>
      </c>
      <c r="D66" s="280"/>
      <c r="E66" s="596">
        <v>1</v>
      </c>
      <c r="F66" s="280"/>
      <c r="G66" s="596">
        <v>1</v>
      </c>
      <c r="H66" s="280"/>
      <c r="I66" s="596">
        <v>0</v>
      </c>
      <c r="J66" s="764">
        <v>0</v>
      </c>
      <c r="K66" s="596">
        <v>0</v>
      </c>
      <c r="L66" s="597">
        <v>0.5</v>
      </c>
      <c r="M66" s="596">
        <v>1</v>
      </c>
      <c r="N66" s="764">
        <v>0</v>
      </c>
      <c r="O66" s="596">
        <v>0</v>
      </c>
      <c r="P66" s="764">
        <v>0</v>
      </c>
      <c r="Q66" s="596">
        <v>0</v>
      </c>
      <c r="R66" s="764">
        <v>0</v>
      </c>
      <c r="S66" s="596">
        <v>0</v>
      </c>
      <c r="T66" s="764">
        <v>0</v>
      </c>
      <c r="U66" s="599">
        <v>0</v>
      </c>
      <c r="V66" s="320"/>
      <c r="W66" s="951">
        <f t="shared" ref="W66:W70" si="19">AVERAGE(T66,L66,N66,P66,R66)</f>
        <v>0.1</v>
      </c>
      <c r="X66" s="843">
        <f t="shared" si="18"/>
        <v>0.2</v>
      </c>
    </row>
    <row r="67" spans="1:24" s="1" customFormat="1" ht="15" customHeight="1" x14ac:dyDescent="0.2">
      <c r="A67" s="696" t="s">
        <v>101</v>
      </c>
      <c r="B67" s="597"/>
      <c r="C67" s="598"/>
      <c r="D67" s="597"/>
      <c r="E67" s="598"/>
      <c r="F67" s="597"/>
      <c r="G67" s="598"/>
      <c r="H67" s="597"/>
      <c r="I67" s="598"/>
      <c r="J67" s="764"/>
      <c r="K67" s="598"/>
      <c r="L67" s="597"/>
      <c r="M67" s="598"/>
      <c r="N67" s="764"/>
      <c r="O67" s="598"/>
      <c r="P67" s="764"/>
      <c r="Q67" s="598"/>
      <c r="R67" s="764"/>
      <c r="S67" s="598"/>
      <c r="T67" s="764"/>
      <c r="U67" s="600"/>
      <c r="V67" s="320"/>
      <c r="W67" s="951"/>
      <c r="X67" s="843"/>
    </row>
    <row r="68" spans="1:24" s="1" customFormat="1" ht="15" customHeight="1" x14ac:dyDescent="0.2">
      <c r="A68" s="697" t="s">
        <v>99</v>
      </c>
      <c r="B68" s="280"/>
      <c r="C68" s="598">
        <v>26</v>
      </c>
      <c r="D68" s="280"/>
      <c r="E68" s="598">
        <v>26</v>
      </c>
      <c r="F68" s="280"/>
      <c r="G68" s="598">
        <v>26</v>
      </c>
      <c r="H68" s="280"/>
      <c r="I68" s="598">
        <v>26</v>
      </c>
      <c r="J68" s="764">
        <v>27</v>
      </c>
      <c r="K68" s="598">
        <v>27</v>
      </c>
      <c r="L68" s="764">
        <v>28</v>
      </c>
      <c r="M68" s="598">
        <v>28</v>
      </c>
      <c r="N68" s="764">
        <v>31</v>
      </c>
      <c r="O68" s="598">
        <v>31</v>
      </c>
      <c r="P68" s="764">
        <v>29</v>
      </c>
      <c r="Q68" s="598">
        <v>29</v>
      </c>
      <c r="R68" s="764">
        <v>28</v>
      </c>
      <c r="S68" s="598">
        <v>28</v>
      </c>
      <c r="T68" s="764">
        <v>31</v>
      </c>
      <c r="U68" s="600">
        <v>31</v>
      </c>
      <c r="V68" s="320"/>
      <c r="W68" s="951">
        <f t="shared" si="19"/>
        <v>29.4</v>
      </c>
      <c r="X68" s="843">
        <f t="shared" si="18"/>
        <v>29.4</v>
      </c>
    </row>
    <row r="69" spans="1:24" s="1" customFormat="1" ht="15" customHeight="1" thickBot="1" x14ac:dyDescent="0.25">
      <c r="A69" s="698" t="s">
        <v>100</v>
      </c>
      <c r="B69" s="947"/>
      <c r="C69" s="818">
        <v>1</v>
      </c>
      <c r="D69" s="947"/>
      <c r="E69" s="840">
        <v>2</v>
      </c>
      <c r="F69" s="947"/>
      <c r="G69" s="840">
        <v>1</v>
      </c>
      <c r="H69" s="947"/>
      <c r="I69" s="840">
        <v>1</v>
      </c>
      <c r="J69" s="841">
        <v>0</v>
      </c>
      <c r="K69" s="840">
        <v>0</v>
      </c>
      <c r="L69" s="949">
        <v>0.6</v>
      </c>
      <c r="M69" s="840">
        <v>1</v>
      </c>
      <c r="N69" s="949">
        <v>0.5</v>
      </c>
      <c r="O69" s="840">
        <v>1</v>
      </c>
      <c r="P69" s="949">
        <v>0.8</v>
      </c>
      <c r="Q69" s="840">
        <v>1</v>
      </c>
      <c r="R69" s="949">
        <v>0.5</v>
      </c>
      <c r="S69" s="840">
        <v>1</v>
      </c>
      <c r="T69" s="949">
        <v>0</v>
      </c>
      <c r="U69" s="601">
        <v>0</v>
      </c>
      <c r="V69" s="320"/>
      <c r="W69" s="952">
        <f t="shared" si="19"/>
        <v>0.48000000000000009</v>
      </c>
      <c r="X69" s="577">
        <f t="shared" si="18"/>
        <v>0.8</v>
      </c>
    </row>
    <row r="70" spans="1:24" s="1" customFormat="1" ht="15" customHeight="1" thickBot="1" x14ac:dyDescent="0.25">
      <c r="A70" s="647" t="s">
        <v>22</v>
      </c>
      <c r="B70" s="823"/>
      <c r="C70" s="837">
        <f>SUM(C65:C69)</f>
        <v>44</v>
      </c>
      <c r="D70" s="987"/>
      <c r="E70" s="820">
        <f>SUM(E65:E69)</f>
        <v>44</v>
      </c>
      <c r="F70" s="823"/>
      <c r="G70" s="820">
        <f>SUM(G65:G69)</f>
        <v>45</v>
      </c>
      <c r="H70" s="823"/>
      <c r="I70" s="820">
        <f t="shared" ref="I70:S70" si="20">SUM(I65:I69)</f>
        <v>43</v>
      </c>
      <c r="J70" s="826">
        <f t="shared" si="20"/>
        <v>45</v>
      </c>
      <c r="K70" s="820">
        <f t="shared" si="20"/>
        <v>45</v>
      </c>
      <c r="L70" s="826">
        <f t="shared" si="20"/>
        <v>47.1</v>
      </c>
      <c r="M70" s="820">
        <f t="shared" si="20"/>
        <v>48</v>
      </c>
      <c r="N70" s="826">
        <f t="shared" si="20"/>
        <v>52.5</v>
      </c>
      <c r="O70" s="820">
        <f t="shared" si="20"/>
        <v>53</v>
      </c>
      <c r="P70" s="826">
        <f t="shared" si="20"/>
        <v>48.8</v>
      </c>
      <c r="Q70" s="820">
        <f t="shared" si="20"/>
        <v>49</v>
      </c>
      <c r="R70" s="826">
        <f t="shared" si="20"/>
        <v>49.5</v>
      </c>
      <c r="S70" s="820">
        <f t="shared" si="20"/>
        <v>50</v>
      </c>
      <c r="T70" s="826">
        <f t="shared" ref="T70:U70" si="21">SUM(T65:T69)</f>
        <v>52</v>
      </c>
      <c r="U70" s="988">
        <f t="shared" si="21"/>
        <v>52</v>
      </c>
      <c r="V70" s="320"/>
      <c r="W70" s="990">
        <f t="shared" si="19"/>
        <v>49.98</v>
      </c>
      <c r="X70" s="844">
        <f t="shared" si="18"/>
        <v>50.4</v>
      </c>
    </row>
    <row r="71" spans="1:24" s="1" customFormat="1" ht="18" customHeight="1" thickBot="1" x14ac:dyDescent="0.25">
      <c r="A71" s="796" t="s">
        <v>232</v>
      </c>
      <c r="B71" s="793" t="s">
        <v>36</v>
      </c>
      <c r="C71" s="989" t="s">
        <v>102</v>
      </c>
      <c r="D71" s="793" t="s">
        <v>36</v>
      </c>
      <c r="E71" s="810" t="s">
        <v>102</v>
      </c>
      <c r="F71" s="811" t="s">
        <v>36</v>
      </c>
      <c r="G71" s="810" t="s">
        <v>102</v>
      </c>
      <c r="H71" s="811" t="s">
        <v>36</v>
      </c>
      <c r="I71" s="810" t="s">
        <v>102</v>
      </c>
      <c r="J71" s="811" t="s">
        <v>36</v>
      </c>
      <c r="K71" s="810" t="s">
        <v>102</v>
      </c>
      <c r="L71" s="811" t="s">
        <v>36</v>
      </c>
      <c r="M71" s="810" t="s">
        <v>102</v>
      </c>
      <c r="N71" s="811" t="s">
        <v>36</v>
      </c>
      <c r="O71" s="810" t="s">
        <v>102</v>
      </c>
      <c r="P71" s="811" t="s">
        <v>36</v>
      </c>
      <c r="Q71" s="810" t="s">
        <v>102</v>
      </c>
      <c r="R71" s="811" t="s">
        <v>36</v>
      </c>
      <c r="S71" s="810" t="s">
        <v>102</v>
      </c>
      <c r="T71" s="811" t="s">
        <v>36</v>
      </c>
      <c r="U71" s="780" t="s">
        <v>102</v>
      </c>
      <c r="V71" s="320"/>
      <c r="W71" s="946" t="s">
        <v>36</v>
      </c>
      <c r="X71" s="780" t="s">
        <v>102</v>
      </c>
    </row>
    <row r="72" spans="1:24" s="1" customFormat="1" ht="18" customHeight="1" x14ac:dyDescent="0.2">
      <c r="A72" s="703" t="s">
        <v>233</v>
      </c>
      <c r="B72" s="321"/>
      <c r="C72" s="322"/>
      <c r="D72" s="321"/>
      <c r="E72" s="323"/>
      <c r="F72" s="324"/>
      <c r="G72" s="323"/>
      <c r="H72" s="324"/>
      <c r="I72" s="323"/>
      <c r="J72" s="324"/>
      <c r="K72" s="323"/>
      <c r="L72" s="324"/>
      <c r="M72" s="323"/>
      <c r="N72" s="324"/>
      <c r="O72" s="323"/>
      <c r="P72" s="324"/>
      <c r="Q72" s="323"/>
      <c r="R72" s="324"/>
      <c r="S72" s="323"/>
      <c r="T72" s="805"/>
      <c r="U72" s="325"/>
      <c r="V72" s="320"/>
      <c r="W72" s="991"/>
      <c r="X72" s="325"/>
    </row>
    <row r="73" spans="1:24" s="1" customFormat="1" ht="15" customHeight="1" x14ac:dyDescent="0.2">
      <c r="A73" s="326" t="s">
        <v>103</v>
      </c>
      <c r="B73" s="327">
        <v>43</v>
      </c>
      <c r="C73" s="328">
        <f t="shared" ref="C73:C80" si="22">B73/C$70</f>
        <v>0.97727272727272729</v>
      </c>
      <c r="D73" s="327">
        <f>1+2+25+15</f>
        <v>43</v>
      </c>
      <c r="E73" s="329">
        <f t="shared" ref="E73:K80" si="23">D73/E$70</f>
        <v>0.97727272727272729</v>
      </c>
      <c r="F73" s="330">
        <v>45</v>
      </c>
      <c r="G73" s="329">
        <f t="shared" si="23"/>
        <v>1</v>
      </c>
      <c r="H73" s="330">
        <v>41</v>
      </c>
      <c r="I73" s="329">
        <f t="shared" ref="I73:I80" si="24">H73/I$70</f>
        <v>0.95348837209302328</v>
      </c>
      <c r="J73" s="330">
        <f>17</f>
        <v>17</v>
      </c>
      <c r="K73" s="329">
        <f t="shared" si="23"/>
        <v>0.37777777777777777</v>
      </c>
      <c r="L73" s="330">
        <v>44</v>
      </c>
      <c r="M73" s="329">
        <f t="shared" ref="M73:M78" si="25">L73/M$70</f>
        <v>0.91666666666666663</v>
      </c>
      <c r="N73" s="330">
        <f>1+45+2</f>
        <v>48</v>
      </c>
      <c r="O73" s="329">
        <f t="shared" ref="O73:Q78" si="26">N73/O$70</f>
        <v>0.90566037735849059</v>
      </c>
      <c r="P73" s="330">
        <v>45</v>
      </c>
      <c r="Q73" s="329">
        <f t="shared" si="26"/>
        <v>0.91836734693877553</v>
      </c>
      <c r="R73" s="330">
        <v>46</v>
      </c>
      <c r="S73" s="329">
        <f t="shared" ref="S73:S78" si="27">R73/S$70</f>
        <v>0.92</v>
      </c>
      <c r="T73" s="331">
        <v>48</v>
      </c>
      <c r="U73" s="332">
        <f t="shared" ref="U73:U78" si="28">T73/U$70</f>
        <v>0.92307692307692313</v>
      </c>
      <c r="V73" s="333"/>
      <c r="W73" s="334">
        <f>AVERAGE(N73,L73,R73,T73,P73)</f>
        <v>46.2</v>
      </c>
      <c r="X73" s="335">
        <f>AVERAGE(O73,M73,S73,U73,Q73)</f>
        <v>0.91675426280817118</v>
      </c>
    </row>
    <row r="74" spans="1:24" s="1" customFormat="1" ht="15" customHeight="1" x14ac:dyDescent="0.2">
      <c r="A74" s="336" t="s">
        <v>104</v>
      </c>
      <c r="B74" s="327">
        <v>0</v>
      </c>
      <c r="C74" s="328">
        <f t="shared" si="22"/>
        <v>0</v>
      </c>
      <c r="D74" s="327"/>
      <c r="E74" s="329">
        <f t="shared" si="23"/>
        <v>0</v>
      </c>
      <c r="F74" s="330">
        <v>0</v>
      </c>
      <c r="G74" s="329">
        <f t="shared" si="23"/>
        <v>0</v>
      </c>
      <c r="H74" s="330">
        <v>0</v>
      </c>
      <c r="I74" s="329">
        <f t="shared" si="24"/>
        <v>0</v>
      </c>
      <c r="J74" s="330">
        <f>0</f>
        <v>0</v>
      </c>
      <c r="K74" s="329">
        <f t="shared" si="23"/>
        <v>0</v>
      </c>
      <c r="L74" s="330">
        <v>0</v>
      </c>
      <c r="M74" s="329">
        <f t="shared" si="25"/>
        <v>0</v>
      </c>
      <c r="N74" s="330">
        <v>0</v>
      </c>
      <c r="O74" s="329">
        <f t="shared" si="26"/>
        <v>0</v>
      </c>
      <c r="P74" s="330">
        <v>0</v>
      </c>
      <c r="Q74" s="329">
        <f t="shared" si="26"/>
        <v>0</v>
      </c>
      <c r="R74" s="330">
        <v>0</v>
      </c>
      <c r="S74" s="329">
        <f t="shared" si="27"/>
        <v>0</v>
      </c>
      <c r="T74" s="331">
        <v>0</v>
      </c>
      <c r="U74" s="332">
        <f t="shared" si="28"/>
        <v>0</v>
      </c>
      <c r="V74" s="333"/>
      <c r="W74" s="334">
        <f t="shared" ref="W74:W92" si="29">AVERAGE(N74,L74,R74,T74,P74)</f>
        <v>0</v>
      </c>
      <c r="X74" s="335">
        <f t="shared" ref="X74:X92" si="30">AVERAGE(O74,M74,S74,U74,Q74)</f>
        <v>0</v>
      </c>
    </row>
    <row r="75" spans="1:24" s="1" customFormat="1" ht="15" customHeight="1" x14ac:dyDescent="0.2">
      <c r="A75" s="336" t="s">
        <v>105</v>
      </c>
      <c r="B75" s="327">
        <v>0</v>
      </c>
      <c r="C75" s="328">
        <f t="shared" si="22"/>
        <v>0</v>
      </c>
      <c r="D75" s="327"/>
      <c r="E75" s="329">
        <f t="shared" si="23"/>
        <v>0</v>
      </c>
      <c r="F75" s="330">
        <v>0</v>
      </c>
      <c r="G75" s="329">
        <f t="shared" si="23"/>
        <v>0</v>
      </c>
      <c r="H75" s="330">
        <v>0</v>
      </c>
      <c r="I75" s="329">
        <f t="shared" si="24"/>
        <v>0</v>
      </c>
      <c r="J75" s="330">
        <f>1</f>
        <v>1</v>
      </c>
      <c r="K75" s="329">
        <f t="shared" si="23"/>
        <v>2.2222222222222223E-2</v>
      </c>
      <c r="L75" s="330">
        <v>1</v>
      </c>
      <c r="M75" s="329">
        <f t="shared" si="25"/>
        <v>2.0833333333333332E-2</v>
      </c>
      <c r="N75" s="330">
        <v>1</v>
      </c>
      <c r="O75" s="329">
        <f t="shared" si="26"/>
        <v>1.8867924528301886E-2</v>
      </c>
      <c r="P75" s="330">
        <v>1</v>
      </c>
      <c r="Q75" s="329">
        <f t="shared" si="26"/>
        <v>2.0408163265306121E-2</v>
      </c>
      <c r="R75" s="330">
        <v>2</v>
      </c>
      <c r="S75" s="329">
        <f t="shared" si="27"/>
        <v>0.04</v>
      </c>
      <c r="T75" s="331">
        <v>2</v>
      </c>
      <c r="U75" s="332">
        <f t="shared" si="28"/>
        <v>3.8461538461538464E-2</v>
      </c>
      <c r="V75" s="333"/>
      <c r="W75" s="334">
        <f t="shared" si="29"/>
        <v>1.4</v>
      </c>
      <c r="X75" s="335">
        <f t="shared" si="30"/>
        <v>2.7714191917695963E-2</v>
      </c>
    </row>
    <row r="76" spans="1:24" s="1" customFormat="1" ht="15" customHeight="1" x14ac:dyDescent="0.2">
      <c r="A76" s="336" t="s">
        <v>106</v>
      </c>
      <c r="B76" s="327">
        <v>0</v>
      </c>
      <c r="C76" s="328">
        <f t="shared" si="22"/>
        <v>0</v>
      </c>
      <c r="D76" s="327"/>
      <c r="E76" s="329">
        <f t="shared" si="23"/>
        <v>0</v>
      </c>
      <c r="F76" s="330">
        <v>0</v>
      </c>
      <c r="G76" s="329">
        <f t="shared" si="23"/>
        <v>0</v>
      </c>
      <c r="H76" s="330">
        <v>0</v>
      </c>
      <c r="I76" s="329">
        <f t="shared" si="24"/>
        <v>0</v>
      </c>
      <c r="J76" s="330">
        <f>0</f>
        <v>0</v>
      </c>
      <c r="K76" s="329">
        <f t="shared" si="23"/>
        <v>0</v>
      </c>
      <c r="L76" s="330">
        <v>0</v>
      </c>
      <c r="M76" s="329">
        <f t="shared" si="25"/>
        <v>0</v>
      </c>
      <c r="N76" s="330">
        <v>0</v>
      </c>
      <c r="O76" s="329">
        <f t="shared" si="26"/>
        <v>0</v>
      </c>
      <c r="P76" s="330">
        <v>0</v>
      </c>
      <c r="Q76" s="329">
        <f t="shared" si="26"/>
        <v>0</v>
      </c>
      <c r="R76" s="330">
        <v>0</v>
      </c>
      <c r="S76" s="329">
        <f t="shared" si="27"/>
        <v>0</v>
      </c>
      <c r="T76" s="331">
        <v>0</v>
      </c>
      <c r="U76" s="332">
        <f t="shared" si="28"/>
        <v>0</v>
      </c>
      <c r="V76" s="333"/>
      <c r="W76" s="334">
        <f t="shared" si="29"/>
        <v>0</v>
      </c>
      <c r="X76" s="335">
        <f t="shared" si="30"/>
        <v>0</v>
      </c>
    </row>
    <row r="77" spans="1:24" s="1" customFormat="1" ht="15" customHeight="1" x14ac:dyDescent="0.2">
      <c r="A77" s="336" t="s">
        <v>107</v>
      </c>
      <c r="B77" s="327">
        <v>1</v>
      </c>
      <c r="C77" s="328">
        <f t="shared" si="22"/>
        <v>2.2727272727272728E-2</v>
      </c>
      <c r="D77" s="327">
        <v>1</v>
      </c>
      <c r="E77" s="329">
        <f t="shared" si="23"/>
        <v>2.2727272727272728E-2</v>
      </c>
      <c r="F77" s="330">
        <v>0</v>
      </c>
      <c r="G77" s="329">
        <f t="shared" si="23"/>
        <v>0</v>
      </c>
      <c r="H77" s="330">
        <v>0</v>
      </c>
      <c r="I77" s="329">
        <f t="shared" si="24"/>
        <v>0</v>
      </c>
      <c r="J77" s="330">
        <f>1</f>
        <v>1</v>
      </c>
      <c r="K77" s="329">
        <f t="shared" si="23"/>
        <v>2.2222222222222223E-2</v>
      </c>
      <c r="L77" s="330">
        <v>1</v>
      </c>
      <c r="M77" s="329">
        <f t="shared" si="25"/>
        <v>2.0833333333333332E-2</v>
      </c>
      <c r="N77" s="330">
        <v>2</v>
      </c>
      <c r="O77" s="329">
        <f t="shared" si="26"/>
        <v>3.7735849056603772E-2</v>
      </c>
      <c r="P77" s="330">
        <v>1</v>
      </c>
      <c r="Q77" s="329">
        <f t="shared" si="26"/>
        <v>2.0408163265306121E-2</v>
      </c>
      <c r="R77" s="330">
        <v>1</v>
      </c>
      <c r="S77" s="329">
        <f t="shared" si="27"/>
        <v>0.02</v>
      </c>
      <c r="T77" s="331">
        <v>1</v>
      </c>
      <c r="U77" s="332">
        <f t="shared" si="28"/>
        <v>1.9230769230769232E-2</v>
      </c>
      <c r="V77" s="333"/>
      <c r="W77" s="334">
        <f t="shared" si="29"/>
        <v>1.2</v>
      </c>
      <c r="X77" s="335">
        <f t="shared" si="30"/>
        <v>2.3641622977202494E-2</v>
      </c>
    </row>
    <row r="78" spans="1:24" s="1" customFormat="1" ht="15" customHeight="1" x14ac:dyDescent="0.2">
      <c r="A78" s="336" t="s">
        <v>108</v>
      </c>
      <c r="B78" s="327">
        <v>0</v>
      </c>
      <c r="C78" s="328">
        <f t="shared" si="22"/>
        <v>0</v>
      </c>
      <c r="D78" s="327"/>
      <c r="E78" s="329">
        <f t="shared" si="23"/>
        <v>0</v>
      </c>
      <c r="F78" s="330">
        <v>0</v>
      </c>
      <c r="G78" s="329">
        <f t="shared" si="23"/>
        <v>0</v>
      </c>
      <c r="H78" s="330">
        <v>1</v>
      </c>
      <c r="I78" s="329">
        <f t="shared" si="24"/>
        <v>2.3255813953488372E-2</v>
      </c>
      <c r="J78" s="330">
        <f>0</f>
        <v>0</v>
      </c>
      <c r="K78" s="329">
        <f t="shared" si="23"/>
        <v>0</v>
      </c>
      <c r="L78" s="330">
        <v>1</v>
      </c>
      <c r="M78" s="329">
        <f t="shared" si="25"/>
        <v>2.0833333333333332E-2</v>
      </c>
      <c r="N78" s="330">
        <v>1</v>
      </c>
      <c r="O78" s="329">
        <f t="shared" si="26"/>
        <v>1.8867924528301886E-2</v>
      </c>
      <c r="P78" s="330">
        <v>1</v>
      </c>
      <c r="Q78" s="329">
        <f t="shared" si="26"/>
        <v>2.0408163265306121E-2</v>
      </c>
      <c r="R78" s="330">
        <v>0</v>
      </c>
      <c r="S78" s="329">
        <f t="shared" si="27"/>
        <v>0</v>
      </c>
      <c r="T78" s="331">
        <v>0</v>
      </c>
      <c r="U78" s="332">
        <f t="shared" si="28"/>
        <v>0</v>
      </c>
      <c r="V78" s="333"/>
      <c r="W78" s="334">
        <f t="shared" si="29"/>
        <v>0.6</v>
      </c>
      <c r="X78" s="335">
        <f t="shared" si="30"/>
        <v>1.2021884225388269E-2</v>
      </c>
    </row>
    <row r="79" spans="1:24" s="1" customFormat="1" ht="15" customHeight="1" x14ac:dyDescent="0.2">
      <c r="A79" s="336" t="s">
        <v>109</v>
      </c>
      <c r="B79" s="337"/>
      <c r="C79" s="328"/>
      <c r="D79" s="337"/>
      <c r="E79" s="329"/>
      <c r="F79" s="338"/>
      <c r="G79" s="329"/>
      <c r="H79" s="338">
        <v>0</v>
      </c>
      <c r="I79" s="329">
        <f t="shared" si="24"/>
        <v>0</v>
      </c>
      <c r="J79" s="338">
        <f>25</f>
        <v>25</v>
      </c>
      <c r="K79" s="329">
        <f>J79/K$70</f>
        <v>0.55555555555555558</v>
      </c>
      <c r="L79" s="338">
        <v>0</v>
      </c>
      <c r="M79" s="329">
        <f>L79/M$70</f>
        <v>0</v>
      </c>
      <c r="N79" s="338">
        <v>0</v>
      </c>
      <c r="O79" s="329">
        <f>N79/O$70</f>
        <v>0</v>
      </c>
      <c r="P79" s="338">
        <v>0</v>
      </c>
      <c r="Q79" s="329">
        <f>P79/Q$70</f>
        <v>0</v>
      </c>
      <c r="R79" s="338">
        <v>0</v>
      </c>
      <c r="S79" s="329">
        <f>R79/S$70</f>
        <v>0</v>
      </c>
      <c r="T79" s="331">
        <v>0</v>
      </c>
      <c r="U79" s="332">
        <f>T79/U$70</f>
        <v>0</v>
      </c>
      <c r="V79" s="333"/>
      <c r="W79" s="334">
        <f t="shared" si="29"/>
        <v>0</v>
      </c>
      <c r="X79" s="335">
        <f t="shared" si="30"/>
        <v>0</v>
      </c>
    </row>
    <row r="80" spans="1:24" s="1" customFormat="1" ht="15" customHeight="1" thickBot="1" x14ac:dyDescent="0.25">
      <c r="A80" s="336" t="s">
        <v>110</v>
      </c>
      <c r="B80" s="337">
        <v>0</v>
      </c>
      <c r="C80" s="659">
        <f t="shared" si="22"/>
        <v>0</v>
      </c>
      <c r="D80" s="337"/>
      <c r="E80" s="660">
        <f t="shared" si="23"/>
        <v>0</v>
      </c>
      <c r="F80" s="338">
        <v>0</v>
      </c>
      <c r="G80" s="660">
        <f t="shared" si="23"/>
        <v>0</v>
      </c>
      <c r="H80" s="338">
        <v>1</v>
      </c>
      <c r="I80" s="660">
        <f t="shared" si="24"/>
        <v>2.3255813953488372E-2</v>
      </c>
      <c r="J80" s="338">
        <f>1</f>
        <v>1</v>
      </c>
      <c r="K80" s="660">
        <f t="shared" si="23"/>
        <v>2.2222222222222223E-2</v>
      </c>
      <c r="L80" s="338">
        <v>1</v>
      </c>
      <c r="M80" s="660">
        <f>L80/M$70</f>
        <v>2.0833333333333332E-2</v>
      </c>
      <c r="N80" s="338">
        <v>1</v>
      </c>
      <c r="O80" s="660">
        <f>N80/O$70</f>
        <v>1.8867924528301886E-2</v>
      </c>
      <c r="P80" s="338">
        <v>1</v>
      </c>
      <c r="Q80" s="660">
        <f>P80/Q$70</f>
        <v>2.0408163265306121E-2</v>
      </c>
      <c r="R80" s="338">
        <v>1</v>
      </c>
      <c r="S80" s="660">
        <f>R80/S$70</f>
        <v>0.02</v>
      </c>
      <c r="T80" s="339">
        <v>1</v>
      </c>
      <c r="U80" s="661">
        <f>T80/U$70</f>
        <v>1.9230769230769232E-2</v>
      </c>
      <c r="V80" s="333"/>
      <c r="W80" s="662">
        <f t="shared" si="29"/>
        <v>1</v>
      </c>
      <c r="X80" s="663">
        <f t="shared" si="30"/>
        <v>1.9868038071542114E-2</v>
      </c>
    </row>
    <row r="81" spans="1:26" s="1" customFormat="1" ht="18" customHeight="1" x14ac:dyDescent="0.2">
      <c r="A81" s="886" t="s">
        <v>111</v>
      </c>
      <c r="B81" s="664"/>
      <c r="C81" s="665"/>
      <c r="D81" s="664"/>
      <c r="E81" s="666"/>
      <c r="F81" s="667"/>
      <c r="G81" s="666"/>
      <c r="H81" s="667"/>
      <c r="I81" s="666"/>
      <c r="J81" s="667"/>
      <c r="K81" s="666"/>
      <c r="L81" s="667"/>
      <c r="M81" s="666"/>
      <c r="N81" s="667"/>
      <c r="O81" s="666"/>
      <c r="P81" s="667"/>
      <c r="Q81" s="666"/>
      <c r="R81" s="667"/>
      <c r="S81" s="666"/>
      <c r="T81" s="667"/>
      <c r="U81" s="668"/>
      <c r="V81" s="333"/>
      <c r="W81" s="657"/>
      <c r="X81" s="658"/>
    </row>
    <row r="82" spans="1:26" s="1" customFormat="1" ht="15" customHeight="1" x14ac:dyDescent="0.2">
      <c r="A82" s="326" t="s">
        <v>112</v>
      </c>
      <c r="B82" s="341">
        <v>38</v>
      </c>
      <c r="C82" s="328">
        <f>B82/C$70</f>
        <v>0.86363636363636365</v>
      </c>
      <c r="D82" s="341">
        <f>1+1+11+23</f>
        <v>36</v>
      </c>
      <c r="E82" s="329">
        <f>D82/E$70</f>
        <v>0.81818181818181823</v>
      </c>
      <c r="F82" s="342">
        <v>36</v>
      </c>
      <c r="G82" s="329">
        <f>F82/G$70</f>
        <v>0.8</v>
      </c>
      <c r="H82" s="342">
        <v>34</v>
      </c>
      <c r="I82" s="329">
        <f>H82/I$70</f>
        <v>0.79069767441860461</v>
      </c>
      <c r="J82" s="342">
        <f>35</f>
        <v>35</v>
      </c>
      <c r="K82" s="329">
        <f>J82/K$70</f>
        <v>0.77777777777777779</v>
      </c>
      <c r="L82" s="342">
        <v>38</v>
      </c>
      <c r="M82" s="329">
        <f>L82/M$70</f>
        <v>0.79166666666666663</v>
      </c>
      <c r="N82" s="342">
        <f>1+38+1</f>
        <v>40</v>
      </c>
      <c r="O82" s="329">
        <f>N82/O$70</f>
        <v>0.75471698113207553</v>
      </c>
      <c r="P82" s="342">
        <v>36</v>
      </c>
      <c r="Q82" s="329">
        <f>P82/Q$70</f>
        <v>0.73469387755102045</v>
      </c>
      <c r="R82" s="342">
        <v>38</v>
      </c>
      <c r="S82" s="329">
        <f>R82/S$70</f>
        <v>0.76</v>
      </c>
      <c r="T82" s="343">
        <v>37</v>
      </c>
      <c r="U82" s="332">
        <f>T82/U$70</f>
        <v>0.71153846153846156</v>
      </c>
      <c r="V82" s="333"/>
      <c r="W82" s="334">
        <f t="shared" si="29"/>
        <v>37.799999999999997</v>
      </c>
      <c r="X82" s="335">
        <f t="shared" si="30"/>
        <v>0.75052319737764484</v>
      </c>
    </row>
    <row r="83" spans="1:26" s="1" customFormat="1" ht="15" customHeight="1" thickBot="1" x14ac:dyDescent="0.25">
      <c r="A83" s="336" t="s">
        <v>113</v>
      </c>
      <c r="B83" s="669">
        <v>6</v>
      </c>
      <c r="C83" s="659">
        <f>B83/C$70</f>
        <v>0.13636363636363635</v>
      </c>
      <c r="D83" s="669">
        <f>1+4+3</f>
        <v>8</v>
      </c>
      <c r="E83" s="660">
        <f>D83/E$70</f>
        <v>0.18181818181818182</v>
      </c>
      <c r="F83" s="670">
        <v>9</v>
      </c>
      <c r="G83" s="660">
        <f>F83/G$70</f>
        <v>0.2</v>
      </c>
      <c r="H83" s="670">
        <v>9</v>
      </c>
      <c r="I83" s="660">
        <f>H83/I$70</f>
        <v>0.20930232558139536</v>
      </c>
      <c r="J83" s="670">
        <f>10</f>
        <v>10</v>
      </c>
      <c r="K83" s="660">
        <f>J83/K$70</f>
        <v>0.22222222222222221</v>
      </c>
      <c r="L83" s="670">
        <v>10</v>
      </c>
      <c r="M83" s="660">
        <f>L83/M$70</f>
        <v>0.20833333333333334</v>
      </c>
      <c r="N83" s="670">
        <f>12+1</f>
        <v>13</v>
      </c>
      <c r="O83" s="660">
        <f>N83/O$70</f>
        <v>0.24528301886792453</v>
      </c>
      <c r="P83" s="670">
        <v>13</v>
      </c>
      <c r="Q83" s="660">
        <f>P83/Q$70</f>
        <v>0.26530612244897961</v>
      </c>
      <c r="R83" s="670">
        <v>12</v>
      </c>
      <c r="S83" s="660">
        <f>R83/S$70</f>
        <v>0.24</v>
      </c>
      <c r="T83" s="670">
        <v>15</v>
      </c>
      <c r="U83" s="661">
        <f>T83/U$70</f>
        <v>0.28846153846153844</v>
      </c>
      <c r="V83" s="333"/>
      <c r="W83" s="662">
        <f t="shared" si="29"/>
        <v>12.6</v>
      </c>
      <c r="X83" s="663">
        <f t="shared" si="30"/>
        <v>0.24947680262235519</v>
      </c>
    </row>
    <row r="84" spans="1:26" s="1" customFormat="1" ht="18" customHeight="1" x14ac:dyDescent="0.2">
      <c r="A84" s="886" t="s">
        <v>114</v>
      </c>
      <c r="B84" s="671"/>
      <c r="C84" s="654"/>
      <c r="D84" s="671"/>
      <c r="E84" s="655"/>
      <c r="F84" s="672"/>
      <c r="G84" s="655"/>
      <c r="H84" s="672"/>
      <c r="I84" s="655"/>
      <c r="J84" s="672"/>
      <c r="K84" s="655"/>
      <c r="L84" s="672"/>
      <c r="M84" s="655"/>
      <c r="N84" s="672"/>
      <c r="O84" s="655"/>
      <c r="P84" s="672"/>
      <c r="Q84" s="655"/>
      <c r="R84" s="672"/>
      <c r="S84" s="655"/>
      <c r="T84" s="672"/>
      <c r="U84" s="656"/>
      <c r="V84" s="333"/>
      <c r="W84" s="657"/>
      <c r="X84" s="658"/>
    </row>
    <row r="85" spans="1:26" s="1" customFormat="1" ht="15" customHeight="1" x14ac:dyDescent="0.2">
      <c r="A85" s="326" t="s">
        <v>115</v>
      </c>
      <c r="B85" s="341">
        <v>35</v>
      </c>
      <c r="C85" s="328">
        <f>B85/C$70</f>
        <v>0.79545454545454541</v>
      </c>
      <c r="D85" s="341">
        <f>1+1+11+19</f>
        <v>32</v>
      </c>
      <c r="E85" s="329">
        <f>D85/E$70</f>
        <v>0.72727272727272729</v>
      </c>
      <c r="F85" s="342">
        <v>34</v>
      </c>
      <c r="G85" s="329">
        <f>F85/G$70</f>
        <v>0.75555555555555554</v>
      </c>
      <c r="H85" s="342">
        <v>31</v>
      </c>
      <c r="I85" s="329">
        <f>H85/I$70</f>
        <v>0.72093023255813948</v>
      </c>
      <c r="J85" s="342">
        <f>33</f>
        <v>33</v>
      </c>
      <c r="K85" s="329">
        <f>J85/K$70</f>
        <v>0.73333333333333328</v>
      </c>
      <c r="L85" s="342">
        <v>34</v>
      </c>
      <c r="M85" s="329">
        <f>L85/M$70</f>
        <v>0.70833333333333337</v>
      </c>
      <c r="N85" s="342">
        <f>1+34+1</f>
        <v>36</v>
      </c>
      <c r="O85" s="329">
        <f>N85/O$70</f>
        <v>0.67924528301886788</v>
      </c>
      <c r="P85" s="342">
        <v>33</v>
      </c>
      <c r="Q85" s="329">
        <f>P85/Q$70</f>
        <v>0.67346938775510201</v>
      </c>
      <c r="R85" s="342">
        <v>33</v>
      </c>
      <c r="S85" s="329">
        <f>R85/S$70</f>
        <v>0.66</v>
      </c>
      <c r="T85" s="342">
        <v>31</v>
      </c>
      <c r="U85" s="332">
        <f>T85/U$70</f>
        <v>0.59615384615384615</v>
      </c>
      <c r="V85" s="333"/>
      <c r="W85" s="334">
        <f t="shared" si="29"/>
        <v>33.4</v>
      </c>
      <c r="X85" s="335">
        <f t="shared" si="30"/>
        <v>0.66344037005223</v>
      </c>
      <c r="Z85" s="753"/>
    </row>
    <row r="86" spans="1:26" s="1" customFormat="1" ht="15" customHeight="1" x14ac:dyDescent="0.2">
      <c r="A86" s="326" t="s">
        <v>116</v>
      </c>
      <c r="B86" s="341">
        <v>7</v>
      </c>
      <c r="C86" s="328">
        <f>B86/C$70</f>
        <v>0.15909090909090909</v>
      </c>
      <c r="D86" s="341">
        <f>4+3</f>
        <v>7</v>
      </c>
      <c r="E86" s="329">
        <f>D86/E$70</f>
        <v>0.15909090909090909</v>
      </c>
      <c r="F86" s="342">
        <v>6</v>
      </c>
      <c r="G86" s="329">
        <f>F86/G$70</f>
        <v>0.13333333333333333</v>
      </c>
      <c r="H86" s="342">
        <v>7</v>
      </c>
      <c r="I86" s="329">
        <f>H86/I$70</f>
        <v>0.16279069767441862</v>
      </c>
      <c r="J86" s="342">
        <f>7</f>
        <v>7</v>
      </c>
      <c r="K86" s="329">
        <f>J86/K$70</f>
        <v>0.15555555555555556</v>
      </c>
      <c r="L86" s="342">
        <v>7</v>
      </c>
      <c r="M86" s="329">
        <f>L86/M$70</f>
        <v>0.14583333333333334</v>
      </c>
      <c r="N86" s="342">
        <v>8</v>
      </c>
      <c r="O86" s="329">
        <f>N86/O$70</f>
        <v>0.15094339622641509</v>
      </c>
      <c r="P86" s="342">
        <v>8</v>
      </c>
      <c r="Q86" s="329">
        <f>P86/Q$70</f>
        <v>0.16326530612244897</v>
      </c>
      <c r="R86" s="342">
        <v>8</v>
      </c>
      <c r="S86" s="329">
        <f>R86/S$70</f>
        <v>0.16</v>
      </c>
      <c r="T86" s="342">
        <v>12</v>
      </c>
      <c r="U86" s="332">
        <f>T86/U$70</f>
        <v>0.23076923076923078</v>
      </c>
      <c r="V86" s="333"/>
      <c r="W86" s="334">
        <f t="shared" si="29"/>
        <v>8.6</v>
      </c>
      <c r="X86" s="335">
        <f t="shared" si="30"/>
        <v>0.17016225329028564</v>
      </c>
    </row>
    <row r="87" spans="1:26" s="1" customFormat="1" ht="15" customHeight="1" thickBot="1" x14ac:dyDescent="0.25">
      <c r="A87" s="336" t="s">
        <v>117</v>
      </c>
      <c r="B87" s="669">
        <v>2</v>
      </c>
      <c r="C87" s="659">
        <f>B87/C$70</f>
        <v>4.5454545454545456E-2</v>
      </c>
      <c r="D87" s="669">
        <f>1+4</f>
        <v>5</v>
      </c>
      <c r="E87" s="660">
        <f>D87/E$70</f>
        <v>0.11363636363636363</v>
      </c>
      <c r="F87" s="670">
        <v>5</v>
      </c>
      <c r="G87" s="660">
        <f>F87/G$70</f>
        <v>0.1111111111111111</v>
      </c>
      <c r="H87" s="670">
        <v>5</v>
      </c>
      <c r="I87" s="660">
        <f>H87/I$70</f>
        <v>0.11627906976744186</v>
      </c>
      <c r="J87" s="670">
        <f>5</f>
        <v>5</v>
      </c>
      <c r="K87" s="660">
        <f>J87/K$70</f>
        <v>0.1111111111111111</v>
      </c>
      <c r="L87" s="670">
        <v>7</v>
      </c>
      <c r="M87" s="660">
        <f>L87/M$70</f>
        <v>0.14583333333333334</v>
      </c>
      <c r="N87" s="670">
        <f>8+1</f>
        <v>9</v>
      </c>
      <c r="O87" s="660">
        <f>N87/O$70</f>
        <v>0.16981132075471697</v>
      </c>
      <c r="P87" s="670">
        <v>8</v>
      </c>
      <c r="Q87" s="660">
        <f>P87/Q$70</f>
        <v>0.16326530612244897</v>
      </c>
      <c r="R87" s="670">
        <v>9</v>
      </c>
      <c r="S87" s="660">
        <f>R87/S$70</f>
        <v>0.18</v>
      </c>
      <c r="T87" s="670">
        <v>9</v>
      </c>
      <c r="U87" s="661">
        <f>T87/U$70</f>
        <v>0.17307692307692307</v>
      </c>
      <c r="V87" s="333"/>
      <c r="W87" s="662">
        <f t="shared" si="29"/>
        <v>8.4</v>
      </c>
      <c r="X87" s="663">
        <f t="shared" si="30"/>
        <v>0.16639737665748447</v>
      </c>
    </row>
    <row r="88" spans="1:26" s="1" customFormat="1" ht="18" customHeight="1" x14ac:dyDescent="0.2">
      <c r="A88" s="886" t="s">
        <v>118</v>
      </c>
      <c r="B88" s="671"/>
      <c r="C88" s="654"/>
      <c r="D88" s="671"/>
      <c r="E88" s="655"/>
      <c r="F88" s="672"/>
      <c r="G88" s="655"/>
      <c r="H88" s="672"/>
      <c r="I88" s="655"/>
      <c r="J88" s="672"/>
      <c r="K88" s="655"/>
      <c r="L88" s="672"/>
      <c r="M88" s="655"/>
      <c r="N88" s="672"/>
      <c r="O88" s="655"/>
      <c r="P88" s="672"/>
      <c r="Q88" s="655"/>
      <c r="R88" s="672"/>
      <c r="S88" s="655"/>
      <c r="T88" s="672"/>
      <c r="U88" s="656"/>
      <c r="V88" s="333"/>
      <c r="W88" s="657"/>
      <c r="X88" s="658"/>
    </row>
    <row r="89" spans="1:26" s="1" customFormat="1" ht="15" customHeight="1" x14ac:dyDescent="0.2">
      <c r="A89" s="326" t="s">
        <v>119</v>
      </c>
      <c r="B89" s="341">
        <v>43</v>
      </c>
      <c r="C89" s="328">
        <f>B89/C$70</f>
        <v>0.97727272727272729</v>
      </c>
      <c r="D89" s="341">
        <f>1+2+15+25</f>
        <v>43</v>
      </c>
      <c r="E89" s="329">
        <f>D89/E$70</f>
        <v>0.97727272727272729</v>
      </c>
      <c r="F89" s="342">
        <v>44</v>
      </c>
      <c r="G89" s="329">
        <f>F89/G$70</f>
        <v>0.97777777777777775</v>
      </c>
      <c r="H89" s="342">
        <v>42</v>
      </c>
      <c r="I89" s="329">
        <f>H89/I$70</f>
        <v>0.97674418604651159</v>
      </c>
      <c r="J89" s="342">
        <f>45</f>
        <v>45</v>
      </c>
      <c r="K89" s="329">
        <f>J89/K$70</f>
        <v>1</v>
      </c>
      <c r="L89" s="342">
        <v>47</v>
      </c>
      <c r="M89" s="329">
        <f>L89/M$70</f>
        <v>0.97916666666666663</v>
      </c>
      <c r="N89" s="342">
        <f>1+49+2</f>
        <v>52</v>
      </c>
      <c r="O89" s="329">
        <f>N89/O$70</f>
        <v>0.98113207547169812</v>
      </c>
      <c r="P89" s="342">
        <v>48</v>
      </c>
      <c r="Q89" s="329">
        <f>P89/Q$70</f>
        <v>0.97959183673469385</v>
      </c>
      <c r="R89" s="342">
        <v>48</v>
      </c>
      <c r="S89" s="329">
        <f>R89/S$70</f>
        <v>0.96</v>
      </c>
      <c r="T89" s="342">
        <v>51</v>
      </c>
      <c r="U89" s="332">
        <f>T89/U$70</f>
        <v>0.98076923076923073</v>
      </c>
      <c r="V89" s="333"/>
      <c r="W89" s="334">
        <f t="shared" si="29"/>
        <v>49.2</v>
      </c>
      <c r="X89" s="335">
        <f t="shared" si="30"/>
        <v>0.97613196192845797</v>
      </c>
    </row>
    <row r="90" spans="1:26" s="1" customFormat="1" ht="15" customHeight="1" x14ac:dyDescent="0.2">
      <c r="A90" s="326" t="s">
        <v>120</v>
      </c>
      <c r="B90" s="341">
        <v>1</v>
      </c>
      <c r="C90" s="328">
        <f>B90/C$70</f>
        <v>2.2727272727272728E-2</v>
      </c>
      <c r="D90" s="341">
        <v>1</v>
      </c>
      <c r="E90" s="329">
        <f>D90/E$70</f>
        <v>2.2727272727272728E-2</v>
      </c>
      <c r="F90" s="342">
        <v>1</v>
      </c>
      <c r="G90" s="329">
        <f>F90/G$70</f>
        <v>2.2222222222222223E-2</v>
      </c>
      <c r="H90" s="342">
        <v>1</v>
      </c>
      <c r="I90" s="329">
        <f>H90/I$70</f>
        <v>2.3255813953488372E-2</v>
      </c>
      <c r="J90" s="342">
        <f>0</f>
        <v>0</v>
      </c>
      <c r="K90" s="329">
        <f>J90/K$70</f>
        <v>0</v>
      </c>
      <c r="L90" s="342">
        <v>1</v>
      </c>
      <c r="M90" s="329">
        <f>L90/M$70</f>
        <v>2.0833333333333332E-2</v>
      </c>
      <c r="N90" s="342">
        <v>0</v>
      </c>
      <c r="O90" s="329">
        <f>N90/O$70</f>
        <v>0</v>
      </c>
      <c r="P90" s="342">
        <v>0</v>
      </c>
      <c r="Q90" s="329">
        <f>P90/Q$70</f>
        <v>0</v>
      </c>
      <c r="R90" s="342">
        <v>1</v>
      </c>
      <c r="S90" s="329">
        <f>R90/S$70</f>
        <v>0.02</v>
      </c>
      <c r="T90" s="342">
        <v>1</v>
      </c>
      <c r="U90" s="332">
        <f>T90/U$70</f>
        <v>1.9230769230769232E-2</v>
      </c>
      <c r="V90" s="333"/>
      <c r="W90" s="334">
        <f t="shared" si="29"/>
        <v>0.6</v>
      </c>
      <c r="X90" s="335">
        <f t="shared" si="30"/>
        <v>1.2012820512820512E-2</v>
      </c>
    </row>
    <row r="91" spans="1:26" s="1" customFormat="1" ht="15" customHeight="1" x14ac:dyDescent="0.2">
      <c r="A91" s="326" t="s">
        <v>121</v>
      </c>
      <c r="B91" s="341">
        <v>0</v>
      </c>
      <c r="C91" s="328">
        <f>B91/C$70</f>
        <v>0</v>
      </c>
      <c r="D91" s="341">
        <v>0</v>
      </c>
      <c r="E91" s="329">
        <f>D91/E$70</f>
        <v>0</v>
      </c>
      <c r="F91" s="342">
        <v>0</v>
      </c>
      <c r="G91" s="329">
        <f>F91/G$70</f>
        <v>0</v>
      </c>
      <c r="H91" s="342">
        <v>0</v>
      </c>
      <c r="I91" s="329">
        <f>H91/I$70</f>
        <v>0</v>
      </c>
      <c r="J91" s="342">
        <f>0</f>
        <v>0</v>
      </c>
      <c r="K91" s="329">
        <f>J91/K$70</f>
        <v>0</v>
      </c>
      <c r="L91" s="342">
        <v>0</v>
      </c>
      <c r="M91" s="329">
        <f>L91/M$70</f>
        <v>0</v>
      </c>
      <c r="N91" s="342">
        <v>1</v>
      </c>
      <c r="O91" s="329">
        <f>N91/O$70</f>
        <v>1.8867924528301886E-2</v>
      </c>
      <c r="P91" s="342">
        <v>0</v>
      </c>
      <c r="Q91" s="329">
        <f>P91/Q$70</f>
        <v>0</v>
      </c>
      <c r="R91" s="342">
        <v>1</v>
      </c>
      <c r="S91" s="329">
        <f>R91/S$70</f>
        <v>0.02</v>
      </c>
      <c r="T91" s="342">
        <v>0</v>
      </c>
      <c r="U91" s="332">
        <f>T91/U$70</f>
        <v>0</v>
      </c>
      <c r="V91" s="320"/>
      <c r="W91" s="334">
        <f t="shared" si="29"/>
        <v>0.4</v>
      </c>
      <c r="X91" s="335">
        <f t="shared" si="30"/>
        <v>7.7735849056603775E-3</v>
      </c>
    </row>
    <row r="92" spans="1:26" s="1" customFormat="1" ht="15" customHeight="1" thickBot="1" x14ac:dyDescent="0.25">
      <c r="A92" s="344" t="s">
        <v>122</v>
      </c>
      <c r="B92" s="345">
        <v>0</v>
      </c>
      <c r="C92" s="346">
        <f>B92/C$70</f>
        <v>0</v>
      </c>
      <c r="D92" s="345">
        <v>0</v>
      </c>
      <c r="E92" s="347">
        <f>D92/E$70</f>
        <v>0</v>
      </c>
      <c r="F92" s="348">
        <v>0</v>
      </c>
      <c r="G92" s="347">
        <f>F92/G$70</f>
        <v>0</v>
      </c>
      <c r="H92" s="348">
        <v>0</v>
      </c>
      <c r="I92" s="347">
        <f>H92/I$70</f>
        <v>0</v>
      </c>
      <c r="J92" s="348">
        <f>0</f>
        <v>0</v>
      </c>
      <c r="K92" s="347">
        <f>J92/K$70</f>
        <v>0</v>
      </c>
      <c r="L92" s="348">
        <v>0</v>
      </c>
      <c r="M92" s="347">
        <f>L92/M$70</f>
        <v>0</v>
      </c>
      <c r="N92" s="348">
        <v>0</v>
      </c>
      <c r="O92" s="347">
        <f>N92/O$70</f>
        <v>0</v>
      </c>
      <c r="P92" s="348">
        <v>1</v>
      </c>
      <c r="Q92" s="347">
        <f>P92/Q$70</f>
        <v>2.0408163265306121E-2</v>
      </c>
      <c r="R92" s="348">
        <v>0</v>
      </c>
      <c r="S92" s="347">
        <f>R92/S$70</f>
        <v>0</v>
      </c>
      <c r="T92" s="348">
        <v>0</v>
      </c>
      <c r="U92" s="349">
        <f>T92/U$70</f>
        <v>0</v>
      </c>
      <c r="V92" s="320"/>
      <c r="W92" s="350">
        <f t="shared" si="29"/>
        <v>0.2</v>
      </c>
      <c r="X92" s="351">
        <f t="shared" si="30"/>
        <v>4.081632653061224E-3</v>
      </c>
    </row>
    <row r="93" spans="1:26" ht="15" customHeight="1" thickTop="1" x14ac:dyDescent="0.2">
      <c r="A93" s="635" t="s">
        <v>251</v>
      </c>
    </row>
    <row r="94" spans="1:26" ht="15" customHeight="1" x14ac:dyDescent="0.2">
      <c r="A94" s="1"/>
      <c r="H94" s="26" t="s">
        <v>16</v>
      </c>
      <c r="J94" s="26" t="s">
        <v>16</v>
      </c>
      <c r="L94" s="26" t="s">
        <v>16</v>
      </c>
      <c r="N94" s="26" t="s">
        <v>16</v>
      </c>
      <c r="P94" s="26" t="s">
        <v>16</v>
      </c>
      <c r="R94" s="26" t="s">
        <v>16</v>
      </c>
      <c r="T94" s="26" t="s">
        <v>16</v>
      </c>
    </row>
    <row r="95" spans="1:26" x14ac:dyDescent="0.2">
      <c r="A95" s="1"/>
    </row>
    <row r="96" spans="1:26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</sheetData>
  <mergeCells count="77">
    <mergeCell ref="N58:O58"/>
    <mergeCell ref="P58:Q58"/>
    <mergeCell ref="R58:S58"/>
    <mergeCell ref="W58:X58"/>
    <mergeCell ref="B58:C58"/>
    <mergeCell ref="D58:E58"/>
    <mergeCell ref="F58:G58"/>
    <mergeCell ref="H58:I58"/>
    <mergeCell ref="J58:K58"/>
    <mergeCell ref="L58:M58"/>
    <mergeCell ref="T58:U58"/>
    <mergeCell ref="N9:O9"/>
    <mergeCell ref="P9:Q9"/>
    <mergeCell ref="R9:S9"/>
    <mergeCell ref="W9:X9"/>
    <mergeCell ref="B9:C9"/>
    <mergeCell ref="D9:E9"/>
    <mergeCell ref="F9:G9"/>
    <mergeCell ref="H9:I9"/>
    <mergeCell ref="J9:K9"/>
    <mergeCell ref="L9:M9"/>
    <mergeCell ref="T9:U9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W32:X32"/>
    <mergeCell ref="T32:U32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W39:X39"/>
    <mergeCell ref="T39:U39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W42:X42"/>
    <mergeCell ref="T42:U42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W49:X49"/>
    <mergeCell ref="T49:U49"/>
    <mergeCell ref="B52:C52"/>
    <mergeCell ref="D52:E52"/>
    <mergeCell ref="F52:G52"/>
    <mergeCell ref="H52:I52"/>
    <mergeCell ref="J52:K52"/>
    <mergeCell ref="N52:O52"/>
    <mergeCell ref="P52:Q52"/>
    <mergeCell ref="R52:S52"/>
    <mergeCell ref="W52:X52"/>
    <mergeCell ref="L52:M52"/>
    <mergeCell ref="T52:U52"/>
  </mergeCells>
  <pageMargins left="0.7" right="0.7" top="0.5" bottom="0.5" header="0.3" footer="0.3"/>
  <pageSetup scale="66" orientation="landscape" r:id="rId1"/>
  <headerFooter>
    <oddFooter>&amp;LPrepared by Planning and Analysis&amp;C&amp;P of &amp;N&amp;RUpdated &amp;D</oddFooter>
  </headerFooter>
  <rowBreaks count="1" manualBreakCount="1">
    <brk id="56" max="21" man="1"/>
  </rowBreaks>
  <colBreaks count="1" manualBreakCount="1">
    <brk id="21" min="8" max="92" man="1"/>
  </colBreaks>
  <ignoredErrors>
    <ignoredError sqref="D73:P9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427"/>
  <sheetViews>
    <sheetView topLeftCell="A7" zoomScaleNormal="100" workbookViewId="0">
      <pane xSplit="5" topLeftCell="F1" activePane="topRight" state="frozen"/>
      <selection activeCell="U23" sqref="U23"/>
      <selection pane="topRight" activeCell="U23" sqref="U23"/>
    </sheetView>
  </sheetViews>
  <sheetFormatPr defaultColWidth="10.28515625" defaultRowHeight="12.75" x14ac:dyDescent="0.2"/>
  <cols>
    <col min="1" max="1" width="35.710937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4" ht="15.75" x14ac:dyDescent="0.25">
      <c r="A1" s="636" t="s">
        <v>208</v>
      </c>
    </row>
    <row r="2" spans="1:24" ht="15.75" x14ac:dyDescent="0.25">
      <c r="A2" s="636" t="s">
        <v>209</v>
      </c>
    </row>
    <row r="3" spans="1:24" ht="6" customHeight="1" x14ac:dyDescent="0.25">
      <c r="A3" s="636"/>
    </row>
    <row r="4" spans="1:24" ht="15.75" x14ac:dyDescent="0.25">
      <c r="A4" s="157" t="s">
        <v>211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</row>
    <row r="5" spans="1:24" ht="5.25" customHeight="1" x14ac:dyDescent="0.25">
      <c r="A5" s="157"/>
    </row>
    <row r="6" spans="1:24" ht="25.5" x14ac:dyDescent="0.2">
      <c r="A6" s="770" t="s">
        <v>124</v>
      </c>
    </row>
    <row r="7" spans="1:24" x14ac:dyDescent="0.2">
      <c r="A7" s="24">
        <v>3670010055</v>
      </c>
    </row>
    <row r="8" spans="1:24" ht="10.5" customHeight="1" thickBot="1" x14ac:dyDescent="0.3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</row>
    <row r="9" spans="1:24" ht="18" customHeight="1" thickTop="1" thickBot="1" x14ac:dyDescent="0.25">
      <c r="A9" s="215"/>
      <c r="B9" s="1304" t="s">
        <v>0</v>
      </c>
      <c r="C9" s="1305"/>
      <c r="D9" s="1304" t="s">
        <v>1</v>
      </c>
      <c r="E9" s="1305"/>
      <c r="F9" s="1304" t="s">
        <v>2</v>
      </c>
      <c r="G9" s="1305"/>
      <c r="H9" s="1304" t="s">
        <v>3</v>
      </c>
      <c r="I9" s="1305"/>
      <c r="J9" s="1304" t="s">
        <v>4</v>
      </c>
      <c r="K9" s="1305"/>
      <c r="L9" s="1304" t="s">
        <v>5</v>
      </c>
      <c r="M9" s="1305"/>
      <c r="N9" s="1304" t="s">
        <v>6</v>
      </c>
      <c r="O9" s="1305"/>
      <c r="P9" s="1304" t="s">
        <v>7</v>
      </c>
      <c r="Q9" s="1305"/>
      <c r="R9" s="1304" t="s">
        <v>8</v>
      </c>
      <c r="S9" s="1305"/>
      <c r="T9" s="1304" t="s">
        <v>254</v>
      </c>
      <c r="U9" s="1306"/>
      <c r="W9" s="1302" t="s">
        <v>9</v>
      </c>
      <c r="X9" s="1303"/>
    </row>
    <row r="10" spans="1:24" ht="30" customHeight="1" thickBot="1" x14ac:dyDescent="0.25">
      <c r="A10" s="30" t="s">
        <v>214</v>
      </c>
      <c r="B10" s="677" t="s">
        <v>213</v>
      </c>
      <c r="C10" s="568" t="s">
        <v>198</v>
      </c>
      <c r="D10" s="676" t="s">
        <v>213</v>
      </c>
      <c r="E10" s="568" t="s">
        <v>198</v>
      </c>
      <c r="F10" s="677" t="s">
        <v>213</v>
      </c>
      <c r="G10" s="568" t="s">
        <v>198</v>
      </c>
      <c r="H10" s="677" t="s">
        <v>213</v>
      </c>
      <c r="I10" s="568" t="s">
        <v>198</v>
      </c>
      <c r="J10" s="677" t="s">
        <v>213</v>
      </c>
      <c r="K10" s="568" t="s">
        <v>198</v>
      </c>
      <c r="L10" s="677" t="s">
        <v>213</v>
      </c>
      <c r="M10" s="568" t="s">
        <v>198</v>
      </c>
      <c r="N10" s="677" t="s">
        <v>213</v>
      </c>
      <c r="O10" s="568" t="s">
        <v>198</v>
      </c>
      <c r="P10" s="677" t="s">
        <v>213</v>
      </c>
      <c r="Q10" s="568" t="s">
        <v>198</v>
      </c>
      <c r="R10" s="677" t="s">
        <v>213</v>
      </c>
      <c r="S10" s="568" t="s">
        <v>198</v>
      </c>
      <c r="T10" s="677" t="s">
        <v>213</v>
      </c>
      <c r="U10" s="646" t="s">
        <v>198</v>
      </c>
      <c r="W10" s="678" t="s">
        <v>213</v>
      </c>
      <c r="X10" s="645" t="s">
        <v>198</v>
      </c>
    </row>
    <row r="11" spans="1:24" ht="15" customHeight="1" x14ac:dyDescent="0.2">
      <c r="A11" s="257" t="s">
        <v>152</v>
      </c>
      <c r="B11" s="597"/>
      <c r="C11" s="687"/>
      <c r="D11" s="594"/>
      <c r="E11" s="688"/>
      <c r="F11" s="597"/>
      <c r="G11" s="688"/>
      <c r="H11" s="597"/>
      <c r="I11" s="688"/>
      <c r="J11" s="597"/>
      <c r="K11" s="688"/>
      <c r="L11" s="597"/>
      <c r="M11" s="688"/>
      <c r="N11" s="597"/>
      <c r="O11" s="688"/>
      <c r="P11" s="597"/>
      <c r="Q11" s="688"/>
      <c r="R11" s="597"/>
      <c r="S11" s="688"/>
      <c r="T11" s="597"/>
      <c r="U11" s="736"/>
      <c r="W11" s="478"/>
      <c r="X11" s="592"/>
    </row>
    <row r="12" spans="1:24" s="232" customFormat="1" ht="15" customHeight="1" x14ac:dyDescent="0.2">
      <c r="A12" s="224" t="s">
        <v>85</v>
      </c>
      <c r="B12" s="225">
        <v>28</v>
      </c>
      <c r="C12" s="226"/>
      <c r="D12" s="227">
        <v>35</v>
      </c>
      <c r="E12" s="228"/>
      <c r="F12" s="225">
        <v>30</v>
      </c>
      <c r="G12" s="228"/>
      <c r="H12" s="225">
        <v>21</v>
      </c>
      <c r="I12" s="228"/>
      <c r="J12" s="225">
        <v>27</v>
      </c>
      <c r="K12" s="228"/>
      <c r="L12" s="225">
        <v>26</v>
      </c>
      <c r="M12" s="228"/>
      <c r="N12" s="225">
        <v>29</v>
      </c>
      <c r="O12" s="228"/>
      <c r="P12" s="225">
        <v>30</v>
      </c>
      <c r="Q12" s="228"/>
      <c r="R12" s="225">
        <v>29</v>
      </c>
      <c r="S12" s="228"/>
      <c r="T12" s="230">
        <v>33</v>
      </c>
      <c r="U12" s="231"/>
      <c r="W12" s="222">
        <f>AVERAGE(N12,L12,R12,T12,P12)</f>
        <v>29.4</v>
      </c>
      <c r="X12" s="516"/>
    </row>
    <row r="13" spans="1:24" s="232" customFormat="1" ht="15" customHeight="1" thickBot="1" x14ac:dyDescent="0.25">
      <c r="A13" s="234" t="s">
        <v>86</v>
      </c>
      <c r="B13" s="235">
        <v>40</v>
      </c>
      <c r="C13" s="236"/>
      <c r="D13" s="237">
        <v>46</v>
      </c>
      <c r="E13" s="238"/>
      <c r="F13" s="235">
        <v>56</v>
      </c>
      <c r="G13" s="238"/>
      <c r="H13" s="235">
        <v>57</v>
      </c>
      <c r="I13" s="238"/>
      <c r="J13" s="235">
        <v>35</v>
      </c>
      <c r="K13" s="238"/>
      <c r="L13" s="235">
        <v>37</v>
      </c>
      <c r="M13" s="238"/>
      <c r="N13" s="235">
        <v>39</v>
      </c>
      <c r="O13" s="238"/>
      <c r="P13" s="235">
        <v>42</v>
      </c>
      <c r="Q13" s="238"/>
      <c r="R13" s="235">
        <f>21+23</f>
        <v>44</v>
      </c>
      <c r="S13" s="238"/>
      <c r="T13" s="235">
        <v>46</v>
      </c>
      <c r="U13" s="240"/>
      <c r="W13" s="449">
        <f t="shared" ref="W13:W20" si="0">AVERAGE(N13,L13,R13,T13,P13)</f>
        <v>41.6</v>
      </c>
      <c r="X13" s="517"/>
    </row>
    <row r="14" spans="1:24" s="33" customFormat="1" ht="15" customHeight="1" thickBot="1" x14ac:dyDescent="0.25">
      <c r="A14" s="241" t="s">
        <v>87</v>
      </c>
      <c r="B14" s="242">
        <f t="shared" ref="B14:R14" si="1">SUM(B12:B13)</f>
        <v>68</v>
      </c>
      <c r="C14" s="243">
        <v>9</v>
      </c>
      <c r="D14" s="242">
        <f t="shared" si="1"/>
        <v>81</v>
      </c>
      <c r="E14" s="243">
        <v>11</v>
      </c>
      <c r="F14" s="242">
        <f t="shared" si="1"/>
        <v>86</v>
      </c>
      <c r="G14" s="243">
        <v>12</v>
      </c>
      <c r="H14" s="242">
        <f t="shared" si="1"/>
        <v>78</v>
      </c>
      <c r="I14" s="243">
        <v>26</v>
      </c>
      <c r="J14" s="242">
        <f t="shared" si="1"/>
        <v>62</v>
      </c>
      <c r="K14" s="243">
        <v>11</v>
      </c>
      <c r="L14" s="242">
        <f t="shared" si="1"/>
        <v>63</v>
      </c>
      <c r="M14" s="243">
        <v>12</v>
      </c>
      <c r="N14" s="242">
        <f t="shared" si="1"/>
        <v>68</v>
      </c>
      <c r="O14" s="243">
        <v>9</v>
      </c>
      <c r="P14" s="242">
        <f t="shared" si="1"/>
        <v>72</v>
      </c>
      <c r="Q14" s="243">
        <v>16</v>
      </c>
      <c r="R14" s="242">
        <f t="shared" si="1"/>
        <v>73</v>
      </c>
      <c r="S14" s="243">
        <v>13</v>
      </c>
      <c r="T14" s="242">
        <v>79</v>
      </c>
      <c r="U14" s="892"/>
      <c r="W14" s="831">
        <f t="shared" si="0"/>
        <v>71</v>
      </c>
      <c r="X14" s="832">
        <f>AVERAGE(O14,M14,S14,K14,Q14)</f>
        <v>12.2</v>
      </c>
    </row>
    <row r="15" spans="1:24" ht="24" customHeight="1" x14ac:dyDescent="0.2">
      <c r="A15" s="284" t="s">
        <v>153</v>
      </c>
      <c r="B15" s="597"/>
      <c r="C15" s="687"/>
      <c r="D15" s="594"/>
      <c r="E15" s="688"/>
      <c r="F15" s="597"/>
      <c r="G15" s="688"/>
      <c r="H15" s="597"/>
      <c r="I15" s="688"/>
      <c r="J15" s="597"/>
      <c r="K15" s="688"/>
      <c r="L15" s="597"/>
      <c r="M15" s="688"/>
      <c r="N15" s="597"/>
      <c r="O15" s="688"/>
      <c r="P15" s="597"/>
      <c r="Q15" s="688"/>
      <c r="R15" s="597"/>
      <c r="S15" s="688"/>
      <c r="T15" s="597"/>
      <c r="U15" s="689"/>
      <c r="W15" s="362"/>
      <c r="X15" s="769"/>
    </row>
    <row r="16" spans="1:24" s="232" customFormat="1" ht="15" customHeight="1" x14ac:dyDescent="0.2">
      <c r="A16" s="309" t="s">
        <v>85</v>
      </c>
      <c r="B16" s="225">
        <v>24</v>
      </c>
      <c r="C16" s="226"/>
      <c r="D16" s="227">
        <v>24</v>
      </c>
      <c r="E16" s="228"/>
      <c r="F16" s="225">
        <v>17</v>
      </c>
      <c r="G16" s="228"/>
      <c r="H16" s="225">
        <v>31</v>
      </c>
      <c r="I16" s="228"/>
      <c r="J16" s="225">
        <v>30</v>
      </c>
      <c r="K16" s="228"/>
      <c r="L16" s="225">
        <v>25</v>
      </c>
      <c r="M16" s="228"/>
      <c r="N16" s="225">
        <v>32</v>
      </c>
      <c r="O16" s="228"/>
      <c r="P16" s="225">
        <v>39</v>
      </c>
      <c r="Q16" s="228"/>
      <c r="R16" s="225">
        <f>12+19</f>
        <v>31</v>
      </c>
      <c r="S16" s="228"/>
      <c r="T16" s="230">
        <v>19</v>
      </c>
      <c r="U16" s="231"/>
      <c r="W16" s="222">
        <f t="shared" si="0"/>
        <v>29.2</v>
      </c>
      <c r="X16" s="516"/>
    </row>
    <row r="17" spans="1:24" s="232" customFormat="1" ht="15" customHeight="1" thickBot="1" x14ac:dyDescent="0.25">
      <c r="A17" s="234" t="s">
        <v>86</v>
      </c>
      <c r="B17" s="235">
        <v>38</v>
      </c>
      <c r="C17" s="236"/>
      <c r="D17" s="237">
        <v>34</v>
      </c>
      <c r="E17" s="238"/>
      <c r="F17" s="235">
        <v>39</v>
      </c>
      <c r="G17" s="238"/>
      <c r="H17" s="235">
        <v>31</v>
      </c>
      <c r="I17" s="238"/>
      <c r="J17" s="235">
        <v>39</v>
      </c>
      <c r="K17" s="238"/>
      <c r="L17" s="235">
        <v>41</v>
      </c>
      <c r="M17" s="238"/>
      <c r="N17" s="235">
        <v>36</v>
      </c>
      <c r="O17" s="238"/>
      <c r="P17" s="235">
        <v>39</v>
      </c>
      <c r="Q17" s="238"/>
      <c r="R17" s="235">
        <f>19+28</f>
        <v>47</v>
      </c>
      <c r="S17" s="238"/>
      <c r="T17" s="235">
        <v>46</v>
      </c>
      <c r="U17" s="240"/>
      <c r="W17" s="449">
        <f t="shared" si="0"/>
        <v>41.8</v>
      </c>
      <c r="X17" s="517"/>
    </row>
    <row r="18" spans="1:24" s="33" customFormat="1" ht="15" customHeight="1" thickBot="1" x14ac:dyDescent="0.25">
      <c r="A18" s="241" t="s">
        <v>87</v>
      </c>
      <c r="B18" s="242">
        <f t="shared" ref="B18" si="2">SUM(B16:B17)</f>
        <v>62</v>
      </c>
      <c r="C18" s="243">
        <v>13</v>
      </c>
      <c r="D18" s="242">
        <f t="shared" ref="D18" si="3">SUM(D16:D17)</f>
        <v>58</v>
      </c>
      <c r="E18" s="540">
        <v>12</v>
      </c>
      <c r="F18" s="242">
        <f t="shared" ref="F18" si="4">SUM(F16:F17)</f>
        <v>56</v>
      </c>
      <c r="G18" s="243">
        <v>19</v>
      </c>
      <c r="H18" s="242">
        <f t="shared" ref="H18" si="5">SUM(H16:H17)</f>
        <v>62</v>
      </c>
      <c r="I18" s="243">
        <v>11</v>
      </c>
      <c r="J18" s="242">
        <f t="shared" ref="J18" si="6">SUM(J16:J17)</f>
        <v>69</v>
      </c>
      <c r="K18" s="243">
        <v>14</v>
      </c>
      <c r="L18" s="242">
        <f t="shared" ref="L18" si="7">SUM(L16:L17)</f>
        <v>66</v>
      </c>
      <c r="M18" s="243">
        <v>17</v>
      </c>
      <c r="N18" s="242">
        <f t="shared" ref="N18" si="8">SUM(N16:N17)</f>
        <v>68</v>
      </c>
      <c r="O18" s="243">
        <v>13</v>
      </c>
      <c r="P18" s="242">
        <f t="shared" ref="P18" si="9">SUM(P16:P17)</f>
        <v>78</v>
      </c>
      <c r="Q18" s="243">
        <v>13</v>
      </c>
      <c r="R18" s="242">
        <f t="shared" ref="R18" si="10">SUM(R16:R17)</f>
        <v>78</v>
      </c>
      <c r="S18" s="243">
        <v>17</v>
      </c>
      <c r="T18" s="242">
        <v>65</v>
      </c>
      <c r="U18" s="892"/>
      <c r="W18" s="831">
        <f t="shared" si="0"/>
        <v>71</v>
      </c>
      <c r="X18" s="832">
        <f>AVERAGE(O18,M18,S18,K18,Q18)</f>
        <v>14.8</v>
      </c>
    </row>
    <row r="19" spans="1:24" s="33" customFormat="1" ht="15" customHeight="1" x14ac:dyDescent="0.2">
      <c r="A19" s="307" t="s">
        <v>154</v>
      </c>
      <c r="B19" s="691"/>
      <c r="C19" s="693"/>
      <c r="D19" s="691"/>
      <c r="E19" s="692"/>
      <c r="F19" s="691"/>
      <c r="G19" s="692"/>
      <c r="H19" s="691"/>
      <c r="I19" s="692"/>
      <c r="J19" s="691"/>
      <c r="K19" s="692"/>
      <c r="L19" s="691"/>
      <c r="M19" s="692"/>
      <c r="N19" s="691"/>
      <c r="O19" s="692"/>
      <c r="P19" s="691"/>
      <c r="Q19" s="692"/>
      <c r="R19" s="691"/>
      <c r="S19" s="692"/>
      <c r="T19" s="691"/>
      <c r="U19" s="735"/>
      <c r="W19" s="362"/>
      <c r="X19" s="769"/>
    </row>
    <row r="20" spans="1:24" s="232" customFormat="1" ht="15" customHeight="1" thickBot="1" x14ac:dyDescent="0.25">
      <c r="A20" s="308" t="s">
        <v>88</v>
      </c>
      <c r="B20" s="310"/>
      <c r="C20" s="311"/>
      <c r="D20" s="310"/>
      <c r="E20" s="311"/>
      <c r="F20" s="312"/>
      <c r="G20" s="311"/>
      <c r="H20" s="312"/>
      <c r="I20" s="311"/>
      <c r="J20" s="312"/>
      <c r="K20" s="311"/>
      <c r="L20" s="293">
        <v>2</v>
      </c>
      <c r="M20" s="313">
        <v>0</v>
      </c>
      <c r="N20" s="293">
        <v>13</v>
      </c>
      <c r="O20" s="313">
        <v>3</v>
      </c>
      <c r="P20" s="293">
        <v>21</v>
      </c>
      <c r="Q20" s="313">
        <v>3</v>
      </c>
      <c r="R20" s="293">
        <v>18</v>
      </c>
      <c r="S20" s="313">
        <v>6</v>
      </c>
      <c r="T20" s="294">
        <v>17</v>
      </c>
      <c r="U20" s="894"/>
      <c r="W20" s="479">
        <f t="shared" si="0"/>
        <v>14.2</v>
      </c>
      <c r="X20" s="520">
        <f>AVERAGE(O20,M20,S20,K20,Q20)</f>
        <v>3</v>
      </c>
    </row>
    <row r="21" spans="1:24" ht="18" customHeight="1" thickTop="1" thickBot="1" x14ac:dyDescent="0.25">
      <c r="A21" s="390" t="s">
        <v>92</v>
      </c>
      <c r="B21" s="1322"/>
      <c r="C21" s="1323"/>
      <c r="D21" s="1322"/>
      <c r="E21" s="1323"/>
      <c r="F21" s="1322"/>
      <c r="G21" s="1323"/>
      <c r="H21" s="1322"/>
      <c r="I21" s="1323"/>
      <c r="J21" s="1322"/>
      <c r="K21" s="1323"/>
      <c r="L21" s="1322"/>
      <c r="M21" s="1323"/>
      <c r="N21" s="1322"/>
      <c r="O21" s="1323"/>
      <c r="P21" s="1322"/>
      <c r="Q21" s="1323"/>
      <c r="R21" s="1322"/>
      <c r="S21" s="1323"/>
      <c r="T21" s="1322"/>
      <c r="U21" s="1299"/>
      <c r="V21" s="372"/>
      <c r="W21" s="1298"/>
      <c r="X21" s="1299"/>
    </row>
    <row r="22" spans="1:24" ht="15" customHeight="1" x14ac:dyDescent="0.2">
      <c r="A22" s="738" t="s">
        <v>230</v>
      </c>
      <c r="B22" s="391"/>
      <c r="C22" s="403"/>
      <c r="D22" s="404"/>
      <c r="E22" s="403"/>
      <c r="F22" s="404"/>
      <c r="G22" s="403"/>
      <c r="H22" s="404"/>
      <c r="I22" s="403"/>
      <c r="J22" s="404"/>
      <c r="K22" s="403"/>
      <c r="L22" s="404"/>
      <c r="M22" s="403"/>
      <c r="N22" s="404"/>
      <c r="O22" s="403"/>
      <c r="P22" s="404"/>
      <c r="Q22" s="403"/>
      <c r="R22" s="404"/>
      <c r="S22" s="403"/>
      <c r="T22" s="404"/>
      <c r="U22" s="405"/>
      <c r="V22" s="406"/>
      <c r="W22" s="848"/>
      <c r="X22" s="485" t="e">
        <f t="shared" ref="X22" si="11">AVERAGE(O22,M22,I22,K22,Q22)</f>
        <v>#DIV/0!</v>
      </c>
    </row>
    <row r="23" spans="1:24" ht="15" customHeight="1" x14ac:dyDescent="0.2">
      <c r="A23" s="578" t="s">
        <v>188</v>
      </c>
      <c r="B23" s="481"/>
      <c r="C23" s="863">
        <v>0.71</v>
      </c>
      <c r="D23" s="864"/>
      <c r="E23" s="863">
        <v>0.91</v>
      </c>
      <c r="F23" s="864"/>
      <c r="G23" s="863">
        <v>0.92</v>
      </c>
      <c r="H23" s="864"/>
      <c r="I23" s="863">
        <v>0.96</v>
      </c>
      <c r="J23" s="864"/>
      <c r="K23" s="863">
        <v>0.91</v>
      </c>
      <c r="L23" s="864"/>
      <c r="M23" s="863">
        <v>1</v>
      </c>
      <c r="N23" s="864"/>
      <c r="O23" s="863">
        <v>1</v>
      </c>
      <c r="P23" s="864"/>
      <c r="Q23" s="863">
        <v>1</v>
      </c>
      <c r="R23" s="864"/>
      <c r="S23" s="1294">
        <v>0.82</v>
      </c>
      <c r="T23" s="864"/>
      <c r="U23" s="895"/>
      <c r="V23" s="866"/>
      <c r="W23" s="869"/>
      <c r="X23" s="870">
        <f>AVERAGE(O23,M23,S23,K23,Q23)</f>
        <v>0.94600000000000006</v>
      </c>
    </row>
    <row r="24" spans="1:24" ht="27" customHeight="1" x14ac:dyDescent="0.2">
      <c r="A24" s="771" t="s">
        <v>189</v>
      </c>
      <c r="B24" s="481"/>
      <c r="C24" s="863">
        <v>0.77</v>
      </c>
      <c r="D24" s="864"/>
      <c r="E24" s="863">
        <v>0.73</v>
      </c>
      <c r="F24" s="864"/>
      <c r="G24" s="863">
        <v>0.67</v>
      </c>
      <c r="H24" s="864"/>
      <c r="I24" s="863">
        <v>0.78</v>
      </c>
      <c r="J24" s="864"/>
      <c r="K24" s="863">
        <v>0.8</v>
      </c>
      <c r="L24" s="864"/>
      <c r="M24" s="863">
        <v>0.94</v>
      </c>
      <c r="N24" s="864"/>
      <c r="O24" s="863">
        <v>0.83</v>
      </c>
      <c r="P24" s="864"/>
      <c r="Q24" s="863">
        <v>0.73</v>
      </c>
      <c r="R24" s="864"/>
      <c r="S24" s="1294">
        <v>0.73</v>
      </c>
      <c r="T24" s="864"/>
      <c r="U24" s="895"/>
      <c r="V24" s="866"/>
      <c r="W24" s="869"/>
      <c r="X24" s="870">
        <f t="shared" ref="X24:X26" si="12">AVERAGE(O24,M24,S24,K24,Q24)</f>
        <v>0.80599999999999983</v>
      </c>
    </row>
    <row r="25" spans="1:24" ht="15" customHeight="1" x14ac:dyDescent="0.2">
      <c r="A25" s="578" t="s">
        <v>190</v>
      </c>
      <c r="B25" s="481"/>
      <c r="C25" s="863">
        <v>0.14000000000000001</v>
      </c>
      <c r="D25" s="864"/>
      <c r="E25" s="863">
        <v>0</v>
      </c>
      <c r="F25" s="864"/>
      <c r="G25" s="863">
        <v>0</v>
      </c>
      <c r="H25" s="864"/>
      <c r="I25" s="863">
        <v>0</v>
      </c>
      <c r="J25" s="864"/>
      <c r="K25" s="863">
        <v>0</v>
      </c>
      <c r="L25" s="864"/>
      <c r="M25" s="863">
        <v>0</v>
      </c>
      <c r="N25" s="864"/>
      <c r="O25" s="863">
        <v>0</v>
      </c>
      <c r="P25" s="864"/>
      <c r="Q25" s="863">
        <v>0</v>
      </c>
      <c r="R25" s="864"/>
      <c r="S25" s="1294">
        <v>0.09</v>
      </c>
      <c r="T25" s="864"/>
      <c r="U25" s="895"/>
      <c r="V25" s="866"/>
      <c r="W25" s="869"/>
      <c r="X25" s="870">
        <f t="shared" si="12"/>
        <v>1.7999999999999999E-2</v>
      </c>
    </row>
    <row r="26" spans="1:24" ht="28.5" customHeight="1" thickBot="1" x14ac:dyDescent="0.25">
      <c r="A26" s="862" t="s">
        <v>191</v>
      </c>
      <c r="B26" s="532"/>
      <c r="C26" s="867">
        <v>0.23</v>
      </c>
      <c r="D26" s="868"/>
      <c r="E26" s="867">
        <v>0.27</v>
      </c>
      <c r="F26" s="868"/>
      <c r="G26" s="867">
        <v>0.28000000000000003</v>
      </c>
      <c r="H26" s="868"/>
      <c r="I26" s="867">
        <v>0.11</v>
      </c>
      <c r="J26" s="868"/>
      <c r="K26" s="867">
        <v>7.0000000000000007E-2</v>
      </c>
      <c r="L26" s="868"/>
      <c r="M26" s="867">
        <v>0.06</v>
      </c>
      <c r="N26" s="868"/>
      <c r="O26" s="867">
        <v>0.17</v>
      </c>
      <c r="P26" s="868"/>
      <c r="Q26" s="867">
        <v>0.27</v>
      </c>
      <c r="R26" s="868"/>
      <c r="S26" s="1295">
        <v>0.13</v>
      </c>
      <c r="T26" s="868"/>
      <c r="U26" s="896"/>
      <c r="V26" s="866"/>
      <c r="W26" s="913"/>
      <c r="X26" s="914">
        <f t="shared" si="12"/>
        <v>0.13999999999999999</v>
      </c>
    </row>
    <row r="27" spans="1:24" ht="18" customHeight="1" thickTop="1" thickBot="1" x14ac:dyDescent="0.25">
      <c r="A27" s="399" t="s">
        <v>39</v>
      </c>
      <c r="B27" s="1322"/>
      <c r="C27" s="1323"/>
      <c r="D27" s="1322"/>
      <c r="E27" s="1323"/>
      <c r="F27" s="1322"/>
      <c r="G27" s="1323"/>
      <c r="H27" s="1322"/>
      <c r="I27" s="1323"/>
      <c r="J27" s="1322"/>
      <c r="K27" s="1323"/>
      <c r="L27" s="1322"/>
      <c r="M27" s="1323"/>
      <c r="N27" s="1322"/>
      <c r="O27" s="1323"/>
      <c r="P27" s="1322"/>
      <c r="Q27" s="1323"/>
      <c r="R27" s="1322"/>
      <c r="S27" s="1323"/>
      <c r="T27" s="1322"/>
      <c r="U27" s="1299"/>
      <c r="V27" s="372"/>
      <c r="W27" s="1298"/>
      <c r="X27" s="1299"/>
    </row>
    <row r="28" spans="1:24" ht="15" customHeight="1" x14ac:dyDescent="0.2">
      <c r="A28" s="737" t="s">
        <v>192</v>
      </c>
      <c r="B28" s="507"/>
      <c r="C28" s="508">
        <v>22.7</v>
      </c>
      <c r="D28" s="507"/>
      <c r="E28" s="508">
        <v>22.8</v>
      </c>
      <c r="F28" s="507"/>
      <c r="G28" s="508">
        <v>22.2</v>
      </c>
      <c r="H28" s="507"/>
      <c r="I28" s="508">
        <v>21.9</v>
      </c>
      <c r="J28" s="507"/>
      <c r="K28" s="508">
        <v>22.5</v>
      </c>
      <c r="L28" s="507"/>
      <c r="M28" s="508">
        <v>23.3</v>
      </c>
      <c r="N28" s="507"/>
      <c r="O28" s="508">
        <v>23.1</v>
      </c>
      <c r="P28" s="507"/>
      <c r="Q28" s="508">
        <v>22.8</v>
      </c>
      <c r="R28" s="507"/>
      <c r="S28" s="508">
        <v>23.3</v>
      </c>
      <c r="T28" s="507"/>
      <c r="U28" s="438">
        <v>24.1</v>
      </c>
      <c r="V28" s="372"/>
      <c r="W28" s="509"/>
      <c r="X28" s="523">
        <f>AVERAGE(O28,M28,S28,U28,Q28)</f>
        <v>23.32</v>
      </c>
    </row>
    <row r="29" spans="1:24" ht="15" customHeight="1" thickBot="1" x14ac:dyDescent="0.25">
      <c r="A29" s="1000" t="s">
        <v>193</v>
      </c>
      <c r="B29" s="460"/>
      <c r="C29" s="461">
        <v>23.6</v>
      </c>
      <c r="D29" s="460"/>
      <c r="E29" s="461">
        <v>24.2</v>
      </c>
      <c r="F29" s="460"/>
      <c r="G29" s="461">
        <v>24.2</v>
      </c>
      <c r="H29" s="460"/>
      <c r="I29" s="461">
        <v>24.6</v>
      </c>
      <c r="J29" s="460"/>
      <c r="K29" s="461">
        <v>23.9</v>
      </c>
      <c r="L29" s="460"/>
      <c r="M29" s="461">
        <v>23.5</v>
      </c>
      <c r="N29" s="460"/>
      <c r="O29" s="461">
        <v>23.4</v>
      </c>
      <c r="P29" s="460"/>
      <c r="Q29" s="461">
        <v>23.2</v>
      </c>
      <c r="R29" s="460"/>
      <c r="S29" s="461">
        <v>23.4</v>
      </c>
      <c r="T29" s="460"/>
      <c r="U29" s="462">
        <v>23.6</v>
      </c>
      <c r="V29" s="372"/>
      <c r="W29" s="455"/>
      <c r="X29" s="833">
        <f>AVERAGE(O29,M29,S29,U29,Q29)</f>
        <v>23.42</v>
      </c>
    </row>
    <row r="30" spans="1:24" ht="18" customHeight="1" thickTop="1" thickBot="1" x14ac:dyDescent="0.25">
      <c r="A30" s="415" t="s">
        <v>17</v>
      </c>
      <c r="B30" s="1322"/>
      <c r="C30" s="1323"/>
      <c r="D30" s="1322"/>
      <c r="E30" s="1323"/>
      <c r="F30" s="1322"/>
      <c r="G30" s="1323"/>
      <c r="H30" s="1322"/>
      <c r="I30" s="1323"/>
      <c r="J30" s="1322"/>
      <c r="K30" s="1323"/>
      <c r="L30" s="1322"/>
      <c r="M30" s="1323"/>
      <c r="N30" s="1322"/>
      <c r="O30" s="1323"/>
      <c r="P30" s="1322"/>
      <c r="Q30" s="1323"/>
      <c r="R30" s="1322"/>
      <c r="S30" s="1323"/>
      <c r="T30" s="1322"/>
      <c r="U30" s="1299"/>
      <c r="V30" s="372"/>
      <c r="W30" s="1298"/>
      <c r="X30" s="1299"/>
    </row>
    <row r="31" spans="1:24" ht="15" customHeight="1" x14ac:dyDescent="0.2">
      <c r="A31" s="578" t="s">
        <v>18</v>
      </c>
      <c r="B31" s="416"/>
      <c r="C31" s="343">
        <v>22</v>
      </c>
      <c r="D31" s="417"/>
      <c r="E31" s="418">
        <v>42</v>
      </c>
      <c r="F31" s="416"/>
      <c r="G31" s="418">
        <v>26</v>
      </c>
      <c r="H31" s="416"/>
      <c r="I31" s="418">
        <v>46</v>
      </c>
      <c r="J31" s="416"/>
      <c r="K31" s="418">
        <v>54</v>
      </c>
      <c r="L31" s="416"/>
      <c r="M31" s="418">
        <v>114</v>
      </c>
      <c r="N31" s="416"/>
      <c r="O31" s="418">
        <v>114</v>
      </c>
      <c r="P31" s="416"/>
      <c r="Q31" s="418">
        <v>186</v>
      </c>
      <c r="R31" s="416"/>
      <c r="S31" s="418">
        <v>146</v>
      </c>
      <c r="T31" s="416"/>
      <c r="U31" s="19">
        <v>119</v>
      </c>
      <c r="V31" s="372"/>
      <c r="W31" s="420"/>
      <c r="X31" s="421">
        <f>AVERAGE(O31,M31,S31,K31,Q31)</f>
        <v>122.8</v>
      </c>
    </row>
    <row r="32" spans="1:24" ht="15" customHeight="1" x14ac:dyDescent="0.2">
      <c r="A32" s="578" t="s">
        <v>19</v>
      </c>
      <c r="B32" s="416"/>
      <c r="C32" s="343">
        <v>806</v>
      </c>
      <c r="D32" s="417"/>
      <c r="E32" s="418">
        <v>906</v>
      </c>
      <c r="F32" s="416"/>
      <c r="G32" s="418">
        <v>1004</v>
      </c>
      <c r="H32" s="416"/>
      <c r="I32" s="418">
        <v>1002</v>
      </c>
      <c r="J32" s="416"/>
      <c r="K32" s="418">
        <v>1022</v>
      </c>
      <c r="L32" s="416"/>
      <c r="M32" s="418">
        <v>991</v>
      </c>
      <c r="N32" s="416"/>
      <c r="O32" s="418">
        <v>1205</v>
      </c>
      <c r="P32" s="416"/>
      <c r="Q32" s="418">
        <v>1438</v>
      </c>
      <c r="R32" s="416"/>
      <c r="S32" s="418">
        <v>1376</v>
      </c>
      <c r="T32" s="416"/>
      <c r="U32" s="19">
        <v>1634</v>
      </c>
      <c r="V32" s="372"/>
      <c r="W32" s="422"/>
      <c r="X32" s="421">
        <f t="shared" ref="X32:X35" si="13">AVERAGE(O32,M32,S32,K32,Q32)</f>
        <v>1206.4000000000001</v>
      </c>
    </row>
    <row r="33" spans="1:27" ht="15" customHeight="1" x14ac:dyDescent="0.2">
      <c r="A33" s="578" t="s">
        <v>20</v>
      </c>
      <c r="B33" s="416"/>
      <c r="C33" s="343">
        <v>36</v>
      </c>
      <c r="D33" s="417"/>
      <c r="E33" s="418">
        <v>42</v>
      </c>
      <c r="F33" s="416"/>
      <c r="G33" s="418">
        <v>76</v>
      </c>
      <c r="H33" s="416"/>
      <c r="I33" s="418">
        <v>72</v>
      </c>
      <c r="J33" s="416"/>
      <c r="K33" s="418">
        <v>116</v>
      </c>
      <c r="L33" s="416"/>
      <c r="M33" s="418">
        <v>106</v>
      </c>
      <c r="N33" s="416"/>
      <c r="O33" s="418">
        <v>194</v>
      </c>
      <c r="P33" s="416"/>
      <c r="Q33" s="418">
        <v>260</v>
      </c>
      <c r="R33" s="416"/>
      <c r="S33" s="418">
        <v>238</v>
      </c>
      <c r="T33" s="416"/>
      <c r="U33" s="19">
        <v>230</v>
      </c>
      <c r="V33" s="372"/>
      <c r="W33" s="422"/>
      <c r="X33" s="421">
        <f t="shared" si="13"/>
        <v>182.8</v>
      </c>
    </row>
    <row r="34" spans="1:27" ht="15" customHeight="1" thickBot="1" x14ac:dyDescent="0.25">
      <c r="A34" s="834" t="s">
        <v>21</v>
      </c>
      <c r="B34" s="252"/>
      <c r="C34" s="423">
        <v>0</v>
      </c>
      <c r="D34" s="417"/>
      <c r="E34" s="424">
        <v>0</v>
      </c>
      <c r="F34" s="416"/>
      <c r="G34" s="424">
        <v>0</v>
      </c>
      <c r="H34" s="416"/>
      <c r="I34" s="424">
        <v>0</v>
      </c>
      <c r="J34" s="416"/>
      <c r="K34" s="424">
        <v>0</v>
      </c>
      <c r="L34" s="416"/>
      <c r="M34" s="424">
        <v>0</v>
      </c>
      <c r="N34" s="416"/>
      <c r="O34" s="424">
        <v>0</v>
      </c>
      <c r="P34" s="416"/>
      <c r="Q34" s="424">
        <v>0</v>
      </c>
      <c r="R34" s="416"/>
      <c r="S34" s="424">
        <v>0</v>
      </c>
      <c r="T34" s="252"/>
      <c r="U34" s="46">
        <v>0</v>
      </c>
      <c r="V34" s="372"/>
      <c r="W34" s="431"/>
      <c r="X34" s="421">
        <f t="shared" si="13"/>
        <v>0</v>
      </c>
    </row>
    <row r="35" spans="1:27" ht="15" customHeight="1" thickBot="1" x14ac:dyDescent="0.25">
      <c r="A35" s="835" t="s">
        <v>22</v>
      </c>
      <c r="B35" s="426"/>
      <c r="C35" s="427">
        <f>SUM(C31:C34)</f>
        <v>864</v>
      </c>
      <c r="D35" s="428"/>
      <c r="E35" s="429">
        <f>SUM(E31:E34)</f>
        <v>990</v>
      </c>
      <c r="F35" s="426"/>
      <c r="G35" s="429">
        <f>SUM(G31:G34)</f>
        <v>1106</v>
      </c>
      <c r="H35" s="426"/>
      <c r="I35" s="429">
        <f>SUM(I31:I34)</f>
        <v>1120</v>
      </c>
      <c r="J35" s="426"/>
      <c r="K35" s="429">
        <f>SUM(K31:K34)</f>
        <v>1192</v>
      </c>
      <c r="L35" s="426"/>
      <c r="M35" s="429">
        <f>SUM(M31:M34)</f>
        <v>1211</v>
      </c>
      <c r="N35" s="426"/>
      <c r="O35" s="429">
        <f>SUM(O31:O34)</f>
        <v>1513</v>
      </c>
      <c r="P35" s="426"/>
      <c r="Q35" s="429">
        <f>SUM(Q31:Q34)</f>
        <v>1884</v>
      </c>
      <c r="R35" s="426"/>
      <c r="S35" s="429">
        <f>SUM(S31:S34)</f>
        <v>1760</v>
      </c>
      <c r="T35" s="426"/>
      <c r="U35" s="51">
        <f>SUM(U31:U34)</f>
        <v>1983</v>
      </c>
      <c r="V35" s="372"/>
      <c r="W35" s="502"/>
      <c r="X35" s="430">
        <f t="shared" si="13"/>
        <v>1512</v>
      </c>
    </row>
    <row r="36" spans="1:27" ht="15" customHeight="1" thickTop="1" thickBot="1" x14ac:dyDescent="0.25">
      <c r="A36" s="432"/>
      <c r="B36" s="433"/>
      <c r="C36" s="434"/>
      <c r="D36" s="433"/>
      <c r="E36" s="434"/>
      <c r="F36" s="433"/>
      <c r="G36" s="434"/>
      <c r="H36" s="433"/>
      <c r="I36" s="434"/>
      <c r="J36" s="433"/>
      <c r="K36" s="434"/>
      <c r="L36" s="433"/>
      <c r="M36" s="434"/>
      <c r="N36" s="433"/>
      <c r="O36" s="434"/>
      <c r="P36" s="433"/>
      <c r="Q36" s="434"/>
      <c r="R36" s="433"/>
      <c r="S36" s="434"/>
      <c r="T36" s="433"/>
      <c r="U36" s="38"/>
      <c r="V36" s="435"/>
      <c r="W36" s="436"/>
      <c r="X36" s="434"/>
    </row>
    <row r="37" spans="1:27" ht="18" customHeight="1" thickTop="1" thickBot="1" x14ac:dyDescent="0.25">
      <c r="A37" s="352" t="s">
        <v>23</v>
      </c>
      <c r="B37" s="1296" t="s">
        <v>24</v>
      </c>
      <c r="C37" s="1301"/>
      <c r="D37" s="1296" t="s">
        <v>25</v>
      </c>
      <c r="E37" s="1297"/>
      <c r="F37" s="1296" t="s">
        <v>26</v>
      </c>
      <c r="G37" s="1297"/>
      <c r="H37" s="1296" t="s">
        <v>27</v>
      </c>
      <c r="I37" s="1297"/>
      <c r="J37" s="1296" t="s">
        <v>28</v>
      </c>
      <c r="K37" s="1297"/>
      <c r="L37" s="1296" t="s">
        <v>29</v>
      </c>
      <c r="M37" s="1297"/>
      <c r="N37" s="1296" t="s">
        <v>30</v>
      </c>
      <c r="O37" s="1297"/>
      <c r="P37" s="1296" t="s">
        <v>31</v>
      </c>
      <c r="Q37" s="1297"/>
      <c r="R37" s="1296" t="s">
        <v>32</v>
      </c>
      <c r="S37" s="1297"/>
      <c r="T37" s="1296" t="s">
        <v>255</v>
      </c>
      <c r="U37" s="1300"/>
      <c r="V37" s="353"/>
      <c r="W37" s="1298" t="s">
        <v>9</v>
      </c>
      <c r="X37" s="1299"/>
      <c r="Y37" s="23"/>
      <c r="Z37" s="23"/>
      <c r="AA37" s="24"/>
    </row>
    <row r="38" spans="1:27" ht="15" customHeight="1" x14ac:dyDescent="0.2">
      <c r="A38" s="887" t="s">
        <v>221</v>
      </c>
      <c r="B38" s="542"/>
      <c r="C38" s="543">
        <v>0.17399999999999999</v>
      </c>
      <c r="D38" s="544"/>
      <c r="E38" s="55">
        <v>0.19600000000000001</v>
      </c>
      <c r="F38" s="54"/>
      <c r="G38" s="55">
        <v>0.434</v>
      </c>
      <c r="H38" s="54"/>
      <c r="I38" s="55">
        <v>0.55000000000000004</v>
      </c>
      <c r="J38" s="54"/>
      <c r="K38" s="55">
        <v>0.51500000000000001</v>
      </c>
      <c r="L38" s="54"/>
      <c r="M38" s="55">
        <v>0.45100000000000001</v>
      </c>
      <c r="N38" s="54"/>
      <c r="O38" s="55">
        <v>0.48399999999999999</v>
      </c>
      <c r="P38" s="54"/>
      <c r="Q38" s="55">
        <v>0.434</v>
      </c>
      <c r="R38" s="54"/>
      <c r="S38" s="55">
        <v>0.44700000000000001</v>
      </c>
      <c r="T38" s="359"/>
      <c r="U38" s="360">
        <v>0.48199999999999998</v>
      </c>
      <c r="V38" s="361"/>
      <c r="W38" s="362"/>
      <c r="X38" s="363">
        <f>AVERAGE(O38,M38,S38,U38,Q38)</f>
        <v>0.45960000000000001</v>
      </c>
      <c r="Y38" s="23"/>
      <c r="Z38" s="23"/>
      <c r="AA38" s="24"/>
    </row>
    <row r="39" spans="1:27" ht="15" customHeight="1" x14ac:dyDescent="0.2">
      <c r="A39" s="888" t="s">
        <v>222</v>
      </c>
      <c r="B39" s="545"/>
      <c r="C39" s="546">
        <v>0</v>
      </c>
      <c r="D39" s="545"/>
      <c r="E39" s="57">
        <v>0</v>
      </c>
      <c r="F39" s="56"/>
      <c r="G39" s="57">
        <v>0</v>
      </c>
      <c r="H39" s="56"/>
      <c r="I39" s="57">
        <v>0</v>
      </c>
      <c r="J39" s="56"/>
      <c r="K39" s="57">
        <v>0</v>
      </c>
      <c r="L39" s="56"/>
      <c r="M39" s="57">
        <v>0</v>
      </c>
      <c r="N39" s="56"/>
      <c r="O39" s="57">
        <v>9.7000000000000003E-2</v>
      </c>
      <c r="P39" s="56"/>
      <c r="Q39" s="57">
        <v>9.4E-2</v>
      </c>
      <c r="R39" s="56"/>
      <c r="S39" s="57">
        <v>6.9000000000000006E-2</v>
      </c>
      <c r="T39" s="367"/>
      <c r="U39" s="368">
        <v>5.3999999999999999E-2</v>
      </c>
      <c r="V39" s="361"/>
      <c r="W39" s="369"/>
      <c r="X39" s="370">
        <f>AVERAGE(O39,M39,S39,U39,Q39)</f>
        <v>6.2799999999999995E-2</v>
      </c>
      <c r="Y39" s="23"/>
      <c r="Z39" s="23"/>
      <c r="AA39" s="24"/>
    </row>
    <row r="40" spans="1:27" ht="15" customHeight="1" thickBot="1" x14ac:dyDescent="0.25">
      <c r="A40" s="889" t="s">
        <v>217</v>
      </c>
      <c r="B40" s="1320">
        <f>1-C38-C39</f>
        <v>0.82600000000000007</v>
      </c>
      <c r="C40" s="1321"/>
      <c r="D40" s="1320">
        <f>1-E38-E39</f>
        <v>0.80400000000000005</v>
      </c>
      <c r="E40" s="1321"/>
      <c r="F40" s="1320">
        <f>1-G38-G39</f>
        <v>0.56600000000000006</v>
      </c>
      <c r="G40" s="1321"/>
      <c r="H40" s="1320">
        <f>1-I38-I39</f>
        <v>0.44999999999999996</v>
      </c>
      <c r="I40" s="1321"/>
      <c r="J40" s="1320">
        <f>1-K38-K39</f>
        <v>0.48499999999999999</v>
      </c>
      <c r="K40" s="1321"/>
      <c r="L40" s="1320">
        <f>1-M38-M39</f>
        <v>0.54899999999999993</v>
      </c>
      <c r="M40" s="1321"/>
      <c r="N40" s="1320">
        <f>1-O38-O39</f>
        <v>0.41900000000000004</v>
      </c>
      <c r="O40" s="1321"/>
      <c r="P40" s="1320">
        <f>1-Q38-Q39</f>
        <v>0.47200000000000009</v>
      </c>
      <c r="Q40" s="1321"/>
      <c r="R40" s="1320">
        <f>1-S38-S39</f>
        <v>0.48399999999999993</v>
      </c>
      <c r="S40" s="1321"/>
      <c r="T40" s="1320">
        <f>1-U38-U39</f>
        <v>0.46400000000000002</v>
      </c>
      <c r="U40" s="1324"/>
      <c r="V40" s="361"/>
      <c r="W40" s="1325">
        <f>1-X38-X39</f>
        <v>0.47760000000000002</v>
      </c>
      <c r="X40" s="1324"/>
      <c r="Y40" s="25"/>
      <c r="Z40" s="23"/>
      <c r="AA40" s="24"/>
    </row>
    <row r="41" spans="1:27" s="2" customFormat="1" ht="15" customHeight="1" thickTop="1" thickBot="1" x14ac:dyDescent="0.25">
      <c r="A41" s="319" t="s">
        <v>37</v>
      </c>
      <c r="B41" s="373" t="s">
        <v>36</v>
      </c>
      <c r="C41" s="569" t="s">
        <v>38</v>
      </c>
      <c r="D41" s="570" t="s">
        <v>36</v>
      </c>
      <c r="E41" s="374" t="s">
        <v>38</v>
      </c>
      <c r="F41" s="373" t="s">
        <v>36</v>
      </c>
      <c r="G41" s="569" t="s">
        <v>38</v>
      </c>
      <c r="H41" s="570" t="s">
        <v>36</v>
      </c>
      <c r="I41" s="374" t="s">
        <v>38</v>
      </c>
      <c r="J41" s="373" t="s">
        <v>36</v>
      </c>
      <c r="K41" s="569" t="s">
        <v>38</v>
      </c>
      <c r="L41" s="570" t="s">
        <v>36</v>
      </c>
      <c r="M41" s="374" t="s">
        <v>38</v>
      </c>
      <c r="N41" s="373" t="s">
        <v>36</v>
      </c>
      <c r="O41" s="569" t="s">
        <v>38</v>
      </c>
      <c r="P41" s="570" t="s">
        <v>36</v>
      </c>
      <c r="Q41" s="374" t="s">
        <v>38</v>
      </c>
      <c r="R41" s="570" t="s">
        <v>36</v>
      </c>
      <c r="S41" s="374" t="s">
        <v>38</v>
      </c>
      <c r="T41" s="570" t="s">
        <v>36</v>
      </c>
      <c r="U41" s="375" t="s">
        <v>38</v>
      </c>
      <c r="V41" s="376"/>
      <c r="W41" s="915" t="s">
        <v>36</v>
      </c>
      <c r="X41" s="377" t="s">
        <v>38</v>
      </c>
    </row>
    <row r="42" spans="1:27" ht="15" customHeight="1" thickBot="1" x14ac:dyDescent="0.25">
      <c r="A42" s="891" t="s">
        <v>90</v>
      </c>
      <c r="B42" s="858"/>
      <c r="C42" s="859"/>
      <c r="D42" s="858"/>
      <c r="E42" s="859"/>
      <c r="F42" s="858"/>
      <c r="G42" s="859"/>
      <c r="H42" s="858"/>
      <c r="I42" s="859"/>
      <c r="J42" s="858"/>
      <c r="K42" s="859"/>
      <c r="L42" s="858"/>
      <c r="M42" s="859"/>
      <c r="N42" s="529">
        <v>4</v>
      </c>
      <c r="O42" s="530">
        <f>N42/N20</f>
        <v>0.30769230769230771</v>
      </c>
      <c r="P42" s="1266">
        <v>7</v>
      </c>
      <c r="Q42" s="1267">
        <f>P42/P20</f>
        <v>0.33333333333333331</v>
      </c>
      <c r="R42" s="1266">
        <v>6</v>
      </c>
      <c r="S42" s="1267">
        <f>R42/R20</f>
        <v>0.33333333333333331</v>
      </c>
      <c r="T42" s="529">
        <v>5</v>
      </c>
      <c r="U42" s="531">
        <f>T42/T20</f>
        <v>0.29411764705882354</v>
      </c>
      <c r="V42" s="372"/>
      <c r="W42" s="916">
        <f>AVERAGE(N42,L42,R42,T42,P42)</f>
        <v>5.5</v>
      </c>
      <c r="X42" s="531">
        <f>W42/W20</f>
        <v>0.38732394366197187</v>
      </c>
    </row>
    <row r="43" spans="1:27" ht="15" customHeight="1" thickTop="1" x14ac:dyDescent="0.2">
      <c r="A43" s="8" t="str">
        <f>'Dean AG'!A64</f>
        <v>Number of Fall Majors includes second majors</v>
      </c>
      <c r="B43" s="10"/>
      <c r="C43" s="11"/>
      <c r="D43" s="10"/>
      <c r="E43" s="11"/>
      <c r="F43" s="10"/>
      <c r="G43" s="11"/>
      <c r="H43" s="10"/>
      <c r="I43" s="11"/>
      <c r="J43" s="10"/>
      <c r="K43" s="11"/>
      <c r="L43" s="10"/>
      <c r="M43" s="11"/>
      <c r="N43" s="10"/>
      <c r="O43" s="11"/>
      <c r="P43" s="10"/>
      <c r="Q43" s="11"/>
      <c r="R43" s="10"/>
      <c r="S43" s="11"/>
      <c r="T43" s="10"/>
      <c r="U43" s="11"/>
      <c r="W43" s="12"/>
      <c r="X43" s="13"/>
    </row>
    <row r="44" spans="1:27" ht="15" customHeight="1" x14ac:dyDescent="0.2">
      <c r="A44" s="8"/>
      <c r="B44" s="10"/>
      <c r="C44" s="11"/>
      <c r="D44" s="10"/>
      <c r="E44" s="11"/>
      <c r="F44" s="10"/>
      <c r="G44" s="11"/>
      <c r="H44" s="10"/>
      <c r="I44" s="11"/>
      <c r="J44" s="10"/>
      <c r="K44" s="11"/>
      <c r="L44" s="10"/>
      <c r="M44" s="11"/>
      <c r="N44" s="10"/>
      <c r="O44" s="11"/>
      <c r="P44" s="10"/>
      <c r="Q44" s="11"/>
      <c r="R44" s="10"/>
      <c r="S44" s="11"/>
      <c r="T44" s="10"/>
      <c r="U44" s="11"/>
      <c r="W44" s="12"/>
      <c r="X44" s="13"/>
    </row>
    <row r="45" spans="1:27" ht="15" customHeight="1" thickBot="1" x14ac:dyDescent="0.25">
      <c r="A45" s="552"/>
      <c r="B45" s="553"/>
      <c r="C45" s="553"/>
      <c r="D45" s="553"/>
      <c r="E45" s="553"/>
      <c r="F45" s="553"/>
      <c r="G45" s="553"/>
      <c r="H45" s="553"/>
      <c r="I45" s="553"/>
      <c r="J45" s="553"/>
      <c r="K45" s="553"/>
      <c r="L45" s="553"/>
      <c r="M45" s="553"/>
      <c r="N45" s="553"/>
      <c r="O45" s="553"/>
      <c r="P45" s="553"/>
      <c r="Q45" s="553"/>
      <c r="R45" s="553"/>
      <c r="S45" s="553"/>
      <c r="T45" s="553"/>
      <c r="U45" s="553"/>
      <c r="V45" s="554"/>
      <c r="W45" s="553"/>
      <c r="X45" s="553"/>
      <c r="Y45" s="23"/>
      <c r="Z45" s="23"/>
      <c r="AA45" s="24"/>
    </row>
    <row r="46" spans="1:27" s="1" customFormat="1" ht="18.75" customHeight="1" thickTop="1" thickBot="1" x14ac:dyDescent="0.25">
      <c r="A46" s="352" t="s">
        <v>207</v>
      </c>
      <c r="B46" s="1296" t="s">
        <v>24</v>
      </c>
      <c r="C46" s="1301"/>
      <c r="D46" s="1296" t="s">
        <v>25</v>
      </c>
      <c r="E46" s="1297"/>
      <c r="F46" s="1296" t="s">
        <v>26</v>
      </c>
      <c r="G46" s="1297"/>
      <c r="H46" s="1296" t="s">
        <v>27</v>
      </c>
      <c r="I46" s="1297"/>
      <c r="J46" s="1296" t="s">
        <v>28</v>
      </c>
      <c r="K46" s="1297"/>
      <c r="L46" s="1296" t="s">
        <v>29</v>
      </c>
      <c r="M46" s="1297"/>
      <c r="N46" s="1296" t="s">
        <v>30</v>
      </c>
      <c r="O46" s="1297"/>
      <c r="P46" s="1296" t="s">
        <v>31</v>
      </c>
      <c r="Q46" s="1297"/>
      <c r="R46" s="1296" t="s">
        <v>32</v>
      </c>
      <c r="S46" s="1297"/>
      <c r="T46" s="1296" t="s">
        <v>255</v>
      </c>
      <c r="U46" s="1300"/>
      <c r="V46" s="320"/>
      <c r="W46" s="1298" t="s">
        <v>9</v>
      </c>
      <c r="X46" s="1299"/>
    </row>
    <row r="47" spans="1:27" s="1" customFormat="1" ht="24" x14ac:dyDescent="0.2">
      <c r="A47" s="612" t="s">
        <v>219</v>
      </c>
      <c r="B47" s="699"/>
      <c r="C47" s="508"/>
      <c r="D47" s="699"/>
      <c r="E47" s="700"/>
      <c r="F47" s="699"/>
      <c r="G47" s="700"/>
      <c r="H47" s="699"/>
      <c r="I47" s="700"/>
      <c r="J47" s="699"/>
      <c r="K47" s="700"/>
      <c r="L47" s="699"/>
      <c r="M47" s="700"/>
      <c r="N47" s="699"/>
      <c r="O47" s="700"/>
      <c r="P47" s="699"/>
      <c r="Q47" s="700"/>
      <c r="R47" s="699"/>
      <c r="S47" s="700"/>
      <c r="T47" s="701"/>
      <c r="U47" s="702"/>
      <c r="V47" s="320"/>
      <c r="W47" s="509"/>
      <c r="X47" s="624"/>
    </row>
    <row r="48" spans="1:27" s="1" customFormat="1" ht="24" customHeight="1" x14ac:dyDescent="0.2">
      <c r="A48" s="685" t="s">
        <v>195</v>
      </c>
      <c r="B48" s="367"/>
      <c r="C48" s="550">
        <v>0</v>
      </c>
      <c r="D48" s="367"/>
      <c r="E48" s="550">
        <v>4</v>
      </c>
      <c r="F48" s="367"/>
      <c r="G48" s="550">
        <v>4</v>
      </c>
      <c r="H48" s="367"/>
      <c r="I48" s="550">
        <v>3</v>
      </c>
      <c r="J48" s="367"/>
      <c r="K48" s="550">
        <v>5</v>
      </c>
      <c r="L48" s="367"/>
      <c r="M48" s="550">
        <v>5</v>
      </c>
      <c r="N48" s="367"/>
      <c r="O48" s="550">
        <v>5</v>
      </c>
      <c r="P48" s="367"/>
      <c r="Q48" s="550">
        <v>5</v>
      </c>
      <c r="R48" s="367"/>
      <c r="S48" s="550">
        <v>5</v>
      </c>
      <c r="T48" s="551"/>
      <c r="U48" s="592">
        <v>6</v>
      </c>
      <c r="V48" s="320"/>
      <c r="W48" s="478"/>
      <c r="X48" s="592">
        <f>AVERAGE(O48,M48,S48,U48,Q48)</f>
        <v>5.2</v>
      </c>
    </row>
    <row r="49" spans="1:24" s="1" customFormat="1" ht="24" x14ac:dyDescent="0.2">
      <c r="A49" s="685" t="s">
        <v>197</v>
      </c>
      <c r="B49" s="551"/>
      <c r="C49" s="590">
        <v>0</v>
      </c>
      <c r="D49" s="551"/>
      <c r="E49" s="590">
        <v>4</v>
      </c>
      <c r="F49" s="551"/>
      <c r="G49" s="590">
        <v>3</v>
      </c>
      <c r="H49" s="551"/>
      <c r="I49" s="590">
        <v>2</v>
      </c>
      <c r="J49" s="551"/>
      <c r="K49" s="590">
        <v>4</v>
      </c>
      <c r="L49" s="551"/>
      <c r="M49" s="590">
        <v>5</v>
      </c>
      <c r="N49" s="551"/>
      <c r="O49" s="590">
        <v>4</v>
      </c>
      <c r="P49" s="551"/>
      <c r="Q49" s="590">
        <v>5</v>
      </c>
      <c r="R49" s="551"/>
      <c r="S49" s="590">
        <v>4</v>
      </c>
      <c r="T49" s="551"/>
      <c r="U49" s="592">
        <v>5</v>
      </c>
      <c r="V49" s="320"/>
      <c r="W49" s="591"/>
      <c r="X49" s="592">
        <f t="shared" ref="X49:X50" si="14">AVERAGE(O49,M49,S49,U49,Q49)</f>
        <v>4.5999999999999996</v>
      </c>
    </row>
    <row r="50" spans="1:24" s="904" customFormat="1" ht="15" customHeight="1" thickBot="1" x14ac:dyDescent="0.25">
      <c r="A50" s="898" t="s">
        <v>196</v>
      </c>
      <c r="B50" s="899"/>
      <c r="C50" s="900">
        <v>0.76</v>
      </c>
      <c r="D50" s="899"/>
      <c r="E50" s="900">
        <f>3.17+0.15</f>
        <v>3.32</v>
      </c>
      <c r="F50" s="899"/>
      <c r="G50" s="900">
        <v>3.42</v>
      </c>
      <c r="H50" s="899"/>
      <c r="I50" s="900">
        <v>2.52</v>
      </c>
      <c r="J50" s="899"/>
      <c r="K50" s="900">
        <v>3.9</v>
      </c>
      <c r="L50" s="899"/>
      <c r="M50" s="900">
        <v>5.84</v>
      </c>
      <c r="N50" s="899"/>
      <c r="O50" s="900">
        <v>3.96</v>
      </c>
      <c r="P50" s="899"/>
      <c r="Q50" s="900">
        <v>4</v>
      </c>
      <c r="R50" s="899"/>
      <c r="S50" s="900">
        <v>3.9</v>
      </c>
      <c r="T50" s="901"/>
      <c r="U50" s="559">
        <v>4.25</v>
      </c>
      <c r="V50" s="902"/>
      <c r="W50" s="903"/>
      <c r="X50" s="559">
        <f t="shared" si="14"/>
        <v>4.3900000000000006</v>
      </c>
    </row>
    <row r="51" spans="1:24" s="1" customFormat="1" ht="18.75" customHeight="1" thickBot="1" x14ac:dyDescent="0.25">
      <c r="A51" s="796" t="s">
        <v>227</v>
      </c>
      <c r="B51" s="807" t="s">
        <v>89</v>
      </c>
      <c r="C51" s="810" t="s">
        <v>97</v>
      </c>
      <c r="D51" s="811" t="s">
        <v>89</v>
      </c>
      <c r="E51" s="794" t="s">
        <v>97</v>
      </c>
      <c r="F51" s="807" t="s">
        <v>89</v>
      </c>
      <c r="G51" s="794" t="s">
        <v>97</v>
      </c>
      <c r="H51" s="807" t="s">
        <v>89</v>
      </c>
      <c r="I51" s="794" t="s">
        <v>97</v>
      </c>
      <c r="J51" s="807" t="s">
        <v>89</v>
      </c>
      <c r="K51" s="794" t="s">
        <v>97</v>
      </c>
      <c r="L51" s="807" t="s">
        <v>89</v>
      </c>
      <c r="M51" s="794" t="s">
        <v>97</v>
      </c>
      <c r="N51" s="807" t="s">
        <v>89</v>
      </c>
      <c r="O51" s="810" t="s">
        <v>97</v>
      </c>
      <c r="P51" s="807" t="s">
        <v>89</v>
      </c>
      <c r="Q51" s="794" t="s">
        <v>97</v>
      </c>
      <c r="R51" s="807" t="s">
        <v>89</v>
      </c>
      <c r="S51" s="794" t="s">
        <v>97</v>
      </c>
      <c r="T51" s="793" t="s">
        <v>89</v>
      </c>
      <c r="U51" s="808" t="s">
        <v>97</v>
      </c>
      <c r="V51" s="675"/>
      <c r="W51" s="809" t="s">
        <v>89</v>
      </c>
      <c r="X51" s="780" t="s">
        <v>97</v>
      </c>
    </row>
    <row r="52" spans="1:24" s="1" customFormat="1" ht="15" customHeight="1" x14ac:dyDescent="0.2">
      <c r="A52" s="703" t="s">
        <v>98</v>
      </c>
      <c r="B52" s="704"/>
      <c r="C52" s="812"/>
      <c r="D52" s="813"/>
      <c r="E52" s="705"/>
      <c r="F52" s="704"/>
      <c r="G52" s="619"/>
      <c r="H52" s="620"/>
      <c r="I52" s="705"/>
      <c r="J52" s="704"/>
      <c r="K52" s="619"/>
      <c r="L52" s="620"/>
      <c r="M52" s="705"/>
      <c r="N52" s="704"/>
      <c r="O52" s="824"/>
      <c r="P52" s="620"/>
      <c r="Q52" s="705"/>
      <c r="R52" s="620"/>
      <c r="S52" s="705"/>
      <c r="T52" s="813"/>
      <c r="U52" s="706"/>
      <c r="V52" s="333"/>
      <c r="W52" s="420"/>
      <c r="X52" s="830"/>
    </row>
    <row r="53" spans="1:24" s="1" customFormat="1" ht="15" customHeight="1" x14ac:dyDescent="0.2">
      <c r="A53" s="697" t="s">
        <v>99</v>
      </c>
      <c r="B53" s="772"/>
      <c r="C53" s="593">
        <v>1</v>
      </c>
      <c r="D53" s="814"/>
      <c r="E53" s="418">
        <v>5</v>
      </c>
      <c r="F53" s="772"/>
      <c r="G53" s="596">
        <v>5</v>
      </c>
      <c r="H53" s="817"/>
      <c r="I53" s="418">
        <v>4</v>
      </c>
      <c r="J53" s="762">
        <v>6</v>
      </c>
      <c r="K53" s="596">
        <v>6</v>
      </c>
      <c r="L53" s="764">
        <v>6</v>
      </c>
      <c r="M53" s="418">
        <v>6</v>
      </c>
      <c r="N53" s="762">
        <v>6</v>
      </c>
      <c r="O53" s="596">
        <v>6</v>
      </c>
      <c r="P53" s="764">
        <v>6</v>
      </c>
      <c r="Q53" s="418">
        <v>6</v>
      </c>
      <c r="R53" s="764">
        <v>6</v>
      </c>
      <c r="S53" s="418">
        <v>6</v>
      </c>
      <c r="T53" s="827">
        <v>8</v>
      </c>
      <c r="U53" s="419">
        <v>8</v>
      </c>
      <c r="V53" s="333"/>
      <c r="W53" s="775">
        <f>AVERAGE(T53,L53,N53,P53,R53)</f>
        <v>6.4</v>
      </c>
      <c r="X53" s="440">
        <f t="shared" ref="X53:X58" si="15">AVERAGE(O53,M53,S53,U53,Q53)</f>
        <v>6.4</v>
      </c>
    </row>
    <row r="54" spans="1:24" s="1" customFormat="1" ht="15" customHeight="1" x14ac:dyDescent="0.2">
      <c r="A54" s="697" t="s">
        <v>100</v>
      </c>
      <c r="B54" s="772"/>
      <c r="C54" s="593">
        <v>2</v>
      </c>
      <c r="D54" s="814"/>
      <c r="E54" s="418">
        <v>2</v>
      </c>
      <c r="F54" s="772"/>
      <c r="G54" s="596">
        <v>0</v>
      </c>
      <c r="H54" s="817"/>
      <c r="I54" s="418">
        <v>1</v>
      </c>
      <c r="J54" s="765">
        <v>0.25</v>
      </c>
      <c r="K54" s="596">
        <v>1</v>
      </c>
      <c r="L54" s="597">
        <v>0.25</v>
      </c>
      <c r="M54" s="418">
        <v>1</v>
      </c>
      <c r="N54" s="762">
        <v>0</v>
      </c>
      <c r="O54" s="596">
        <v>0</v>
      </c>
      <c r="P54" s="597">
        <v>0</v>
      </c>
      <c r="Q54" s="418">
        <v>0</v>
      </c>
      <c r="R54" s="597">
        <v>0</v>
      </c>
      <c r="S54" s="418">
        <v>0</v>
      </c>
      <c r="T54" s="827">
        <v>0.5</v>
      </c>
      <c r="U54" s="419">
        <v>1</v>
      </c>
      <c r="V54" s="333"/>
      <c r="W54" s="778">
        <f t="shared" ref="W54:W58" si="16">AVERAGE(T54,L54,N54,P54,R54)</f>
        <v>0.15</v>
      </c>
      <c r="X54" s="440">
        <f t="shared" si="15"/>
        <v>0.4</v>
      </c>
    </row>
    <row r="55" spans="1:24" s="1" customFormat="1" ht="15" customHeight="1" x14ac:dyDescent="0.2">
      <c r="A55" s="696" t="s">
        <v>101</v>
      </c>
      <c r="B55" s="416"/>
      <c r="C55" s="595"/>
      <c r="D55" s="594"/>
      <c r="E55" s="424"/>
      <c r="F55" s="416"/>
      <c r="G55" s="598"/>
      <c r="H55" s="597"/>
      <c r="I55" s="424"/>
      <c r="J55" s="762"/>
      <c r="K55" s="598"/>
      <c r="L55" s="597"/>
      <c r="M55" s="424"/>
      <c r="N55" s="762"/>
      <c r="O55" s="598"/>
      <c r="P55" s="597"/>
      <c r="Q55" s="424"/>
      <c r="R55" s="597" t="s">
        <v>16</v>
      </c>
      <c r="S55" s="424"/>
      <c r="T55" s="827"/>
      <c r="U55" s="441"/>
      <c r="V55" s="333"/>
      <c r="W55" s="776"/>
      <c r="X55" s="440"/>
    </row>
    <row r="56" spans="1:24" s="1" customFormat="1" ht="15" customHeight="1" x14ac:dyDescent="0.2">
      <c r="A56" s="697" t="s">
        <v>99</v>
      </c>
      <c r="B56" s="772"/>
      <c r="C56" s="595">
        <v>7</v>
      </c>
      <c r="D56" s="814"/>
      <c r="E56" s="424">
        <v>4</v>
      </c>
      <c r="F56" s="772"/>
      <c r="G56" s="598">
        <v>3</v>
      </c>
      <c r="H56" s="817"/>
      <c r="I56" s="424">
        <v>3</v>
      </c>
      <c r="J56" s="762">
        <v>3</v>
      </c>
      <c r="K56" s="598">
        <v>3</v>
      </c>
      <c r="L56" s="764">
        <v>2</v>
      </c>
      <c r="M56" s="424">
        <v>2</v>
      </c>
      <c r="N56" s="762">
        <v>2</v>
      </c>
      <c r="O56" s="598">
        <v>2</v>
      </c>
      <c r="P56" s="764">
        <v>2</v>
      </c>
      <c r="Q56" s="424">
        <v>2</v>
      </c>
      <c r="R56" s="764">
        <v>1</v>
      </c>
      <c r="S56" s="424">
        <v>1</v>
      </c>
      <c r="T56" s="827">
        <v>1</v>
      </c>
      <c r="U56" s="441">
        <v>1</v>
      </c>
      <c r="V56" s="333"/>
      <c r="W56" s="776">
        <f t="shared" si="16"/>
        <v>1.6</v>
      </c>
      <c r="X56" s="440">
        <f t="shared" si="15"/>
        <v>1.6</v>
      </c>
    </row>
    <row r="57" spans="1:24" s="1" customFormat="1" ht="15" customHeight="1" thickBot="1" x14ac:dyDescent="0.25">
      <c r="A57" s="741" t="s">
        <v>100</v>
      </c>
      <c r="B57" s="773"/>
      <c r="C57" s="815">
        <v>0</v>
      </c>
      <c r="D57" s="816"/>
      <c r="E57" s="742">
        <v>0</v>
      </c>
      <c r="F57" s="773"/>
      <c r="G57" s="818">
        <v>0</v>
      </c>
      <c r="H57" s="819"/>
      <c r="I57" s="742">
        <v>0</v>
      </c>
      <c r="J57" s="766">
        <v>0</v>
      </c>
      <c r="K57" s="818">
        <v>0</v>
      </c>
      <c r="L57" s="822">
        <v>0</v>
      </c>
      <c r="M57" s="742">
        <v>0</v>
      </c>
      <c r="N57" s="766">
        <v>0</v>
      </c>
      <c r="O57" s="818">
        <v>0</v>
      </c>
      <c r="P57" s="822">
        <v>0</v>
      </c>
      <c r="Q57" s="742">
        <v>0</v>
      </c>
      <c r="R57" s="822">
        <v>0</v>
      </c>
      <c r="S57" s="742">
        <v>0</v>
      </c>
      <c r="T57" s="828">
        <v>0</v>
      </c>
      <c r="U57" s="743">
        <v>0</v>
      </c>
      <c r="V57" s="333"/>
      <c r="W57" s="777">
        <f t="shared" si="16"/>
        <v>0</v>
      </c>
      <c r="X57" s="744">
        <f t="shared" si="15"/>
        <v>0</v>
      </c>
    </row>
    <row r="58" spans="1:24" s="1" customFormat="1" ht="15" customHeight="1" thickBot="1" x14ac:dyDescent="0.25">
      <c r="A58" s="647" t="s">
        <v>22</v>
      </c>
      <c r="B58" s="797"/>
      <c r="C58" s="798">
        <f>SUM(C53:C57)</f>
        <v>10</v>
      </c>
      <c r="D58" s="799"/>
      <c r="E58" s="800">
        <f>SUM(E53:E57)</f>
        <v>11</v>
      </c>
      <c r="F58" s="797"/>
      <c r="G58" s="820">
        <f>SUM(G53:G57)</f>
        <v>8</v>
      </c>
      <c r="H58" s="821"/>
      <c r="I58" s="800">
        <f>SUM(I53:I57)</f>
        <v>8</v>
      </c>
      <c r="J58" s="801">
        <f t="shared" ref="J58:S58" si="17">SUM(J53:J57)</f>
        <v>9.25</v>
      </c>
      <c r="K58" s="820">
        <f t="shared" si="17"/>
        <v>10</v>
      </c>
      <c r="L58" s="823">
        <f t="shared" si="17"/>
        <v>8.25</v>
      </c>
      <c r="M58" s="800">
        <f t="shared" si="17"/>
        <v>9</v>
      </c>
      <c r="N58" s="802">
        <f t="shared" si="17"/>
        <v>8</v>
      </c>
      <c r="O58" s="820">
        <f t="shared" si="17"/>
        <v>8</v>
      </c>
      <c r="P58" s="823">
        <f t="shared" si="17"/>
        <v>8</v>
      </c>
      <c r="Q58" s="800">
        <f t="shared" si="17"/>
        <v>8</v>
      </c>
      <c r="R58" s="823">
        <f t="shared" si="17"/>
        <v>7</v>
      </c>
      <c r="S58" s="800">
        <f t="shared" si="17"/>
        <v>7</v>
      </c>
      <c r="T58" s="829">
        <f t="shared" ref="T58:U58" si="18">SUM(T53:T57)</f>
        <v>9.5</v>
      </c>
      <c r="U58" s="803">
        <f t="shared" si="18"/>
        <v>10</v>
      </c>
      <c r="V58" s="333"/>
      <c r="W58" s="779">
        <f t="shared" si="16"/>
        <v>8.15</v>
      </c>
      <c r="X58" s="804">
        <f t="shared" si="15"/>
        <v>8.4</v>
      </c>
    </row>
    <row r="59" spans="1:24" s="1" customFormat="1" ht="18" customHeight="1" thickBot="1" x14ac:dyDescent="0.25">
      <c r="A59" s="796" t="s">
        <v>220</v>
      </c>
      <c r="B59" s="745" t="s">
        <v>36</v>
      </c>
      <c r="C59" s="746" t="s">
        <v>102</v>
      </c>
      <c r="D59" s="745" t="s">
        <v>36</v>
      </c>
      <c r="E59" s="747" t="s">
        <v>102</v>
      </c>
      <c r="F59" s="748" t="s">
        <v>36</v>
      </c>
      <c r="G59" s="747" t="s">
        <v>102</v>
      </c>
      <c r="H59" s="748" t="s">
        <v>36</v>
      </c>
      <c r="I59" s="747" t="s">
        <v>102</v>
      </c>
      <c r="J59" s="748" t="s">
        <v>36</v>
      </c>
      <c r="K59" s="747" t="s">
        <v>102</v>
      </c>
      <c r="L59" s="748" t="s">
        <v>36</v>
      </c>
      <c r="M59" s="747" t="s">
        <v>102</v>
      </c>
      <c r="N59" s="748" t="s">
        <v>36</v>
      </c>
      <c r="O59" s="747" t="s">
        <v>102</v>
      </c>
      <c r="P59" s="748" t="s">
        <v>36</v>
      </c>
      <c r="Q59" s="747" t="s">
        <v>102</v>
      </c>
      <c r="R59" s="748" t="s">
        <v>36</v>
      </c>
      <c r="S59" s="747" t="s">
        <v>102</v>
      </c>
      <c r="T59" s="748" t="s">
        <v>36</v>
      </c>
      <c r="U59" s="749" t="s">
        <v>102</v>
      </c>
      <c r="V59" s="320"/>
      <c r="W59" s="750" t="s">
        <v>36</v>
      </c>
      <c r="X59" s="780" t="s">
        <v>102</v>
      </c>
    </row>
    <row r="60" spans="1:24" s="1" customFormat="1" ht="18" customHeight="1" x14ac:dyDescent="0.2">
      <c r="A60" s="703" t="s">
        <v>226</v>
      </c>
      <c r="B60" s="321"/>
      <c r="C60" s="322"/>
      <c r="D60" s="321"/>
      <c r="E60" s="323"/>
      <c r="F60" s="324"/>
      <c r="G60" s="323"/>
      <c r="H60" s="324"/>
      <c r="I60" s="323"/>
      <c r="J60" s="324"/>
      <c r="K60" s="323"/>
      <c r="L60" s="324"/>
      <c r="M60" s="323"/>
      <c r="N60" s="324"/>
      <c r="O60" s="323"/>
      <c r="P60" s="324"/>
      <c r="Q60" s="323"/>
      <c r="R60" s="324"/>
      <c r="S60" s="323"/>
      <c r="T60" s="805"/>
      <c r="U60" s="325"/>
      <c r="V60" s="333"/>
      <c r="W60" s="806"/>
      <c r="X60" s="325"/>
    </row>
    <row r="61" spans="1:24" s="1" customFormat="1" ht="15" customHeight="1" x14ac:dyDescent="0.2">
      <c r="A61" s="708" t="s">
        <v>103</v>
      </c>
      <c r="B61" s="739">
        <v>9</v>
      </c>
      <c r="C61" s="710">
        <f t="shared" ref="C61:C68" si="19">B61/C$58</f>
        <v>0.9</v>
      </c>
      <c r="D61" s="739">
        <f>4+4+2</f>
        <v>10</v>
      </c>
      <c r="E61" s="711">
        <f t="shared" ref="E61:K68" si="20">D61/E$58</f>
        <v>0.90909090909090906</v>
      </c>
      <c r="F61" s="740">
        <v>7</v>
      </c>
      <c r="G61" s="711">
        <f t="shared" si="20"/>
        <v>0.875</v>
      </c>
      <c r="H61" s="740">
        <v>7</v>
      </c>
      <c r="I61" s="711">
        <f t="shared" ref="I61:I68" si="21">H61/I$58</f>
        <v>0.875</v>
      </c>
      <c r="J61" s="740">
        <f>9+1</f>
        <v>10</v>
      </c>
      <c r="K61" s="711">
        <f t="shared" si="20"/>
        <v>1</v>
      </c>
      <c r="L61" s="740">
        <v>9</v>
      </c>
      <c r="M61" s="711">
        <f t="shared" ref="M61:M66" si="22">L61/M$58</f>
        <v>1</v>
      </c>
      <c r="N61" s="740">
        <v>8</v>
      </c>
      <c r="O61" s="711">
        <f t="shared" ref="O61:Q66" si="23">N61/O$58</f>
        <v>1</v>
      </c>
      <c r="P61" s="740">
        <v>8</v>
      </c>
      <c r="Q61" s="711">
        <f t="shared" si="23"/>
        <v>1</v>
      </c>
      <c r="R61" s="740">
        <v>7</v>
      </c>
      <c r="S61" s="711">
        <f>R61/S$58</f>
        <v>1</v>
      </c>
      <c r="T61" s="712">
        <v>10</v>
      </c>
      <c r="U61" s="713">
        <f>T61/U$58</f>
        <v>1</v>
      </c>
      <c r="V61" s="333"/>
      <c r="W61" s="714">
        <f>AVERAGE(N61,L61,R61,T61,P61)</f>
        <v>8.4</v>
      </c>
      <c r="X61" s="715">
        <f>AVERAGE(O61,M61,S61,U61,Q61)</f>
        <v>1</v>
      </c>
    </row>
    <row r="62" spans="1:24" s="1" customFormat="1" ht="15" customHeight="1" x14ac:dyDescent="0.2">
      <c r="A62" s="336" t="s">
        <v>104</v>
      </c>
      <c r="B62" s="327">
        <v>1</v>
      </c>
      <c r="C62" s="328">
        <f t="shared" si="19"/>
        <v>0.1</v>
      </c>
      <c r="D62" s="327">
        <v>1</v>
      </c>
      <c r="E62" s="329">
        <f t="shared" si="20"/>
        <v>9.0909090909090912E-2</v>
      </c>
      <c r="F62" s="330">
        <v>1</v>
      </c>
      <c r="G62" s="329">
        <f t="shared" si="20"/>
        <v>0.125</v>
      </c>
      <c r="H62" s="330">
        <v>1</v>
      </c>
      <c r="I62" s="329">
        <f t="shared" si="21"/>
        <v>0.125</v>
      </c>
      <c r="J62" s="330">
        <f>0</f>
        <v>0</v>
      </c>
      <c r="K62" s="329">
        <f t="shared" si="20"/>
        <v>0</v>
      </c>
      <c r="L62" s="330">
        <v>0</v>
      </c>
      <c r="M62" s="329">
        <f t="shared" si="22"/>
        <v>0</v>
      </c>
      <c r="N62" s="330">
        <v>0</v>
      </c>
      <c r="O62" s="329">
        <f t="shared" si="23"/>
        <v>0</v>
      </c>
      <c r="P62" s="330">
        <v>0</v>
      </c>
      <c r="Q62" s="329">
        <f t="shared" si="23"/>
        <v>0</v>
      </c>
      <c r="R62" s="330">
        <v>0</v>
      </c>
      <c r="S62" s="329">
        <f>R62/S$58</f>
        <v>0</v>
      </c>
      <c r="T62" s="331">
        <v>0</v>
      </c>
      <c r="U62" s="332">
        <f>T62/U$58</f>
        <v>0</v>
      </c>
      <c r="V62" s="333"/>
      <c r="W62" s="334">
        <f t="shared" ref="W62:X80" si="24">AVERAGE(N62,L62,R62,T62,P62)</f>
        <v>0</v>
      </c>
      <c r="X62" s="335">
        <f t="shared" si="24"/>
        <v>0</v>
      </c>
    </row>
    <row r="63" spans="1:24" s="1" customFormat="1" ht="15" customHeight="1" x14ac:dyDescent="0.2">
      <c r="A63" s="336" t="s">
        <v>105</v>
      </c>
      <c r="B63" s="327">
        <v>0</v>
      </c>
      <c r="C63" s="328">
        <f t="shared" si="19"/>
        <v>0</v>
      </c>
      <c r="D63" s="327">
        <v>0</v>
      </c>
      <c r="E63" s="329">
        <f t="shared" si="20"/>
        <v>0</v>
      </c>
      <c r="F63" s="330">
        <v>0</v>
      </c>
      <c r="G63" s="329">
        <f t="shared" si="20"/>
        <v>0</v>
      </c>
      <c r="H63" s="330">
        <v>0</v>
      </c>
      <c r="I63" s="329">
        <f t="shared" si="21"/>
        <v>0</v>
      </c>
      <c r="J63" s="330">
        <f>0</f>
        <v>0</v>
      </c>
      <c r="K63" s="329">
        <f t="shared" si="20"/>
        <v>0</v>
      </c>
      <c r="L63" s="330">
        <v>0</v>
      </c>
      <c r="M63" s="329">
        <f t="shared" si="22"/>
        <v>0</v>
      </c>
      <c r="N63" s="330">
        <v>0</v>
      </c>
      <c r="O63" s="329">
        <f t="shared" si="23"/>
        <v>0</v>
      </c>
      <c r="P63" s="330">
        <v>0</v>
      </c>
      <c r="Q63" s="329">
        <f t="shared" si="23"/>
        <v>0</v>
      </c>
      <c r="R63" s="330">
        <v>0</v>
      </c>
      <c r="S63" s="329">
        <f t="shared" ref="S63:S66" si="25">R63/S$58</f>
        <v>0</v>
      </c>
      <c r="T63" s="331">
        <v>0</v>
      </c>
      <c r="U63" s="332">
        <f t="shared" ref="U63:U66" si="26">T63/U$58</f>
        <v>0</v>
      </c>
      <c r="V63" s="333"/>
      <c r="W63" s="334">
        <f t="shared" si="24"/>
        <v>0</v>
      </c>
      <c r="X63" s="335">
        <f t="shared" si="24"/>
        <v>0</v>
      </c>
    </row>
    <row r="64" spans="1:24" s="1" customFormat="1" ht="15" customHeight="1" x14ac:dyDescent="0.2">
      <c r="A64" s="336" t="s">
        <v>106</v>
      </c>
      <c r="B64" s="327">
        <v>0</v>
      </c>
      <c r="C64" s="328">
        <f t="shared" si="19"/>
        <v>0</v>
      </c>
      <c r="D64" s="327">
        <v>0</v>
      </c>
      <c r="E64" s="329">
        <f t="shared" si="20"/>
        <v>0</v>
      </c>
      <c r="F64" s="330">
        <v>0</v>
      </c>
      <c r="G64" s="329">
        <f t="shared" si="20"/>
        <v>0</v>
      </c>
      <c r="H64" s="330">
        <v>0</v>
      </c>
      <c r="I64" s="329">
        <f t="shared" si="21"/>
        <v>0</v>
      </c>
      <c r="J64" s="330">
        <f>0</f>
        <v>0</v>
      </c>
      <c r="K64" s="329">
        <f t="shared" si="20"/>
        <v>0</v>
      </c>
      <c r="L64" s="330">
        <v>0</v>
      </c>
      <c r="M64" s="329">
        <f t="shared" si="22"/>
        <v>0</v>
      </c>
      <c r="N64" s="330">
        <v>0</v>
      </c>
      <c r="O64" s="329">
        <f t="shared" si="23"/>
        <v>0</v>
      </c>
      <c r="P64" s="330">
        <v>0</v>
      </c>
      <c r="Q64" s="329">
        <f t="shared" si="23"/>
        <v>0</v>
      </c>
      <c r="R64" s="330">
        <v>0</v>
      </c>
      <c r="S64" s="329">
        <f t="shared" si="25"/>
        <v>0</v>
      </c>
      <c r="T64" s="331">
        <v>0</v>
      </c>
      <c r="U64" s="332">
        <f t="shared" si="26"/>
        <v>0</v>
      </c>
      <c r="V64" s="333"/>
      <c r="W64" s="334">
        <f t="shared" si="24"/>
        <v>0</v>
      </c>
      <c r="X64" s="335">
        <f t="shared" si="24"/>
        <v>0</v>
      </c>
    </row>
    <row r="65" spans="1:24" s="1" customFormat="1" ht="15" customHeight="1" x14ac:dyDescent="0.2">
      <c r="A65" s="336" t="s">
        <v>107</v>
      </c>
      <c r="B65" s="327">
        <v>0</v>
      </c>
      <c r="C65" s="328">
        <f t="shared" si="19"/>
        <v>0</v>
      </c>
      <c r="D65" s="327">
        <v>0</v>
      </c>
      <c r="E65" s="329">
        <f t="shared" si="20"/>
        <v>0</v>
      </c>
      <c r="F65" s="330">
        <v>0</v>
      </c>
      <c r="G65" s="329">
        <f t="shared" si="20"/>
        <v>0</v>
      </c>
      <c r="H65" s="330">
        <v>0</v>
      </c>
      <c r="I65" s="329">
        <f t="shared" si="21"/>
        <v>0</v>
      </c>
      <c r="J65" s="330">
        <f>0</f>
        <v>0</v>
      </c>
      <c r="K65" s="329">
        <f t="shared" si="20"/>
        <v>0</v>
      </c>
      <c r="L65" s="330">
        <v>0</v>
      </c>
      <c r="M65" s="329">
        <f t="shared" si="22"/>
        <v>0</v>
      </c>
      <c r="N65" s="330">
        <v>0</v>
      </c>
      <c r="O65" s="329">
        <f t="shared" si="23"/>
        <v>0</v>
      </c>
      <c r="P65" s="330">
        <v>0</v>
      </c>
      <c r="Q65" s="329">
        <f t="shared" si="23"/>
        <v>0</v>
      </c>
      <c r="R65" s="330">
        <v>0</v>
      </c>
      <c r="S65" s="329">
        <f t="shared" si="25"/>
        <v>0</v>
      </c>
      <c r="T65" s="331">
        <v>0</v>
      </c>
      <c r="U65" s="332">
        <f t="shared" si="26"/>
        <v>0</v>
      </c>
      <c r="V65" s="333"/>
      <c r="W65" s="334">
        <f t="shared" si="24"/>
        <v>0</v>
      </c>
      <c r="X65" s="335">
        <f t="shared" si="24"/>
        <v>0</v>
      </c>
    </row>
    <row r="66" spans="1:24" s="1" customFormat="1" ht="15" customHeight="1" x14ac:dyDescent="0.2">
      <c r="A66" s="336" t="s">
        <v>108</v>
      </c>
      <c r="B66" s="327">
        <v>0</v>
      </c>
      <c r="C66" s="328">
        <f t="shared" si="19"/>
        <v>0</v>
      </c>
      <c r="D66" s="327">
        <v>0</v>
      </c>
      <c r="E66" s="329">
        <f t="shared" si="20"/>
        <v>0</v>
      </c>
      <c r="F66" s="330">
        <v>0</v>
      </c>
      <c r="G66" s="329">
        <f t="shared" si="20"/>
        <v>0</v>
      </c>
      <c r="H66" s="330">
        <v>0</v>
      </c>
      <c r="I66" s="329">
        <f t="shared" si="21"/>
        <v>0</v>
      </c>
      <c r="J66" s="330">
        <f>0</f>
        <v>0</v>
      </c>
      <c r="K66" s="329">
        <f t="shared" si="20"/>
        <v>0</v>
      </c>
      <c r="L66" s="330">
        <v>0</v>
      </c>
      <c r="M66" s="329">
        <f t="shared" si="22"/>
        <v>0</v>
      </c>
      <c r="N66" s="330">
        <v>0</v>
      </c>
      <c r="O66" s="329">
        <f t="shared" si="23"/>
        <v>0</v>
      </c>
      <c r="P66" s="330">
        <v>0</v>
      </c>
      <c r="Q66" s="329">
        <f t="shared" si="23"/>
        <v>0</v>
      </c>
      <c r="R66" s="330">
        <v>0</v>
      </c>
      <c r="S66" s="329">
        <f t="shared" si="25"/>
        <v>0</v>
      </c>
      <c r="T66" s="331">
        <v>0</v>
      </c>
      <c r="U66" s="332">
        <f t="shared" si="26"/>
        <v>0</v>
      </c>
      <c r="V66" s="333"/>
      <c r="W66" s="334">
        <f t="shared" si="24"/>
        <v>0</v>
      </c>
      <c r="X66" s="335">
        <f t="shared" si="24"/>
        <v>0</v>
      </c>
    </row>
    <row r="67" spans="1:24" s="1" customFormat="1" ht="15" customHeight="1" x14ac:dyDescent="0.2">
      <c r="A67" s="336" t="s">
        <v>109</v>
      </c>
      <c r="B67" s="337"/>
      <c r="C67" s="328"/>
      <c r="D67" s="337"/>
      <c r="E67" s="329"/>
      <c r="F67" s="338"/>
      <c r="G67" s="329"/>
      <c r="H67" s="338">
        <v>0</v>
      </c>
      <c r="I67" s="329">
        <f t="shared" si="21"/>
        <v>0</v>
      </c>
      <c r="J67" s="338">
        <f>0</f>
        <v>0</v>
      </c>
      <c r="K67" s="329">
        <f>J67/K$58</f>
        <v>0</v>
      </c>
      <c r="L67" s="338">
        <v>0</v>
      </c>
      <c r="M67" s="329">
        <f>L67/M$58</f>
        <v>0</v>
      </c>
      <c r="N67" s="338">
        <v>0</v>
      </c>
      <c r="O67" s="329">
        <f>N67/O$58</f>
        <v>0</v>
      </c>
      <c r="P67" s="338">
        <v>0</v>
      </c>
      <c r="Q67" s="329">
        <f>P67/Q$58</f>
        <v>0</v>
      </c>
      <c r="R67" s="338">
        <v>0</v>
      </c>
      <c r="S67" s="329">
        <f>R67/S$58</f>
        <v>0</v>
      </c>
      <c r="T67" s="331">
        <v>0</v>
      </c>
      <c r="U67" s="332">
        <f>T67/U$58</f>
        <v>0</v>
      </c>
      <c r="V67" s="333"/>
      <c r="W67" s="334">
        <f t="shared" si="24"/>
        <v>0</v>
      </c>
      <c r="X67" s="335">
        <f t="shared" si="24"/>
        <v>0</v>
      </c>
    </row>
    <row r="68" spans="1:24" s="1" customFormat="1" ht="15" customHeight="1" thickBot="1" x14ac:dyDescent="0.25">
      <c r="A68" s="723" t="s">
        <v>110</v>
      </c>
      <c r="B68" s="726">
        <v>0</v>
      </c>
      <c r="C68" s="725">
        <f t="shared" si="19"/>
        <v>0</v>
      </c>
      <c r="D68" s="726">
        <v>0</v>
      </c>
      <c r="E68" s="727">
        <f t="shared" si="20"/>
        <v>0</v>
      </c>
      <c r="F68" s="728">
        <v>0</v>
      </c>
      <c r="G68" s="727">
        <f t="shared" si="20"/>
        <v>0</v>
      </c>
      <c r="H68" s="728">
        <v>0</v>
      </c>
      <c r="I68" s="727">
        <f t="shared" si="21"/>
        <v>0</v>
      </c>
      <c r="J68" s="728">
        <f>0</f>
        <v>0</v>
      </c>
      <c r="K68" s="727">
        <f t="shared" si="20"/>
        <v>0</v>
      </c>
      <c r="L68" s="728">
        <v>0</v>
      </c>
      <c r="M68" s="727">
        <f>L68/M$58</f>
        <v>0</v>
      </c>
      <c r="N68" s="728">
        <v>0</v>
      </c>
      <c r="O68" s="727">
        <f>N68/O$58</f>
        <v>0</v>
      </c>
      <c r="P68" s="728">
        <v>0</v>
      </c>
      <c r="Q68" s="727">
        <f>P68/Q$58</f>
        <v>0</v>
      </c>
      <c r="R68" s="728">
        <v>0</v>
      </c>
      <c r="S68" s="727">
        <f>R68/S$58</f>
        <v>0</v>
      </c>
      <c r="T68" s="729">
        <v>0</v>
      </c>
      <c r="U68" s="730">
        <f>T68/U$58</f>
        <v>0</v>
      </c>
      <c r="V68" s="333"/>
      <c r="W68" s="731">
        <f t="shared" si="24"/>
        <v>0</v>
      </c>
      <c r="X68" s="732">
        <f t="shared" si="24"/>
        <v>0</v>
      </c>
    </row>
    <row r="69" spans="1:24" s="1" customFormat="1" ht="18" customHeight="1" x14ac:dyDescent="0.2">
      <c r="A69" s="703" t="s">
        <v>111</v>
      </c>
      <c r="B69" s="716"/>
      <c r="C69" s="717"/>
      <c r="D69" s="716"/>
      <c r="E69" s="718"/>
      <c r="F69" s="719"/>
      <c r="G69" s="718"/>
      <c r="H69" s="719"/>
      <c r="I69" s="718"/>
      <c r="J69" s="719"/>
      <c r="K69" s="718"/>
      <c r="L69" s="719"/>
      <c r="M69" s="718"/>
      <c r="N69" s="719"/>
      <c r="O69" s="718"/>
      <c r="P69" s="719"/>
      <c r="Q69" s="718"/>
      <c r="R69" s="719"/>
      <c r="S69" s="718"/>
      <c r="T69" s="719"/>
      <c r="U69" s="720"/>
      <c r="V69" s="333"/>
      <c r="W69" s="714"/>
      <c r="X69" s="715"/>
    </row>
    <row r="70" spans="1:24" s="1" customFormat="1" ht="15" customHeight="1" x14ac:dyDescent="0.2">
      <c r="A70" s="326" t="s">
        <v>112</v>
      </c>
      <c r="B70" s="341">
        <v>7</v>
      </c>
      <c r="C70" s="328">
        <f>B70/C$58</f>
        <v>0.7</v>
      </c>
      <c r="D70" s="341">
        <f>5+2+1</f>
        <v>8</v>
      </c>
      <c r="E70" s="329">
        <f>D70/E$58</f>
        <v>0.72727272727272729</v>
      </c>
      <c r="F70" s="342">
        <v>6</v>
      </c>
      <c r="G70" s="329">
        <f>F70/G$58</f>
        <v>0.75</v>
      </c>
      <c r="H70" s="342">
        <v>6</v>
      </c>
      <c r="I70" s="329">
        <f>H70/I$58</f>
        <v>0.75</v>
      </c>
      <c r="J70" s="342">
        <f>5+1</f>
        <v>6</v>
      </c>
      <c r="K70" s="329">
        <f>J70/K$58</f>
        <v>0.6</v>
      </c>
      <c r="L70" s="342">
        <v>6</v>
      </c>
      <c r="M70" s="329">
        <f>L70/M$58</f>
        <v>0.66666666666666663</v>
      </c>
      <c r="N70" s="342">
        <v>5</v>
      </c>
      <c r="O70" s="329">
        <f>N70/O$58</f>
        <v>0.625</v>
      </c>
      <c r="P70" s="342">
        <v>5</v>
      </c>
      <c r="Q70" s="329">
        <f>P70/Q$58</f>
        <v>0.625</v>
      </c>
      <c r="R70" s="342">
        <v>4</v>
      </c>
      <c r="S70" s="329">
        <f>R70/S$58</f>
        <v>0.5714285714285714</v>
      </c>
      <c r="T70" s="343">
        <v>5</v>
      </c>
      <c r="U70" s="332">
        <f>T70/U$58</f>
        <v>0.5</v>
      </c>
      <c r="V70" s="333"/>
      <c r="W70" s="334">
        <f t="shared" si="24"/>
        <v>5</v>
      </c>
      <c r="X70" s="335">
        <f>AVERAGE(O70,M70,S70,U70,Q70)</f>
        <v>0.59761904761904761</v>
      </c>
    </row>
    <row r="71" spans="1:24" s="1" customFormat="1" ht="15" customHeight="1" thickBot="1" x14ac:dyDescent="0.25">
      <c r="A71" s="723" t="s">
        <v>113</v>
      </c>
      <c r="B71" s="733">
        <v>3</v>
      </c>
      <c r="C71" s="725">
        <f>B71/C$58</f>
        <v>0.3</v>
      </c>
      <c r="D71" s="733">
        <f>2+1</f>
        <v>3</v>
      </c>
      <c r="E71" s="727">
        <f>D71/E$58</f>
        <v>0.27272727272727271</v>
      </c>
      <c r="F71" s="734">
        <v>2</v>
      </c>
      <c r="G71" s="727">
        <f>F71/G$58</f>
        <v>0.25</v>
      </c>
      <c r="H71" s="734">
        <v>2</v>
      </c>
      <c r="I71" s="727">
        <f>H71/I$58</f>
        <v>0.25</v>
      </c>
      <c r="J71" s="734">
        <f>4</f>
        <v>4</v>
      </c>
      <c r="K71" s="727">
        <f>J71/K$58</f>
        <v>0.4</v>
      </c>
      <c r="L71" s="734">
        <v>3</v>
      </c>
      <c r="M71" s="727">
        <f>L71/M$58</f>
        <v>0.33333333333333331</v>
      </c>
      <c r="N71" s="734">
        <v>3</v>
      </c>
      <c r="O71" s="727">
        <f>N71/O$58</f>
        <v>0.375</v>
      </c>
      <c r="P71" s="734">
        <v>3</v>
      </c>
      <c r="Q71" s="727">
        <f>P71/Q$58</f>
        <v>0.375</v>
      </c>
      <c r="R71" s="734">
        <v>3</v>
      </c>
      <c r="S71" s="727">
        <f>R71/S$58</f>
        <v>0.42857142857142855</v>
      </c>
      <c r="T71" s="734">
        <v>5</v>
      </c>
      <c r="U71" s="730">
        <f>T71/U$58</f>
        <v>0.5</v>
      </c>
      <c r="V71" s="333"/>
      <c r="W71" s="731">
        <f t="shared" si="24"/>
        <v>3.4</v>
      </c>
      <c r="X71" s="732">
        <f t="shared" si="24"/>
        <v>0.40238095238095239</v>
      </c>
    </row>
    <row r="72" spans="1:24" s="1" customFormat="1" ht="18" customHeight="1" x14ac:dyDescent="0.2">
      <c r="A72" s="703" t="s">
        <v>114</v>
      </c>
      <c r="B72" s="721"/>
      <c r="C72" s="710"/>
      <c r="D72" s="721"/>
      <c r="E72" s="711"/>
      <c r="F72" s="722"/>
      <c r="G72" s="711"/>
      <c r="H72" s="722"/>
      <c r="I72" s="711"/>
      <c r="J72" s="722"/>
      <c r="K72" s="711"/>
      <c r="L72" s="722"/>
      <c r="M72" s="711"/>
      <c r="N72" s="722"/>
      <c r="O72" s="711"/>
      <c r="P72" s="722"/>
      <c r="Q72" s="711"/>
      <c r="R72" s="722"/>
      <c r="S72" s="711"/>
      <c r="T72" s="722"/>
      <c r="U72" s="713"/>
      <c r="V72" s="333"/>
      <c r="W72" s="714"/>
      <c r="X72" s="715"/>
    </row>
    <row r="73" spans="1:24" s="1" customFormat="1" ht="15" customHeight="1" x14ac:dyDescent="0.2">
      <c r="A73" s="326" t="s">
        <v>115</v>
      </c>
      <c r="B73" s="341">
        <v>7</v>
      </c>
      <c r="C73" s="328">
        <f>B73/C$58</f>
        <v>0.7</v>
      </c>
      <c r="D73" s="341">
        <f>3+4+1</f>
        <v>8</v>
      </c>
      <c r="E73" s="329">
        <f>D73/E$58</f>
        <v>0.72727272727272729</v>
      </c>
      <c r="F73" s="342">
        <v>6</v>
      </c>
      <c r="G73" s="329">
        <f>F73/G$58</f>
        <v>0.75</v>
      </c>
      <c r="H73" s="342">
        <v>6</v>
      </c>
      <c r="I73" s="329">
        <f>H73/I$58</f>
        <v>0.75</v>
      </c>
      <c r="J73" s="342">
        <f>6+0</f>
        <v>6</v>
      </c>
      <c r="K73" s="329">
        <f>J73/K$58</f>
        <v>0.6</v>
      </c>
      <c r="L73" s="342">
        <v>5</v>
      </c>
      <c r="M73" s="329">
        <f>L73/M$58</f>
        <v>0.55555555555555558</v>
      </c>
      <c r="N73" s="342">
        <v>6</v>
      </c>
      <c r="O73" s="329">
        <f>N73/O$58</f>
        <v>0.75</v>
      </c>
      <c r="P73" s="342">
        <v>6</v>
      </c>
      <c r="Q73" s="329">
        <f>P73/Q$58</f>
        <v>0.75</v>
      </c>
      <c r="R73" s="342">
        <v>6</v>
      </c>
      <c r="S73" s="329">
        <f>R73/S$58</f>
        <v>0.8571428571428571</v>
      </c>
      <c r="T73" s="342">
        <v>7</v>
      </c>
      <c r="U73" s="332">
        <f>T73/U$58</f>
        <v>0.7</v>
      </c>
      <c r="V73" s="333"/>
      <c r="W73" s="334">
        <f t="shared" si="24"/>
        <v>6</v>
      </c>
      <c r="X73" s="335">
        <f t="shared" si="24"/>
        <v>0.72253968253968248</v>
      </c>
    </row>
    <row r="74" spans="1:24" s="1" customFormat="1" ht="15" customHeight="1" x14ac:dyDescent="0.2">
      <c r="A74" s="326" t="s">
        <v>116</v>
      </c>
      <c r="B74" s="341">
        <v>1</v>
      </c>
      <c r="C74" s="328">
        <f>B74/C$58</f>
        <v>0.1</v>
      </c>
      <c r="D74" s="341">
        <v>1</v>
      </c>
      <c r="E74" s="329">
        <f>D74/E$58</f>
        <v>9.0909090909090912E-2</v>
      </c>
      <c r="F74" s="342">
        <v>1</v>
      </c>
      <c r="G74" s="329">
        <f>F74/G$58</f>
        <v>0.125</v>
      </c>
      <c r="H74" s="342">
        <v>0</v>
      </c>
      <c r="I74" s="329">
        <f>H74/I$58</f>
        <v>0</v>
      </c>
      <c r="J74" s="342">
        <f>2+0</f>
        <v>2</v>
      </c>
      <c r="K74" s="329">
        <f>J74/K$58</f>
        <v>0.2</v>
      </c>
      <c r="L74" s="342">
        <v>2</v>
      </c>
      <c r="M74" s="329">
        <f>L74/M$58</f>
        <v>0.22222222222222221</v>
      </c>
      <c r="N74" s="342">
        <v>1</v>
      </c>
      <c r="O74" s="329">
        <f>N74/O$58</f>
        <v>0.125</v>
      </c>
      <c r="P74" s="342">
        <v>1</v>
      </c>
      <c r="Q74" s="329">
        <f>P74/Q$58</f>
        <v>0.125</v>
      </c>
      <c r="R74" s="342">
        <v>0</v>
      </c>
      <c r="S74" s="329">
        <f>R74/S$58</f>
        <v>0</v>
      </c>
      <c r="T74" s="342">
        <v>1</v>
      </c>
      <c r="U74" s="332">
        <f>T74/U$58</f>
        <v>0.1</v>
      </c>
      <c r="V74" s="333"/>
      <c r="W74" s="334">
        <f t="shared" si="24"/>
        <v>1</v>
      </c>
      <c r="X74" s="335">
        <f t="shared" si="24"/>
        <v>0.11444444444444443</v>
      </c>
    </row>
    <row r="75" spans="1:24" s="1" customFormat="1" ht="15" customHeight="1" thickBot="1" x14ac:dyDescent="0.25">
      <c r="A75" s="723" t="s">
        <v>117</v>
      </c>
      <c r="B75" s="733">
        <v>2</v>
      </c>
      <c r="C75" s="725">
        <f>B75/C$58</f>
        <v>0.2</v>
      </c>
      <c r="D75" s="733">
        <f>1+1</f>
        <v>2</v>
      </c>
      <c r="E75" s="727">
        <f>D75/E$58</f>
        <v>0.18181818181818182</v>
      </c>
      <c r="F75" s="734">
        <v>1</v>
      </c>
      <c r="G75" s="727">
        <f>F75/G$58</f>
        <v>0.125</v>
      </c>
      <c r="H75" s="734">
        <v>2</v>
      </c>
      <c r="I75" s="727">
        <f>H75/I$58</f>
        <v>0.25</v>
      </c>
      <c r="J75" s="734">
        <f>1+1</f>
        <v>2</v>
      </c>
      <c r="K75" s="727">
        <f>J75/K$58</f>
        <v>0.2</v>
      </c>
      <c r="L75" s="734">
        <v>2</v>
      </c>
      <c r="M75" s="727">
        <f>L75/M$58</f>
        <v>0.22222222222222221</v>
      </c>
      <c r="N75" s="734">
        <v>1</v>
      </c>
      <c r="O75" s="727">
        <f>N75/O$58</f>
        <v>0.125</v>
      </c>
      <c r="P75" s="734">
        <v>1</v>
      </c>
      <c r="Q75" s="727">
        <f>P75/Q$58</f>
        <v>0.125</v>
      </c>
      <c r="R75" s="734">
        <v>1</v>
      </c>
      <c r="S75" s="727">
        <f>R75/S$58</f>
        <v>0.14285714285714285</v>
      </c>
      <c r="T75" s="734">
        <v>2</v>
      </c>
      <c r="U75" s="730">
        <f>T75/U$58</f>
        <v>0.2</v>
      </c>
      <c r="V75" s="333"/>
      <c r="W75" s="731">
        <f t="shared" si="24"/>
        <v>1.4</v>
      </c>
      <c r="X75" s="732">
        <f t="shared" si="24"/>
        <v>0.163015873015873</v>
      </c>
    </row>
    <row r="76" spans="1:24" s="1" customFormat="1" ht="18" customHeight="1" x14ac:dyDescent="0.2">
      <c r="A76" s="703" t="s">
        <v>118</v>
      </c>
      <c r="B76" s="721"/>
      <c r="C76" s="710"/>
      <c r="D76" s="721"/>
      <c r="E76" s="711"/>
      <c r="F76" s="722"/>
      <c r="G76" s="711"/>
      <c r="H76" s="722"/>
      <c r="I76" s="711"/>
      <c r="J76" s="722"/>
      <c r="K76" s="711"/>
      <c r="L76" s="722"/>
      <c r="M76" s="711"/>
      <c r="N76" s="722"/>
      <c r="O76" s="711"/>
      <c r="P76" s="722"/>
      <c r="Q76" s="711"/>
      <c r="R76" s="722"/>
      <c r="S76" s="711"/>
      <c r="T76" s="722"/>
      <c r="U76" s="713"/>
      <c r="V76" s="333"/>
      <c r="W76" s="714"/>
      <c r="X76" s="715"/>
    </row>
    <row r="77" spans="1:24" s="1" customFormat="1" ht="15" customHeight="1" x14ac:dyDescent="0.2">
      <c r="A77" s="326" t="s">
        <v>119</v>
      </c>
      <c r="B77" s="341">
        <v>4</v>
      </c>
      <c r="C77" s="328">
        <f>B77/C$58</f>
        <v>0.4</v>
      </c>
      <c r="D77" s="341">
        <f>3+1+1</f>
        <v>5</v>
      </c>
      <c r="E77" s="329">
        <f>D77/E$58</f>
        <v>0.45454545454545453</v>
      </c>
      <c r="F77" s="342">
        <v>4</v>
      </c>
      <c r="G77" s="329">
        <f>F77/G$58</f>
        <v>0.5</v>
      </c>
      <c r="H77" s="342">
        <v>4</v>
      </c>
      <c r="I77" s="329">
        <f>H77/I$58</f>
        <v>0.5</v>
      </c>
      <c r="J77" s="342">
        <f>5+1</f>
        <v>6</v>
      </c>
      <c r="K77" s="329">
        <f>J77/K$58</f>
        <v>0.6</v>
      </c>
      <c r="L77" s="342">
        <v>6</v>
      </c>
      <c r="M77" s="329">
        <f>L77/M$58</f>
        <v>0.66666666666666663</v>
      </c>
      <c r="N77" s="342">
        <v>5</v>
      </c>
      <c r="O77" s="329">
        <f>N77/O$58</f>
        <v>0.625</v>
      </c>
      <c r="P77" s="342">
        <v>5</v>
      </c>
      <c r="Q77" s="329">
        <f>P77/Q$58</f>
        <v>0.625</v>
      </c>
      <c r="R77" s="342">
        <v>4</v>
      </c>
      <c r="S77" s="329">
        <f>R77/S$58</f>
        <v>0.5714285714285714</v>
      </c>
      <c r="T77" s="342">
        <v>6</v>
      </c>
      <c r="U77" s="332">
        <f>T77/U$58</f>
        <v>0.6</v>
      </c>
      <c r="V77" s="333"/>
      <c r="W77" s="334">
        <f t="shared" si="24"/>
        <v>5.2</v>
      </c>
      <c r="X77" s="335">
        <f t="shared" si="24"/>
        <v>0.61761904761904751</v>
      </c>
    </row>
    <row r="78" spans="1:24" s="1" customFormat="1" ht="15" customHeight="1" x14ac:dyDescent="0.2">
      <c r="A78" s="326" t="s">
        <v>120</v>
      </c>
      <c r="B78" s="341">
        <v>5</v>
      </c>
      <c r="C78" s="328">
        <f>B78/C$58</f>
        <v>0.5</v>
      </c>
      <c r="D78" s="341">
        <f>2+3</f>
        <v>5</v>
      </c>
      <c r="E78" s="329">
        <f>D78/E$58</f>
        <v>0.45454545454545453</v>
      </c>
      <c r="F78" s="342">
        <v>4</v>
      </c>
      <c r="G78" s="329">
        <f>F78/G$58</f>
        <v>0.5</v>
      </c>
      <c r="H78" s="342">
        <v>4</v>
      </c>
      <c r="I78" s="329">
        <f>H78/I$58</f>
        <v>0.5</v>
      </c>
      <c r="J78" s="342">
        <f>4</f>
        <v>4</v>
      </c>
      <c r="K78" s="329">
        <f>J78/K$58</f>
        <v>0.4</v>
      </c>
      <c r="L78" s="342">
        <v>3</v>
      </c>
      <c r="M78" s="329">
        <f>L78/M$58</f>
        <v>0.33333333333333331</v>
      </c>
      <c r="N78" s="342">
        <v>3</v>
      </c>
      <c r="O78" s="329">
        <f>N78/O$58</f>
        <v>0.375</v>
      </c>
      <c r="P78" s="342">
        <v>3</v>
      </c>
      <c r="Q78" s="329">
        <f>P78/Q$58</f>
        <v>0.375</v>
      </c>
      <c r="R78" s="342">
        <v>3</v>
      </c>
      <c r="S78" s="329">
        <f>R78/S$58</f>
        <v>0.42857142857142855</v>
      </c>
      <c r="T78" s="342">
        <v>4</v>
      </c>
      <c r="U78" s="332">
        <f>T78/U$58</f>
        <v>0.4</v>
      </c>
      <c r="V78" s="333"/>
      <c r="W78" s="334">
        <f t="shared" si="24"/>
        <v>3.2</v>
      </c>
      <c r="X78" s="335">
        <f t="shared" si="24"/>
        <v>0.38238095238095238</v>
      </c>
    </row>
    <row r="79" spans="1:24" s="1" customFormat="1" ht="15" customHeight="1" x14ac:dyDescent="0.2">
      <c r="A79" s="326" t="s">
        <v>121</v>
      </c>
      <c r="B79" s="341">
        <v>1</v>
      </c>
      <c r="C79" s="328">
        <f>B79/C$58</f>
        <v>0.1</v>
      </c>
      <c r="D79" s="341">
        <v>1</v>
      </c>
      <c r="E79" s="329">
        <f>D79/E$58</f>
        <v>9.0909090909090912E-2</v>
      </c>
      <c r="F79" s="342">
        <v>0</v>
      </c>
      <c r="G79" s="329">
        <f>F79/G$58</f>
        <v>0</v>
      </c>
      <c r="H79" s="342">
        <v>0</v>
      </c>
      <c r="I79" s="329">
        <f>H79/I$58</f>
        <v>0</v>
      </c>
      <c r="J79" s="342">
        <v>0</v>
      </c>
      <c r="K79" s="329">
        <f>J79/K$58</f>
        <v>0</v>
      </c>
      <c r="L79" s="342">
        <v>0</v>
      </c>
      <c r="M79" s="329">
        <f>L79/M$58</f>
        <v>0</v>
      </c>
      <c r="N79" s="342">
        <v>0</v>
      </c>
      <c r="O79" s="329">
        <f>N79/O$58</f>
        <v>0</v>
      </c>
      <c r="P79" s="342">
        <v>0</v>
      </c>
      <c r="Q79" s="329">
        <f>P79/Q$58</f>
        <v>0</v>
      </c>
      <c r="R79" s="342">
        <v>0</v>
      </c>
      <c r="S79" s="329">
        <f>R79/S$58</f>
        <v>0</v>
      </c>
      <c r="T79" s="342">
        <v>0</v>
      </c>
      <c r="U79" s="332">
        <f>T79/U$58</f>
        <v>0</v>
      </c>
      <c r="V79" s="320"/>
      <c r="W79" s="334">
        <f t="shared" si="24"/>
        <v>0</v>
      </c>
      <c r="X79" s="335">
        <f t="shared" si="24"/>
        <v>0</v>
      </c>
    </row>
    <row r="80" spans="1:24" s="1" customFormat="1" ht="15" customHeight="1" thickBot="1" x14ac:dyDescent="0.25">
      <c r="A80" s="344" t="s">
        <v>122</v>
      </c>
      <c r="B80" s="345">
        <v>0</v>
      </c>
      <c r="C80" s="346">
        <f>B80/C$58</f>
        <v>0</v>
      </c>
      <c r="D80" s="345">
        <v>0</v>
      </c>
      <c r="E80" s="347">
        <f>D80/E$58</f>
        <v>0</v>
      </c>
      <c r="F80" s="348">
        <v>0</v>
      </c>
      <c r="G80" s="347">
        <f>F80/G$58</f>
        <v>0</v>
      </c>
      <c r="H80" s="348">
        <v>0</v>
      </c>
      <c r="I80" s="347">
        <f>H80/I$58</f>
        <v>0</v>
      </c>
      <c r="J80" s="348">
        <f>0</f>
        <v>0</v>
      </c>
      <c r="K80" s="347">
        <f>J80/K$58</f>
        <v>0</v>
      </c>
      <c r="L80" s="348">
        <v>0</v>
      </c>
      <c r="M80" s="347">
        <f>L80/M$58</f>
        <v>0</v>
      </c>
      <c r="N80" s="348">
        <v>0</v>
      </c>
      <c r="O80" s="347">
        <f>N80/O$58</f>
        <v>0</v>
      </c>
      <c r="P80" s="348">
        <v>0</v>
      </c>
      <c r="Q80" s="347">
        <f>P80/Q$58</f>
        <v>0</v>
      </c>
      <c r="R80" s="348">
        <v>0</v>
      </c>
      <c r="S80" s="347">
        <f>R80/S$58</f>
        <v>0</v>
      </c>
      <c r="T80" s="348">
        <v>0</v>
      </c>
      <c r="U80" s="349">
        <f>T80/U$58</f>
        <v>0</v>
      </c>
      <c r="V80" s="320"/>
      <c r="W80" s="350">
        <f t="shared" si="24"/>
        <v>0</v>
      </c>
      <c r="X80" s="351">
        <f t="shared" si="24"/>
        <v>0</v>
      </c>
    </row>
    <row r="81" spans="1:24" ht="13.5" thickTop="1" x14ac:dyDescent="0.2">
      <c r="A81" s="635" t="s">
        <v>251</v>
      </c>
      <c r="B81" s="372"/>
      <c r="C81" s="372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72"/>
      <c r="R81" s="372"/>
      <c r="S81" s="372"/>
      <c r="T81" s="372"/>
      <c r="U81" s="372"/>
      <c r="V81" s="372"/>
      <c r="W81" s="372"/>
      <c r="X81" s="372"/>
    </row>
    <row r="82" spans="1:24" x14ac:dyDescent="0.2">
      <c r="A82" s="1"/>
      <c r="H82" s="26" t="s">
        <v>16</v>
      </c>
      <c r="J82" s="26" t="s">
        <v>16</v>
      </c>
      <c r="L82" s="26" t="s">
        <v>16</v>
      </c>
      <c r="N82" s="26" t="s">
        <v>16</v>
      </c>
      <c r="P82" s="26" t="s">
        <v>16</v>
      </c>
      <c r="R82" s="26" t="s">
        <v>16</v>
      </c>
      <c r="T82" s="26" t="s">
        <v>16</v>
      </c>
    </row>
    <row r="83" spans="1:24" x14ac:dyDescent="0.2">
      <c r="A83" s="1"/>
    </row>
    <row r="84" spans="1:24" x14ac:dyDescent="0.2">
      <c r="A84" s="1"/>
    </row>
    <row r="85" spans="1:24" x14ac:dyDescent="0.2">
      <c r="A85" s="1"/>
    </row>
    <row r="86" spans="1:24" x14ac:dyDescent="0.2">
      <c r="A86" s="1"/>
    </row>
    <row r="87" spans="1:24" x14ac:dyDescent="0.2">
      <c r="A87" s="1"/>
    </row>
    <row r="88" spans="1:24" x14ac:dyDescent="0.2">
      <c r="A88" s="1"/>
    </row>
    <row r="89" spans="1:24" x14ac:dyDescent="0.2">
      <c r="A89" s="1"/>
    </row>
    <row r="90" spans="1:24" x14ac:dyDescent="0.2">
      <c r="A90" s="1"/>
    </row>
    <row r="91" spans="1:24" x14ac:dyDescent="0.2">
      <c r="A91" s="1"/>
    </row>
    <row r="92" spans="1:24" x14ac:dyDescent="0.2">
      <c r="A92" s="1"/>
    </row>
    <row r="93" spans="1:24" x14ac:dyDescent="0.2">
      <c r="A93" s="1"/>
    </row>
    <row r="94" spans="1:24" x14ac:dyDescent="0.2">
      <c r="A94" s="1"/>
    </row>
    <row r="95" spans="1:24" x14ac:dyDescent="0.2">
      <c r="A95" s="1"/>
    </row>
    <row r="96" spans="1:24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</sheetData>
  <mergeCells count="77">
    <mergeCell ref="T40:U40"/>
    <mergeCell ref="T46:U46"/>
    <mergeCell ref="R9:S9"/>
    <mergeCell ref="W9:X9"/>
    <mergeCell ref="B9:C9"/>
    <mergeCell ref="D9:E9"/>
    <mergeCell ref="F9:G9"/>
    <mergeCell ref="H9:I9"/>
    <mergeCell ref="J9:K9"/>
    <mergeCell ref="L9:M9"/>
    <mergeCell ref="N9:O9"/>
    <mergeCell ref="P9:Q9"/>
    <mergeCell ref="T9:U9"/>
    <mergeCell ref="N46:O46"/>
    <mergeCell ref="P46:Q46"/>
    <mergeCell ref="R46:S46"/>
    <mergeCell ref="W46:X46"/>
    <mergeCell ref="B46:C46"/>
    <mergeCell ref="D46:E46"/>
    <mergeCell ref="F46:G46"/>
    <mergeCell ref="H46:I46"/>
    <mergeCell ref="J46:K46"/>
    <mergeCell ref="L46:M46"/>
    <mergeCell ref="L37:M37"/>
    <mergeCell ref="N37:O37"/>
    <mergeCell ref="N40:O40"/>
    <mergeCell ref="L40:M40"/>
    <mergeCell ref="R21:S21"/>
    <mergeCell ref="P27:Q27"/>
    <mergeCell ref="R27:S27"/>
    <mergeCell ref="P40:Q40"/>
    <mergeCell ref="R40:S40"/>
    <mergeCell ref="L27:M27"/>
    <mergeCell ref="N27:O27"/>
    <mergeCell ref="L21:M21"/>
    <mergeCell ref="N21:O21"/>
    <mergeCell ref="L30:M30"/>
    <mergeCell ref="N30:O30"/>
    <mergeCell ref="W21:X21"/>
    <mergeCell ref="B21:C21"/>
    <mergeCell ref="D21:E21"/>
    <mergeCell ref="F21:G21"/>
    <mergeCell ref="H21:I21"/>
    <mergeCell ref="J21:K21"/>
    <mergeCell ref="P21:Q21"/>
    <mergeCell ref="T21:U21"/>
    <mergeCell ref="W27:X27"/>
    <mergeCell ref="P30:Q30"/>
    <mergeCell ref="R30:S30"/>
    <mergeCell ref="W30:X30"/>
    <mergeCell ref="P37:Q37"/>
    <mergeCell ref="R37:S37"/>
    <mergeCell ref="W37:X37"/>
    <mergeCell ref="T27:U27"/>
    <mergeCell ref="T30:U30"/>
    <mergeCell ref="T37:U37"/>
    <mergeCell ref="W40:X40"/>
    <mergeCell ref="F27:G27"/>
    <mergeCell ref="H27:I27"/>
    <mergeCell ref="J27:K27"/>
    <mergeCell ref="B37:C37"/>
    <mergeCell ref="D37:E37"/>
    <mergeCell ref="F37:G37"/>
    <mergeCell ref="H37:I37"/>
    <mergeCell ref="J37:K37"/>
    <mergeCell ref="B30:C30"/>
    <mergeCell ref="D30:E30"/>
    <mergeCell ref="F30:G30"/>
    <mergeCell ref="H30:I30"/>
    <mergeCell ref="J30:K30"/>
    <mergeCell ref="B27:C27"/>
    <mergeCell ref="D27:E27"/>
    <mergeCell ref="B40:C40"/>
    <mergeCell ref="D40:E40"/>
    <mergeCell ref="F40:G40"/>
    <mergeCell ref="H40:I40"/>
    <mergeCell ref="J40:K40"/>
  </mergeCells>
  <pageMargins left="0.7" right="0.7" top="0.5" bottom="0.5" header="0.3" footer="0.3"/>
  <pageSetup scale="70" orientation="landscape" r:id="rId1"/>
  <headerFooter>
    <oddFooter>&amp;L&amp;9Prepared by Planning and Analysis&amp;C&amp;9&amp;P of &amp;N&amp;R&amp;9Updated &amp;D</oddFooter>
  </headerFooter>
  <rowBreaks count="1" manualBreakCount="1">
    <brk id="44" max="21" man="1"/>
  </rowBreaks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416"/>
  <sheetViews>
    <sheetView view="pageBreakPreview" zoomScale="85" zoomScaleNormal="100" zoomScaleSheetLayoutView="85" workbookViewId="0">
      <selection activeCell="U23" sqref="U23"/>
    </sheetView>
  </sheetViews>
  <sheetFormatPr defaultColWidth="10.28515625" defaultRowHeight="12.75" x14ac:dyDescent="0.2"/>
  <cols>
    <col min="1" max="1" width="33.5703125" customWidth="1"/>
    <col min="2" max="2" width="8.5703125" hidden="1" customWidth="1"/>
    <col min="3" max="3" width="12.5703125" hidden="1" customWidth="1"/>
    <col min="4" max="4" width="7.7109375" hidden="1" customWidth="1"/>
    <col min="5" max="5" width="12.5703125" hidden="1" customWidth="1"/>
    <col min="6" max="6" width="7.7109375" customWidth="1"/>
    <col min="7" max="7" width="11.28515625" customWidth="1"/>
    <col min="8" max="8" width="7.7109375" customWidth="1"/>
    <col min="9" max="9" width="11.28515625" customWidth="1"/>
    <col min="10" max="10" width="7.7109375" customWidth="1"/>
    <col min="11" max="11" width="11.28515625" customWidth="1"/>
    <col min="12" max="12" width="7.7109375" customWidth="1"/>
    <col min="13" max="13" width="11.28515625" customWidth="1"/>
    <col min="14" max="14" width="7.7109375" customWidth="1"/>
    <col min="15" max="15" width="11.28515625" customWidth="1"/>
    <col min="16" max="16" width="7.7109375" customWidth="1"/>
    <col min="17" max="17" width="11.28515625" customWidth="1"/>
    <col min="18" max="18" width="7.7109375" customWidth="1"/>
    <col min="19" max="19" width="11.28515625" customWidth="1"/>
    <col min="20" max="20" width="7.7109375" customWidth="1"/>
    <col min="21" max="21" width="12" customWidth="1"/>
    <col min="22" max="22" width="3.28515625" customWidth="1"/>
    <col min="23" max="23" width="7.7109375" customWidth="1"/>
    <col min="24" max="24" width="10.28515625" customWidth="1"/>
    <col min="25" max="25" width="1.5703125" customWidth="1"/>
  </cols>
  <sheetData>
    <row r="1" spans="1:24" ht="15.75" x14ac:dyDescent="0.25">
      <c r="A1" s="636" t="s">
        <v>208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</row>
    <row r="2" spans="1:24" ht="15.75" x14ac:dyDescent="0.25">
      <c r="A2" s="636" t="s">
        <v>209</v>
      </c>
    </row>
    <row r="3" spans="1:24" ht="15.75" x14ac:dyDescent="0.25">
      <c r="A3" s="157"/>
      <c r="M3" t="s">
        <v>16</v>
      </c>
    </row>
    <row r="4" spans="1:24" ht="15.75" x14ac:dyDescent="0.25">
      <c r="A4" s="157" t="s">
        <v>211</v>
      </c>
    </row>
    <row r="5" spans="1:24" x14ac:dyDescent="0.2">
      <c r="A5" s="2"/>
    </row>
    <row r="6" spans="1:24" x14ac:dyDescent="0.2">
      <c r="A6" s="2" t="s">
        <v>238</v>
      </c>
    </row>
    <row r="7" spans="1:24" x14ac:dyDescent="0.2">
      <c r="A7" s="966">
        <v>3670010060</v>
      </c>
    </row>
    <row r="8" spans="1:24" ht="13.5" thickBot="1" x14ac:dyDescent="0.25">
      <c r="A8" s="1"/>
    </row>
    <row r="9" spans="1:24" ht="13.5" thickTop="1" x14ac:dyDescent="0.2">
      <c r="A9" s="215"/>
      <c r="B9" s="1304" t="s">
        <v>0</v>
      </c>
      <c r="C9" s="1305"/>
      <c r="D9" s="1304" t="s">
        <v>1</v>
      </c>
      <c r="E9" s="1305"/>
      <c r="F9" s="1304" t="s">
        <v>2</v>
      </c>
      <c r="G9" s="1305"/>
      <c r="H9" s="1304" t="s">
        <v>3</v>
      </c>
      <c r="I9" s="1305"/>
      <c r="J9" s="1304" t="s">
        <v>4</v>
      </c>
      <c r="K9" s="1305"/>
      <c r="L9" s="1304" t="s">
        <v>5</v>
      </c>
      <c r="M9" s="1305"/>
      <c r="N9" s="1304" t="s">
        <v>6</v>
      </c>
      <c r="O9" s="1305"/>
      <c r="P9" s="1304" t="s">
        <v>7</v>
      </c>
      <c r="Q9" s="1305"/>
      <c r="R9" s="1304" t="s">
        <v>8</v>
      </c>
      <c r="S9" s="1305"/>
      <c r="T9" s="1304" t="s">
        <v>254</v>
      </c>
      <c r="U9" s="1306"/>
      <c r="W9" s="1326" t="s">
        <v>9</v>
      </c>
      <c r="X9" s="1327"/>
    </row>
    <row r="10" spans="1:24" x14ac:dyDescent="0.2">
      <c r="A10" s="216"/>
      <c r="B10" s="28" t="s">
        <v>235</v>
      </c>
      <c r="C10" s="5" t="s">
        <v>11</v>
      </c>
      <c r="D10" s="28" t="s">
        <v>235</v>
      </c>
      <c r="E10" s="5" t="s">
        <v>11</v>
      </c>
      <c r="F10" s="28" t="s">
        <v>235</v>
      </c>
      <c r="G10" s="5" t="s">
        <v>11</v>
      </c>
      <c r="H10" s="28" t="s">
        <v>235</v>
      </c>
      <c r="I10" s="5" t="s">
        <v>11</v>
      </c>
      <c r="J10" s="28" t="s">
        <v>235</v>
      </c>
      <c r="K10" s="5" t="s">
        <v>11</v>
      </c>
      <c r="L10" s="28" t="s">
        <v>235</v>
      </c>
      <c r="M10" s="5" t="s">
        <v>11</v>
      </c>
      <c r="N10" s="28" t="s">
        <v>235</v>
      </c>
      <c r="O10" s="5" t="s">
        <v>11</v>
      </c>
      <c r="P10" s="28" t="s">
        <v>235</v>
      </c>
      <c r="Q10" s="5" t="s">
        <v>11</v>
      </c>
      <c r="R10" s="28" t="s">
        <v>235</v>
      </c>
      <c r="S10" s="5" t="s">
        <v>11</v>
      </c>
      <c r="T10" s="28" t="s">
        <v>235</v>
      </c>
      <c r="U10" s="52" t="s">
        <v>11</v>
      </c>
      <c r="W10" s="1268" t="s">
        <v>236</v>
      </c>
      <c r="X10" s="4" t="s">
        <v>13</v>
      </c>
    </row>
    <row r="11" spans="1:24" ht="13.5" thickBot="1" x14ac:dyDescent="0.25">
      <c r="A11" s="30" t="s">
        <v>84</v>
      </c>
      <c r="B11" s="29" t="s">
        <v>14</v>
      </c>
      <c r="C11" s="29" t="s">
        <v>15</v>
      </c>
      <c r="D11" s="62" t="s">
        <v>14</v>
      </c>
      <c r="E11" s="63" t="s">
        <v>15</v>
      </c>
      <c r="F11" s="62" t="s">
        <v>14</v>
      </c>
      <c r="G11" s="63" t="s">
        <v>15</v>
      </c>
      <c r="H11" s="62" t="s">
        <v>14</v>
      </c>
      <c r="I11" s="63" t="s">
        <v>15</v>
      </c>
      <c r="J11" s="62" t="s">
        <v>14</v>
      </c>
      <c r="K11" s="63" t="s">
        <v>15</v>
      </c>
      <c r="L11" s="29" t="s">
        <v>14</v>
      </c>
      <c r="M11" s="959" t="s">
        <v>15</v>
      </c>
      <c r="N11" s="62" t="s">
        <v>14</v>
      </c>
      <c r="O11" s="63" t="s">
        <v>15</v>
      </c>
      <c r="P11" s="62" t="s">
        <v>14</v>
      </c>
      <c r="Q11" s="63" t="s">
        <v>15</v>
      </c>
      <c r="R11" s="62" t="s">
        <v>14</v>
      </c>
      <c r="S11" s="63" t="s">
        <v>15</v>
      </c>
      <c r="T11" s="29" t="s">
        <v>14</v>
      </c>
      <c r="U11" s="7" t="s">
        <v>15</v>
      </c>
      <c r="W11" s="1269" t="s">
        <v>14</v>
      </c>
      <c r="X11" s="7" t="s">
        <v>15</v>
      </c>
    </row>
    <row r="12" spans="1:24" ht="15" customHeight="1" x14ac:dyDescent="0.2">
      <c r="A12" s="257" t="s">
        <v>155</v>
      </c>
      <c r="B12" s="217"/>
      <c r="C12" s="218"/>
      <c r="D12" s="219"/>
      <c r="E12" s="220"/>
      <c r="F12" s="217"/>
      <c r="G12" s="220"/>
      <c r="H12" s="217"/>
      <c r="I12" s="220"/>
      <c r="J12" s="217"/>
      <c r="K12" s="220"/>
      <c r="L12" s="217"/>
      <c r="M12" s="220"/>
      <c r="N12" s="217"/>
      <c r="O12" s="220"/>
      <c r="P12" s="217"/>
      <c r="Q12" s="220"/>
      <c r="R12" s="217"/>
      <c r="S12" s="220"/>
      <c r="T12" s="217"/>
      <c r="U12" s="221"/>
      <c r="W12" s="515"/>
      <c r="X12" s="223"/>
    </row>
    <row r="13" spans="1:24" s="232" customFormat="1" ht="15" customHeight="1" x14ac:dyDescent="0.2">
      <c r="A13" s="156" t="s">
        <v>126</v>
      </c>
      <c r="B13" s="296">
        <v>3</v>
      </c>
      <c r="C13" s="297">
        <v>0</v>
      </c>
      <c r="D13" s="296">
        <v>8</v>
      </c>
      <c r="E13" s="287">
        <v>2</v>
      </c>
      <c r="F13" s="298">
        <v>7</v>
      </c>
      <c r="G13" s="287">
        <v>2</v>
      </c>
      <c r="H13" s="298">
        <v>9</v>
      </c>
      <c r="I13" s="287">
        <v>2</v>
      </c>
      <c r="J13" s="298">
        <v>7</v>
      </c>
      <c r="K13" s="287">
        <v>3</v>
      </c>
      <c r="L13" s="298">
        <v>8</v>
      </c>
      <c r="M13" s="287">
        <v>4</v>
      </c>
      <c r="N13" s="298">
        <v>5</v>
      </c>
      <c r="O13" s="287">
        <v>2</v>
      </c>
      <c r="P13" s="298">
        <v>10</v>
      </c>
      <c r="Q13" s="287">
        <v>0</v>
      </c>
      <c r="R13" s="298">
        <v>11</v>
      </c>
      <c r="S13" s="287">
        <v>4</v>
      </c>
      <c r="T13" s="298">
        <v>10</v>
      </c>
      <c r="U13" s="1249"/>
      <c r="W13" s="515">
        <f>AVERAGE(N13,L13,R13,T13,P13)</f>
        <v>8.8000000000000007</v>
      </c>
      <c r="X13" s="233">
        <f>AVERAGE(O13,M13,S13,K13,Q13)</f>
        <v>2.6</v>
      </c>
    </row>
    <row r="14" spans="1:24" s="232" customFormat="1" ht="15" customHeight="1" x14ac:dyDescent="0.2">
      <c r="A14" s="156" t="s">
        <v>88</v>
      </c>
      <c r="B14" s="296">
        <v>9</v>
      </c>
      <c r="C14" s="297">
        <v>3</v>
      </c>
      <c r="D14" s="296">
        <v>11</v>
      </c>
      <c r="E14" s="287">
        <v>1</v>
      </c>
      <c r="F14" s="298">
        <v>16</v>
      </c>
      <c r="G14" s="287">
        <v>3</v>
      </c>
      <c r="H14" s="298">
        <v>10</v>
      </c>
      <c r="I14" s="287">
        <v>5</v>
      </c>
      <c r="J14" s="298">
        <v>11</v>
      </c>
      <c r="K14" s="287">
        <v>5</v>
      </c>
      <c r="L14" s="298">
        <v>12</v>
      </c>
      <c r="M14" s="287">
        <v>0</v>
      </c>
      <c r="N14" s="298">
        <v>12</v>
      </c>
      <c r="O14" s="287">
        <v>6</v>
      </c>
      <c r="P14" s="298">
        <v>10</v>
      </c>
      <c r="Q14" s="287">
        <v>2</v>
      </c>
      <c r="R14" s="298">
        <v>7</v>
      </c>
      <c r="S14" s="287">
        <v>6</v>
      </c>
      <c r="T14" s="298">
        <v>5</v>
      </c>
      <c r="U14" s="1249"/>
      <c r="W14" s="515">
        <f t="shared" ref="W14:W16" si="0">AVERAGE(N14,L14,R14,T14,P14)</f>
        <v>9.1999999999999993</v>
      </c>
      <c r="X14" s="233">
        <f t="shared" ref="X14:X16" si="1">AVERAGE(O14,M14,S14,K14,Q14)</f>
        <v>3.8</v>
      </c>
    </row>
    <row r="15" spans="1:24" s="33" customFormat="1" ht="15" customHeight="1" x14ac:dyDescent="0.2">
      <c r="A15" s="314" t="s">
        <v>131</v>
      </c>
      <c r="B15" s="315">
        <v>20</v>
      </c>
      <c r="C15" s="318">
        <v>4</v>
      </c>
      <c r="D15" s="315">
        <v>17</v>
      </c>
      <c r="E15" s="316">
        <v>3</v>
      </c>
      <c r="F15" s="317">
        <v>16</v>
      </c>
      <c r="G15" s="316">
        <v>3</v>
      </c>
      <c r="H15" s="317">
        <v>18</v>
      </c>
      <c r="I15" s="316">
        <v>3</v>
      </c>
      <c r="J15" s="317">
        <v>15</v>
      </c>
      <c r="K15" s="316">
        <v>7</v>
      </c>
      <c r="L15" s="317">
        <v>19</v>
      </c>
      <c r="M15" s="316">
        <v>2</v>
      </c>
      <c r="N15" s="317">
        <v>23</v>
      </c>
      <c r="O15" s="316">
        <v>1</v>
      </c>
      <c r="P15" s="317">
        <v>25</v>
      </c>
      <c r="Q15" s="316">
        <v>2</v>
      </c>
      <c r="R15" s="317">
        <v>27</v>
      </c>
      <c r="S15" s="316">
        <v>5</v>
      </c>
      <c r="T15" s="317">
        <v>22</v>
      </c>
      <c r="U15" s="1250"/>
      <c r="W15" s="515">
        <f t="shared" si="0"/>
        <v>23.2</v>
      </c>
      <c r="X15" s="233">
        <f t="shared" si="1"/>
        <v>3.4</v>
      </c>
    </row>
    <row r="16" spans="1:24" s="33" customFormat="1" ht="15" customHeight="1" thickBot="1" x14ac:dyDescent="0.25">
      <c r="A16" s="137" t="s">
        <v>156</v>
      </c>
      <c r="B16" s="268">
        <v>0</v>
      </c>
      <c r="C16" s="269">
        <v>0</v>
      </c>
      <c r="D16" s="268">
        <v>0</v>
      </c>
      <c r="E16" s="270">
        <v>1</v>
      </c>
      <c r="F16" s="271">
        <v>0</v>
      </c>
      <c r="G16" s="270">
        <v>0</v>
      </c>
      <c r="H16" s="271">
        <v>0</v>
      </c>
      <c r="I16" s="270">
        <v>0</v>
      </c>
      <c r="J16" s="271">
        <v>0</v>
      </c>
      <c r="K16" s="270">
        <v>0</v>
      </c>
      <c r="L16" s="271">
        <v>0</v>
      </c>
      <c r="M16" s="270">
        <v>1</v>
      </c>
      <c r="N16" s="271">
        <v>0</v>
      </c>
      <c r="O16" s="270">
        <v>0</v>
      </c>
      <c r="P16" s="271">
        <v>0</v>
      </c>
      <c r="Q16" s="270">
        <v>0</v>
      </c>
      <c r="R16" s="271">
        <v>0</v>
      </c>
      <c r="S16" s="270">
        <v>0</v>
      </c>
      <c r="T16" s="271">
        <v>0</v>
      </c>
      <c r="U16" s="1251"/>
      <c r="W16" s="1270">
        <f t="shared" si="0"/>
        <v>0</v>
      </c>
      <c r="X16" s="480">
        <f t="shared" si="1"/>
        <v>0.2</v>
      </c>
    </row>
    <row r="17" spans="1:27" ht="18" customHeight="1" thickTop="1" thickBot="1" x14ac:dyDescent="0.25">
      <c r="A17" s="390" t="s">
        <v>92</v>
      </c>
      <c r="B17" s="1322"/>
      <c r="C17" s="1323"/>
      <c r="D17" s="1322"/>
      <c r="E17" s="1323"/>
      <c r="F17" s="1322"/>
      <c r="G17" s="1323"/>
      <c r="H17" s="1322"/>
      <c r="I17" s="1323"/>
      <c r="J17" s="1322"/>
      <c r="K17" s="1323"/>
      <c r="L17" s="1322"/>
      <c r="M17" s="1323"/>
      <c r="N17" s="1322"/>
      <c r="O17" s="1323"/>
      <c r="P17" s="1322"/>
      <c r="Q17" s="1323"/>
      <c r="R17" s="1322"/>
      <c r="S17" s="1323"/>
      <c r="T17" s="1322"/>
      <c r="U17" s="1299"/>
      <c r="V17" s="372"/>
      <c r="W17" s="1298"/>
      <c r="X17" s="1299"/>
    </row>
    <row r="18" spans="1:27" ht="15" customHeight="1" thickBot="1" x14ac:dyDescent="0.25">
      <c r="A18" s="631" t="s">
        <v>96</v>
      </c>
      <c r="B18" s="396"/>
      <c r="C18" s="397"/>
      <c r="D18" s="396"/>
      <c r="E18" s="397"/>
      <c r="F18" s="396"/>
      <c r="G18" s="397"/>
      <c r="H18" s="396"/>
      <c r="I18" s="397"/>
      <c r="J18" s="396"/>
      <c r="K18" s="397"/>
      <c r="L18" s="396"/>
      <c r="M18" s="397"/>
      <c r="N18" s="396"/>
      <c r="O18" s="397"/>
      <c r="P18" s="396"/>
      <c r="Q18" s="397"/>
      <c r="R18" s="396"/>
      <c r="S18" s="397"/>
      <c r="T18" s="396"/>
      <c r="U18" s="398"/>
      <c r="V18" s="372"/>
      <c r="W18" s="1271"/>
      <c r="X18" s="496"/>
    </row>
    <row r="19" spans="1:27" ht="18" customHeight="1" thickTop="1" thickBot="1" x14ac:dyDescent="0.25">
      <c r="A19" s="39" t="s">
        <v>17</v>
      </c>
      <c r="B19" s="1307"/>
      <c r="C19" s="1308"/>
      <c r="D19" s="1307"/>
      <c r="E19" s="1308"/>
      <c r="F19" s="1307"/>
      <c r="G19" s="1308"/>
      <c r="H19" s="1307"/>
      <c r="I19" s="1308"/>
      <c r="J19" s="1307"/>
      <c r="K19" s="1308"/>
      <c r="L19" s="1307"/>
      <c r="M19" s="1308"/>
      <c r="N19" s="1307"/>
      <c r="O19" s="1308"/>
      <c r="P19" s="1307"/>
      <c r="Q19" s="1308"/>
      <c r="R19" s="1307"/>
      <c r="S19" s="1308"/>
      <c r="T19" s="1307"/>
      <c r="U19" s="1310"/>
      <c r="W19" s="1302"/>
      <c r="X19" s="1303"/>
    </row>
    <row r="20" spans="1:27" ht="15" customHeight="1" x14ac:dyDescent="0.2">
      <c r="A20" s="680" t="s">
        <v>18</v>
      </c>
      <c r="B20" s="16"/>
      <c r="C20" s="18">
        <v>0</v>
      </c>
      <c r="D20" s="15"/>
      <c r="E20" s="17">
        <v>0</v>
      </c>
      <c r="F20" s="16"/>
      <c r="G20" s="17">
        <v>0</v>
      </c>
      <c r="H20" s="16"/>
      <c r="I20" s="17">
        <v>0</v>
      </c>
      <c r="J20" s="16"/>
      <c r="K20" s="17">
        <v>0</v>
      </c>
      <c r="L20" s="16"/>
      <c r="M20" s="17">
        <v>0</v>
      </c>
      <c r="N20" s="16"/>
      <c r="O20" s="17">
        <v>0</v>
      </c>
      <c r="P20" s="16"/>
      <c r="Q20" s="17">
        <v>0</v>
      </c>
      <c r="R20" s="16"/>
      <c r="S20" s="17">
        <v>0</v>
      </c>
      <c r="T20" s="16"/>
      <c r="U20" s="19">
        <v>0</v>
      </c>
      <c r="W20" s="20"/>
      <c r="X20" s="21">
        <f>AVERAGE(O20,M20,S20,K20,Q20)</f>
        <v>0</v>
      </c>
    </row>
    <row r="21" spans="1:27" ht="15" customHeight="1" x14ac:dyDescent="0.2">
      <c r="A21" s="680" t="s">
        <v>19</v>
      </c>
      <c r="B21" s="16"/>
      <c r="C21" s="18">
        <v>646</v>
      </c>
      <c r="D21" s="15"/>
      <c r="E21" s="17">
        <v>537</v>
      </c>
      <c r="F21" s="16"/>
      <c r="G21" s="17">
        <v>572</v>
      </c>
      <c r="H21" s="16"/>
      <c r="I21" s="17">
        <v>611</v>
      </c>
      <c r="J21" s="16"/>
      <c r="K21" s="17">
        <v>710</v>
      </c>
      <c r="L21" s="16"/>
      <c r="M21" s="17">
        <v>618</v>
      </c>
      <c r="N21" s="16"/>
      <c r="O21" s="17">
        <v>780</v>
      </c>
      <c r="P21" s="16"/>
      <c r="Q21" s="17">
        <v>693</v>
      </c>
      <c r="R21" s="16"/>
      <c r="S21" s="17">
        <v>736</v>
      </c>
      <c r="T21" s="16"/>
      <c r="U21" s="19">
        <v>928</v>
      </c>
      <c r="W21" s="22"/>
      <c r="X21" s="21">
        <f>AVERAGE(O21,M21,S21,K21,Q21)</f>
        <v>707.4</v>
      </c>
    </row>
    <row r="22" spans="1:27" ht="15" customHeight="1" x14ac:dyDescent="0.2">
      <c r="A22" s="680" t="s">
        <v>20</v>
      </c>
      <c r="B22" s="16"/>
      <c r="C22" s="18">
        <v>198</v>
      </c>
      <c r="D22" s="15"/>
      <c r="E22" s="17">
        <v>216</v>
      </c>
      <c r="F22" s="16"/>
      <c r="G22" s="17">
        <v>217</v>
      </c>
      <c r="H22" s="16"/>
      <c r="I22" s="17">
        <v>225</v>
      </c>
      <c r="J22" s="16"/>
      <c r="K22" s="17">
        <v>239</v>
      </c>
      <c r="L22" s="16"/>
      <c r="M22" s="17">
        <v>286</v>
      </c>
      <c r="N22" s="16"/>
      <c r="O22" s="17">
        <v>253</v>
      </c>
      <c r="P22" s="16"/>
      <c r="Q22" s="17">
        <v>296</v>
      </c>
      <c r="R22" s="16"/>
      <c r="S22" s="17">
        <v>144</v>
      </c>
      <c r="T22" s="16"/>
      <c r="U22" s="19">
        <v>205</v>
      </c>
      <c r="W22" s="22"/>
      <c r="X22" s="21">
        <f t="shared" ref="X22:X24" si="2">AVERAGE(O22,M22,S22,K22,Q22)</f>
        <v>243.6</v>
      </c>
    </row>
    <row r="23" spans="1:27" ht="15" customHeight="1" thickBot="1" x14ac:dyDescent="0.25">
      <c r="A23" s="1216" t="s">
        <v>21</v>
      </c>
      <c r="B23" s="44"/>
      <c r="C23" s="251">
        <v>200</v>
      </c>
      <c r="D23" s="15"/>
      <c r="E23" s="249">
        <v>177</v>
      </c>
      <c r="F23" s="16"/>
      <c r="G23" s="249">
        <v>242</v>
      </c>
      <c r="H23" s="16"/>
      <c r="I23" s="249">
        <v>242</v>
      </c>
      <c r="J23" s="16"/>
      <c r="K23" s="249">
        <v>155</v>
      </c>
      <c r="L23" s="16"/>
      <c r="M23" s="249">
        <v>163</v>
      </c>
      <c r="N23" s="16"/>
      <c r="O23" s="249">
        <v>243</v>
      </c>
      <c r="P23" s="16"/>
      <c r="Q23" s="249">
        <v>301</v>
      </c>
      <c r="R23" s="16"/>
      <c r="S23" s="249">
        <v>322</v>
      </c>
      <c r="T23" s="44"/>
      <c r="U23" s="46">
        <v>176</v>
      </c>
      <c r="W23" s="250"/>
      <c r="X23" s="203">
        <f t="shared" si="2"/>
        <v>236.8</v>
      </c>
    </row>
    <row r="24" spans="1:27" ht="15" customHeight="1" thickBot="1" x14ac:dyDescent="0.25">
      <c r="A24" s="1215" t="s">
        <v>22</v>
      </c>
      <c r="B24" s="49"/>
      <c r="C24" s="50">
        <f>SUM(C20:C23)</f>
        <v>1044</v>
      </c>
      <c r="D24" s="48"/>
      <c r="E24" s="47">
        <f>SUM(E20:E23)</f>
        <v>930</v>
      </c>
      <c r="F24" s="49"/>
      <c r="G24" s="47">
        <f>SUM(G20:G23)</f>
        <v>1031</v>
      </c>
      <c r="H24" s="49"/>
      <c r="I24" s="47">
        <f>SUM(I20:I23)</f>
        <v>1078</v>
      </c>
      <c r="J24" s="49"/>
      <c r="K24" s="47">
        <f>SUM(K20:K23)</f>
        <v>1104</v>
      </c>
      <c r="L24" s="49"/>
      <c r="M24" s="47">
        <f>SUM(M20:M23)</f>
        <v>1067</v>
      </c>
      <c r="N24" s="49"/>
      <c r="O24" s="47">
        <f>SUM(O20:O23)</f>
        <v>1276</v>
      </c>
      <c r="P24" s="49"/>
      <c r="Q24" s="47">
        <f>SUM(Q20:Q23)</f>
        <v>1290</v>
      </c>
      <c r="R24" s="49"/>
      <c r="S24" s="47">
        <f>SUM(S20:S23)</f>
        <v>1202</v>
      </c>
      <c r="T24" s="49"/>
      <c r="U24" s="51">
        <f>SUM(U20:U23)</f>
        <v>1309</v>
      </c>
      <c r="W24" s="475"/>
      <c r="X24" s="204">
        <f t="shared" si="2"/>
        <v>1187.8</v>
      </c>
      <c r="Z24" s="26" t="s">
        <v>16</v>
      </c>
    </row>
    <row r="25" spans="1:27" ht="15" customHeight="1" thickTop="1" thickBot="1" x14ac:dyDescent="0.25">
      <c r="A25" s="24"/>
      <c r="B25" s="36"/>
      <c r="C25" s="37"/>
      <c r="D25" s="36"/>
      <c r="E25" s="38"/>
      <c r="F25" s="36"/>
      <c r="G25" s="38"/>
      <c r="H25" s="36"/>
      <c r="I25" s="38"/>
      <c r="J25" s="36"/>
      <c r="K25" s="38"/>
      <c r="L25" s="36"/>
      <c r="M25" s="38"/>
      <c r="N25" s="36"/>
      <c r="O25" s="38"/>
      <c r="P25" s="36"/>
      <c r="Q25" s="38"/>
      <c r="R25" s="36"/>
      <c r="S25" s="38"/>
      <c r="T25" s="36"/>
      <c r="U25" s="38"/>
      <c r="V25" s="41"/>
      <c r="W25" s="40"/>
      <c r="X25" s="37"/>
    </row>
    <row r="26" spans="1:27" ht="18" customHeight="1" thickTop="1" thickBot="1" x14ac:dyDescent="0.25">
      <c r="A26" s="352" t="s">
        <v>23</v>
      </c>
      <c r="B26" s="1296" t="s">
        <v>24</v>
      </c>
      <c r="C26" s="1301"/>
      <c r="D26" s="1296" t="s">
        <v>25</v>
      </c>
      <c r="E26" s="1297"/>
      <c r="F26" s="1296" t="s">
        <v>26</v>
      </c>
      <c r="G26" s="1297"/>
      <c r="H26" s="1296" t="s">
        <v>27</v>
      </c>
      <c r="I26" s="1297"/>
      <c r="J26" s="1296" t="s">
        <v>28</v>
      </c>
      <c r="K26" s="1297"/>
      <c r="L26" s="1296" t="s">
        <v>29</v>
      </c>
      <c r="M26" s="1297"/>
      <c r="N26" s="1296" t="s">
        <v>30</v>
      </c>
      <c r="O26" s="1297"/>
      <c r="P26" s="1296" t="s">
        <v>31</v>
      </c>
      <c r="Q26" s="1297"/>
      <c r="R26" s="1296" t="s">
        <v>32</v>
      </c>
      <c r="S26" s="1297"/>
      <c r="T26" s="1296" t="s">
        <v>255</v>
      </c>
      <c r="U26" s="1300"/>
      <c r="V26" s="353"/>
      <c r="W26" s="1298" t="s">
        <v>9</v>
      </c>
      <c r="X26" s="1299"/>
      <c r="Y26" s="23"/>
      <c r="Z26" s="23"/>
      <c r="AA26" s="24"/>
    </row>
    <row r="27" spans="1:27" ht="15" customHeight="1" x14ac:dyDescent="0.2">
      <c r="A27" s="937" t="s">
        <v>221</v>
      </c>
      <c r="B27" s="355"/>
      <c r="C27" s="356">
        <v>0</v>
      </c>
      <c r="D27" s="357"/>
      <c r="E27" s="358">
        <v>0</v>
      </c>
      <c r="F27" s="359"/>
      <c r="G27" s="358">
        <v>0</v>
      </c>
      <c r="H27" s="359"/>
      <c r="I27" s="358">
        <v>0</v>
      </c>
      <c r="J27" s="359"/>
      <c r="K27" s="358">
        <v>0</v>
      </c>
      <c r="L27" s="359"/>
      <c r="M27" s="358">
        <v>0</v>
      </c>
      <c r="N27" s="359"/>
      <c r="O27" s="358">
        <v>0</v>
      </c>
      <c r="P27" s="359"/>
      <c r="Q27" s="358">
        <v>0</v>
      </c>
      <c r="R27" s="359"/>
      <c r="S27" s="358">
        <v>0</v>
      </c>
      <c r="T27" s="359"/>
      <c r="U27" s="360">
        <v>0</v>
      </c>
      <c r="V27" s="361"/>
      <c r="W27" s="362"/>
      <c r="X27" s="363">
        <f>AVERAGE(O27,M27,S27,U27,Q27)</f>
        <v>0</v>
      </c>
      <c r="Y27" s="23"/>
      <c r="Z27" s="23"/>
      <c r="AA27" s="24"/>
    </row>
    <row r="28" spans="1:27" ht="15" customHeight="1" x14ac:dyDescent="0.2">
      <c r="A28" s="938" t="s">
        <v>222</v>
      </c>
      <c r="B28" s="365"/>
      <c r="C28" s="366">
        <v>0.20899999999999999</v>
      </c>
      <c r="D28" s="365"/>
      <c r="E28" s="366">
        <v>0.27600000000000002</v>
      </c>
      <c r="F28" s="367"/>
      <c r="G28" s="366">
        <v>0.29799999999999999</v>
      </c>
      <c r="H28" s="367"/>
      <c r="I28" s="366">
        <v>0.245</v>
      </c>
      <c r="J28" s="367"/>
      <c r="K28" s="366">
        <v>0.17199999999999999</v>
      </c>
      <c r="L28" s="367"/>
      <c r="M28" s="366">
        <v>0.255</v>
      </c>
      <c r="N28" s="367"/>
      <c r="O28" s="366">
        <v>0.254</v>
      </c>
      <c r="P28" s="367"/>
      <c r="Q28" s="366">
        <v>0.24299999999999999</v>
      </c>
      <c r="R28" s="367"/>
      <c r="S28" s="366">
        <v>0.28000000000000003</v>
      </c>
      <c r="T28" s="367"/>
      <c r="U28" s="368">
        <v>0.157</v>
      </c>
      <c r="V28" s="361"/>
      <c r="W28" s="369"/>
      <c r="X28" s="370">
        <f>AVERAGE(O28,M28,S28,U28,Q28)</f>
        <v>0.23780000000000001</v>
      </c>
      <c r="Y28" s="23"/>
      <c r="Z28" s="23"/>
      <c r="AA28" s="24"/>
    </row>
    <row r="29" spans="1:27" ht="15" customHeight="1" thickBot="1" x14ac:dyDescent="0.25">
      <c r="A29" s="889" t="s">
        <v>217</v>
      </c>
      <c r="B29" s="1320">
        <f>1-C27-C28</f>
        <v>0.79100000000000004</v>
      </c>
      <c r="C29" s="1321"/>
      <c r="D29" s="1320">
        <f>1-E27-E28</f>
        <v>0.72399999999999998</v>
      </c>
      <c r="E29" s="1321"/>
      <c r="F29" s="1320">
        <f>1-G27-G28</f>
        <v>0.70199999999999996</v>
      </c>
      <c r="G29" s="1321"/>
      <c r="H29" s="1320">
        <f>1-I27-I28</f>
        <v>0.755</v>
      </c>
      <c r="I29" s="1321"/>
      <c r="J29" s="1320">
        <f>1-K27-K28</f>
        <v>0.82800000000000007</v>
      </c>
      <c r="K29" s="1321"/>
      <c r="L29" s="1320">
        <f>1-M27-M28</f>
        <v>0.745</v>
      </c>
      <c r="M29" s="1321"/>
      <c r="N29" s="1320">
        <f>1-O27-O28</f>
        <v>0.746</v>
      </c>
      <c r="O29" s="1321"/>
      <c r="P29" s="1320">
        <f>1-Q27-Q28</f>
        <v>0.75700000000000001</v>
      </c>
      <c r="Q29" s="1321"/>
      <c r="R29" s="1320">
        <f>1-S27-S28</f>
        <v>0.72</v>
      </c>
      <c r="S29" s="1321"/>
      <c r="T29" s="1320">
        <f>1-U27-U28</f>
        <v>0.84299999999999997</v>
      </c>
      <c r="U29" s="1324"/>
      <c r="V29" s="361"/>
      <c r="W29" s="1325">
        <f>1-X27-X28</f>
        <v>0.76219999999999999</v>
      </c>
      <c r="X29" s="1324"/>
      <c r="Y29" s="25"/>
      <c r="Z29" s="23"/>
      <c r="AA29" s="24"/>
    </row>
    <row r="30" spans="1:27" s="2" customFormat="1" ht="18" customHeight="1" thickTop="1" thickBot="1" x14ac:dyDescent="0.25">
      <c r="A30" s="319" t="s">
        <v>37</v>
      </c>
      <c r="B30" s="373" t="s">
        <v>36</v>
      </c>
      <c r="C30" s="374" t="s">
        <v>38</v>
      </c>
      <c r="D30" s="373" t="s">
        <v>36</v>
      </c>
      <c r="E30" s="374" t="s">
        <v>38</v>
      </c>
      <c r="F30" s="373" t="s">
        <v>36</v>
      </c>
      <c r="G30" s="374" t="s">
        <v>38</v>
      </c>
      <c r="H30" s="373" t="s">
        <v>36</v>
      </c>
      <c r="I30" s="374" t="s">
        <v>38</v>
      </c>
      <c r="J30" s="373" t="s">
        <v>36</v>
      </c>
      <c r="K30" s="374" t="s">
        <v>38</v>
      </c>
      <c r="L30" s="373" t="s">
        <v>36</v>
      </c>
      <c r="M30" s="374" t="s">
        <v>38</v>
      </c>
      <c r="N30" s="373" t="s">
        <v>36</v>
      </c>
      <c r="O30" s="374" t="s">
        <v>38</v>
      </c>
      <c r="P30" s="373" t="s">
        <v>36</v>
      </c>
      <c r="Q30" s="374" t="s">
        <v>38</v>
      </c>
      <c r="R30" s="373" t="s">
        <v>36</v>
      </c>
      <c r="S30" s="374" t="s">
        <v>38</v>
      </c>
      <c r="T30" s="373" t="s">
        <v>36</v>
      </c>
      <c r="U30" s="375" t="s">
        <v>38</v>
      </c>
      <c r="V30" s="376"/>
      <c r="W30" s="373" t="s">
        <v>36</v>
      </c>
      <c r="X30" s="375" t="s">
        <v>38</v>
      </c>
    </row>
    <row r="31" spans="1:27" ht="15" customHeight="1" x14ac:dyDescent="0.2">
      <c r="A31" s="737" t="s">
        <v>90</v>
      </c>
      <c r="B31" s="379"/>
      <c r="C31" s="380">
        <f>B31/B14</f>
        <v>0</v>
      </c>
      <c r="D31" s="379"/>
      <c r="E31" s="380">
        <f>D31/D14</f>
        <v>0</v>
      </c>
      <c r="F31" s="379"/>
      <c r="G31" s="380">
        <f>F31/F14</f>
        <v>0</v>
      </c>
      <c r="H31" s="379">
        <v>10</v>
      </c>
      <c r="I31" s="380">
        <f>H31/H14</f>
        <v>1</v>
      </c>
      <c r="J31" s="379">
        <v>7</v>
      </c>
      <c r="K31" s="134">
        <f>J31/J14</f>
        <v>0.63636363636363635</v>
      </c>
      <c r="L31" s="379">
        <v>8</v>
      </c>
      <c r="M31" s="380">
        <f>L31/L14</f>
        <v>0.66666666666666663</v>
      </c>
      <c r="N31" s="379">
        <v>9</v>
      </c>
      <c r="O31" s="380">
        <f>N31/N14</f>
        <v>0.75</v>
      </c>
      <c r="P31" s="379">
        <v>9</v>
      </c>
      <c r="Q31" s="380">
        <f>P31/P14</f>
        <v>0.9</v>
      </c>
      <c r="R31" s="379">
        <v>5</v>
      </c>
      <c r="S31" s="380">
        <f>R31/R14</f>
        <v>0.7142857142857143</v>
      </c>
      <c r="T31" s="379">
        <v>3</v>
      </c>
      <c r="U31" s="380">
        <f>T31/T14</f>
        <v>0.6</v>
      </c>
      <c r="V31" s="372"/>
      <c r="W31" s="382">
        <f>AVERAGE(N31,L31,R31,T31,P31)</f>
        <v>6.8</v>
      </c>
      <c r="X31" s="407">
        <f>W31/W14</f>
        <v>0.73913043478260876</v>
      </c>
    </row>
    <row r="32" spans="1:27" ht="15" customHeight="1" thickBot="1" x14ac:dyDescent="0.25">
      <c r="A32" s="631" t="s">
        <v>91</v>
      </c>
      <c r="B32" s="384"/>
      <c r="C32" s="385">
        <f>B32/B15</f>
        <v>0</v>
      </c>
      <c r="D32" s="384"/>
      <c r="E32" s="385">
        <f>D32/D15</f>
        <v>0</v>
      </c>
      <c r="F32" s="384"/>
      <c r="G32" s="385">
        <f>F32/F15</f>
        <v>0</v>
      </c>
      <c r="H32" s="384">
        <v>12</v>
      </c>
      <c r="I32" s="385">
        <f>H32/H15</f>
        <v>0.66666666666666663</v>
      </c>
      <c r="J32" s="384">
        <v>10</v>
      </c>
      <c r="K32" s="385">
        <f>J32/J15</f>
        <v>0.66666666666666663</v>
      </c>
      <c r="L32" s="384">
        <v>13</v>
      </c>
      <c r="M32" s="385">
        <f>L32/L15</f>
        <v>0.68421052631578949</v>
      </c>
      <c r="N32" s="384">
        <v>14</v>
      </c>
      <c r="O32" s="385">
        <f>N32/N15</f>
        <v>0.60869565217391308</v>
      </c>
      <c r="P32" s="384">
        <v>20</v>
      </c>
      <c r="Q32" s="385">
        <f>P32/P15</f>
        <v>0.8</v>
      </c>
      <c r="R32" s="384">
        <v>22</v>
      </c>
      <c r="S32" s="385">
        <f>R32/R15</f>
        <v>0.81481481481481477</v>
      </c>
      <c r="T32" s="384">
        <v>17</v>
      </c>
      <c r="U32" s="385">
        <f>T32/T15</f>
        <v>0.77272727272727271</v>
      </c>
      <c r="V32" s="372"/>
      <c r="W32" s="387">
        <f>AVERAGE(N32,L32,R32,T32,P32)</f>
        <v>17.2</v>
      </c>
      <c r="X32" s="386">
        <f>W32/W15</f>
        <v>0.74137931034482762</v>
      </c>
    </row>
    <row r="33" spans="1:27" ht="15" customHeight="1" thickTop="1" x14ac:dyDescent="0.2">
      <c r="A33" s="8"/>
      <c r="B33" s="10"/>
      <c r="C33" s="11"/>
      <c r="D33" s="10"/>
      <c r="E33" s="11"/>
      <c r="F33" s="10"/>
      <c r="G33" s="11"/>
      <c r="H33" s="10"/>
      <c r="I33" s="11"/>
      <c r="J33" s="10"/>
      <c r="K33" s="11"/>
      <c r="L33" s="10"/>
      <c r="M33" s="11"/>
      <c r="N33" s="10"/>
      <c r="O33" s="11"/>
      <c r="P33" s="10"/>
      <c r="Q33" s="11"/>
      <c r="R33" s="10"/>
      <c r="S33" s="11"/>
      <c r="T33" s="10"/>
      <c r="U33" s="11"/>
      <c r="W33" s="12"/>
      <c r="X33" s="13"/>
    </row>
    <row r="34" spans="1:27" s="41" customFormat="1" ht="15" customHeight="1" thickBot="1" x14ac:dyDescent="0.25">
      <c r="A34" s="552"/>
      <c r="B34" s="553"/>
      <c r="C34" s="553"/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3"/>
      <c r="P34" s="553"/>
      <c r="Q34" s="553"/>
      <c r="R34" s="553"/>
      <c r="S34" s="553"/>
      <c r="T34" s="553"/>
      <c r="U34" s="553"/>
      <c r="V34" s="554"/>
      <c r="W34" s="553"/>
      <c r="X34" s="553"/>
      <c r="Y34" s="23"/>
      <c r="Z34" s="23"/>
      <c r="AA34" s="24"/>
    </row>
    <row r="35" spans="1:27" s="1" customFormat="1" ht="18.75" customHeight="1" thickTop="1" thickBot="1" x14ac:dyDescent="0.25">
      <c r="A35" s="943" t="s">
        <v>207</v>
      </c>
      <c r="B35" s="1328" t="s">
        <v>24</v>
      </c>
      <c r="C35" s="1330"/>
      <c r="D35" s="1328" t="s">
        <v>25</v>
      </c>
      <c r="E35" s="1329"/>
      <c r="F35" s="1328" t="s">
        <v>26</v>
      </c>
      <c r="G35" s="1329"/>
      <c r="H35" s="1328" t="s">
        <v>27</v>
      </c>
      <c r="I35" s="1329"/>
      <c r="J35" s="1328" t="s">
        <v>28</v>
      </c>
      <c r="K35" s="1329"/>
      <c r="L35" s="1328" t="s">
        <v>29</v>
      </c>
      <c r="M35" s="1329"/>
      <c r="N35" s="1328" t="s">
        <v>30</v>
      </c>
      <c r="O35" s="1329"/>
      <c r="P35" s="1328" t="s">
        <v>31</v>
      </c>
      <c r="Q35" s="1329"/>
      <c r="R35" s="1328" t="s">
        <v>32</v>
      </c>
      <c r="S35" s="1329"/>
      <c r="T35" s="1328" t="s">
        <v>255</v>
      </c>
      <c r="U35" s="1331"/>
      <c r="V35" s="320"/>
      <c r="W35" s="1298" t="s">
        <v>9</v>
      </c>
      <c r="X35" s="1299"/>
    </row>
    <row r="36" spans="1:27" s="1" customFormat="1" ht="24" x14ac:dyDescent="0.2">
      <c r="A36" s="612" t="s">
        <v>219</v>
      </c>
      <c r="B36" s="699"/>
      <c r="C36" s="508"/>
      <c r="D36" s="699"/>
      <c r="E36" s="700"/>
      <c r="F36" s="699"/>
      <c r="G36" s="700"/>
      <c r="H36" s="699"/>
      <c r="I36" s="700"/>
      <c r="J36" s="699"/>
      <c r="K36" s="700"/>
      <c r="L36" s="699"/>
      <c r="M36" s="700"/>
      <c r="N36" s="699"/>
      <c r="O36" s="700"/>
      <c r="P36" s="699"/>
      <c r="Q36" s="700"/>
      <c r="R36" s="699"/>
      <c r="S36" s="700"/>
      <c r="T36" s="701"/>
      <c r="U36" s="702"/>
      <c r="V36" s="320"/>
      <c r="W36" s="940"/>
      <c r="X36" s="941"/>
    </row>
    <row r="37" spans="1:27" s="1" customFormat="1" ht="24" x14ac:dyDescent="0.2">
      <c r="A37" s="685" t="s">
        <v>195</v>
      </c>
      <c r="B37" s="367"/>
      <c r="C37" s="550">
        <v>2</v>
      </c>
      <c r="D37" s="367"/>
      <c r="E37" s="550">
        <v>2</v>
      </c>
      <c r="F37" s="367"/>
      <c r="G37" s="550">
        <v>2</v>
      </c>
      <c r="H37" s="367"/>
      <c r="I37" s="550">
        <v>1</v>
      </c>
      <c r="J37" s="367"/>
      <c r="K37" s="550">
        <v>2</v>
      </c>
      <c r="L37" s="367"/>
      <c r="M37" s="550">
        <v>1</v>
      </c>
      <c r="N37" s="367"/>
      <c r="O37" s="550">
        <v>0</v>
      </c>
      <c r="P37" s="367"/>
      <c r="Q37" s="550">
        <v>0</v>
      </c>
      <c r="R37" s="367"/>
      <c r="S37" s="550">
        <v>0</v>
      </c>
      <c r="T37" s="551"/>
      <c r="U37" s="441">
        <v>0</v>
      </c>
      <c r="V37" s="320"/>
      <c r="W37" s="362"/>
      <c r="X37" s="421">
        <f>AVERAGE(O37,M37,S37,U37,Q37)</f>
        <v>0.2</v>
      </c>
    </row>
    <row r="38" spans="1:27" s="1" customFormat="1" ht="24" x14ac:dyDescent="0.2">
      <c r="A38" s="685" t="s">
        <v>197</v>
      </c>
      <c r="B38" s="551"/>
      <c r="C38" s="590">
        <v>2</v>
      </c>
      <c r="D38" s="551"/>
      <c r="E38" s="590">
        <v>2</v>
      </c>
      <c r="F38" s="551"/>
      <c r="G38" s="590">
        <v>2</v>
      </c>
      <c r="H38" s="551"/>
      <c r="I38" s="590">
        <v>1</v>
      </c>
      <c r="J38" s="551"/>
      <c r="K38" s="590">
        <v>2</v>
      </c>
      <c r="L38" s="551"/>
      <c r="M38" s="590">
        <v>1</v>
      </c>
      <c r="N38" s="551"/>
      <c r="O38" s="590">
        <v>0</v>
      </c>
      <c r="P38" s="551"/>
      <c r="Q38" s="590">
        <v>0</v>
      </c>
      <c r="R38" s="551"/>
      <c r="S38" s="590">
        <v>0</v>
      </c>
      <c r="T38" s="551"/>
      <c r="U38" s="441">
        <v>0</v>
      </c>
      <c r="V38" s="320"/>
      <c r="W38" s="953"/>
      <c r="X38" s="560">
        <f t="shared" ref="X38:X39" si="3">AVERAGE(O38,M38,S38,U38,Q38)</f>
        <v>0.2</v>
      </c>
    </row>
    <row r="39" spans="1:27" s="1" customFormat="1" ht="15" customHeight="1" thickBot="1" x14ac:dyDescent="0.25">
      <c r="A39" s="944" t="s">
        <v>196</v>
      </c>
      <c r="B39" s="992"/>
      <c r="C39" s="993">
        <v>2.5</v>
      </c>
      <c r="D39" s="992"/>
      <c r="E39" s="993">
        <f>1+1.6</f>
        <v>2.6</v>
      </c>
      <c r="F39" s="992"/>
      <c r="G39" s="993">
        <v>2.6</v>
      </c>
      <c r="H39" s="992"/>
      <c r="I39" s="993">
        <v>2.4</v>
      </c>
      <c r="J39" s="992"/>
      <c r="K39" s="993">
        <v>3.2</v>
      </c>
      <c r="L39" s="992"/>
      <c r="M39" s="993">
        <v>2.4</v>
      </c>
      <c r="N39" s="992"/>
      <c r="O39" s="993">
        <v>2.17</v>
      </c>
      <c r="P39" s="992"/>
      <c r="Q39" s="993">
        <v>2.4</v>
      </c>
      <c r="R39" s="992"/>
      <c r="S39" s="993">
        <v>2.5499999999999998</v>
      </c>
      <c r="T39" s="994"/>
      <c r="U39" s="562">
        <v>2.25</v>
      </c>
      <c r="V39" s="320"/>
      <c r="W39" s="954"/>
      <c r="X39" s="425">
        <f t="shared" si="3"/>
        <v>2.3540000000000001</v>
      </c>
    </row>
    <row r="40" spans="1:27" s="1" customFormat="1" ht="18" customHeight="1" thickBot="1" x14ac:dyDescent="0.25">
      <c r="A40" s="796" t="s">
        <v>231</v>
      </c>
      <c r="B40" s="1009" t="s">
        <v>89</v>
      </c>
      <c r="C40" s="1010" t="s">
        <v>97</v>
      </c>
      <c r="D40" s="1009" t="s">
        <v>89</v>
      </c>
      <c r="E40" s="1010" t="s">
        <v>97</v>
      </c>
      <c r="F40" s="1009" t="s">
        <v>89</v>
      </c>
      <c r="G40" s="1010" t="s">
        <v>97</v>
      </c>
      <c r="H40" s="1009" t="s">
        <v>89</v>
      </c>
      <c r="I40" s="1010" t="s">
        <v>97</v>
      </c>
      <c r="J40" s="1009" t="s">
        <v>89</v>
      </c>
      <c r="K40" s="1010" t="s">
        <v>97</v>
      </c>
      <c r="L40" s="1009" t="s">
        <v>89</v>
      </c>
      <c r="M40" s="1010" t="s">
        <v>97</v>
      </c>
      <c r="N40" s="1009" t="s">
        <v>89</v>
      </c>
      <c r="O40" s="1010" t="s">
        <v>97</v>
      </c>
      <c r="P40" s="1009" t="s">
        <v>89</v>
      </c>
      <c r="Q40" s="1010" t="s">
        <v>97</v>
      </c>
      <c r="R40" s="1009" t="s">
        <v>89</v>
      </c>
      <c r="S40" s="1010" t="s">
        <v>97</v>
      </c>
      <c r="T40" s="1009" t="s">
        <v>89</v>
      </c>
      <c r="U40" s="1023" t="s">
        <v>97</v>
      </c>
      <c r="W40" s="946" t="s">
        <v>89</v>
      </c>
      <c r="X40" s="780" t="s">
        <v>97</v>
      </c>
    </row>
    <row r="41" spans="1:27" s="1" customFormat="1" ht="15" customHeight="1" x14ac:dyDescent="0.2">
      <c r="A41" s="1004" t="s">
        <v>98</v>
      </c>
      <c r="B41" s="263"/>
      <c r="C41" s="1011"/>
      <c r="D41" s="260"/>
      <c r="E41" s="1016"/>
      <c r="F41" s="263"/>
      <c r="G41" s="1016"/>
      <c r="H41" s="263"/>
      <c r="I41" s="1016"/>
      <c r="J41" s="263"/>
      <c r="K41" s="1016"/>
      <c r="L41" s="263"/>
      <c r="M41" s="1016"/>
      <c r="N41" s="263"/>
      <c r="O41" s="1016"/>
      <c r="P41" s="263"/>
      <c r="Q41" s="1016"/>
      <c r="R41" s="263"/>
      <c r="S41" s="1016"/>
      <c r="T41" s="263"/>
      <c r="U41" s="1024"/>
      <c r="W41" s="1029"/>
      <c r="X41" s="1030"/>
    </row>
    <row r="42" spans="1:27" s="1" customFormat="1" ht="15" customHeight="1" x14ac:dyDescent="0.2">
      <c r="A42" s="1006" t="s">
        <v>99</v>
      </c>
      <c r="B42" s="280"/>
      <c r="C42" s="1017">
        <v>2</v>
      </c>
      <c r="D42" s="280"/>
      <c r="E42" s="1017">
        <v>2</v>
      </c>
      <c r="F42" s="280"/>
      <c r="G42" s="1017">
        <v>1</v>
      </c>
      <c r="H42" s="280"/>
      <c r="I42" s="1017">
        <v>1</v>
      </c>
      <c r="J42" s="1021">
        <v>2</v>
      </c>
      <c r="K42" s="1017">
        <v>2</v>
      </c>
      <c r="L42" s="1021">
        <v>1</v>
      </c>
      <c r="M42" s="1017">
        <v>1</v>
      </c>
      <c r="N42" s="1021">
        <v>0</v>
      </c>
      <c r="O42" s="1017">
        <v>0</v>
      </c>
      <c r="P42" s="1021">
        <v>0</v>
      </c>
      <c r="Q42" s="1017">
        <v>0</v>
      </c>
      <c r="R42" s="1021">
        <v>0</v>
      </c>
      <c r="S42" s="1017">
        <v>0</v>
      </c>
      <c r="T42" s="1021">
        <v>0</v>
      </c>
      <c r="U42" s="1025">
        <v>0</v>
      </c>
      <c r="W42" s="951">
        <f>AVERAGE(T42,L42,N42,P42,R42)</f>
        <v>0.2</v>
      </c>
      <c r="X42" s="1031">
        <f t="shared" ref="X42:X47" si="4">AVERAGE(O42,M42,S42,U42,Q42)</f>
        <v>0.2</v>
      </c>
    </row>
    <row r="43" spans="1:27" s="1" customFormat="1" ht="15" customHeight="1" x14ac:dyDescent="0.2">
      <c r="A43" s="1006" t="s">
        <v>100</v>
      </c>
      <c r="B43" s="280"/>
      <c r="C43" s="1017">
        <v>0</v>
      </c>
      <c r="D43" s="280"/>
      <c r="E43" s="1017">
        <v>0</v>
      </c>
      <c r="F43" s="280"/>
      <c r="G43" s="1017">
        <v>0</v>
      </c>
      <c r="H43" s="280"/>
      <c r="I43" s="1017">
        <v>0</v>
      </c>
      <c r="J43" s="1021">
        <v>0</v>
      </c>
      <c r="K43" s="1017">
        <v>0</v>
      </c>
      <c r="L43" s="1021">
        <v>0</v>
      </c>
      <c r="M43" s="1017">
        <v>0</v>
      </c>
      <c r="N43" s="1021">
        <v>0</v>
      </c>
      <c r="O43" s="1017">
        <v>0</v>
      </c>
      <c r="P43" s="1021">
        <v>0</v>
      </c>
      <c r="Q43" s="1017">
        <v>0</v>
      </c>
      <c r="R43" s="1021">
        <v>0</v>
      </c>
      <c r="S43" s="1017">
        <v>0</v>
      </c>
      <c r="T43" s="1021">
        <v>0.3</v>
      </c>
      <c r="U43" s="1025">
        <v>1</v>
      </c>
      <c r="W43" s="951">
        <f t="shared" ref="W43:W47" si="5">AVERAGE(T43,L43,N43,P43,R43)</f>
        <v>0.06</v>
      </c>
      <c r="X43" s="1031">
        <f t="shared" si="4"/>
        <v>0.2</v>
      </c>
    </row>
    <row r="44" spans="1:27" s="1" customFormat="1" ht="15" customHeight="1" x14ac:dyDescent="0.2">
      <c r="A44" s="1005" t="s">
        <v>101</v>
      </c>
      <c r="B44" s="217"/>
      <c r="C44" s="1018"/>
      <c r="D44" s="217"/>
      <c r="E44" s="1018"/>
      <c r="F44" s="217"/>
      <c r="G44" s="1018"/>
      <c r="H44" s="217"/>
      <c r="I44" s="1018"/>
      <c r="J44" s="1021"/>
      <c r="K44" s="1018"/>
      <c r="L44" s="1021"/>
      <c r="M44" s="1018"/>
      <c r="N44" s="1021"/>
      <c r="O44" s="1018"/>
      <c r="P44" s="1021"/>
      <c r="Q44" s="1018"/>
      <c r="R44" s="1021"/>
      <c r="S44" s="1018"/>
      <c r="T44" s="1021"/>
      <c r="U44" s="1026"/>
      <c r="W44" s="951"/>
      <c r="X44" s="1031"/>
    </row>
    <row r="45" spans="1:27" s="1" customFormat="1" ht="15" customHeight="1" x14ac:dyDescent="0.2">
      <c r="A45" s="1006" t="s">
        <v>99</v>
      </c>
      <c r="B45" s="280"/>
      <c r="C45" s="1018">
        <v>16</v>
      </c>
      <c r="D45" s="280"/>
      <c r="E45" s="1018">
        <v>17</v>
      </c>
      <c r="F45" s="280"/>
      <c r="G45" s="1018">
        <v>18</v>
      </c>
      <c r="H45" s="280"/>
      <c r="I45" s="1018">
        <v>18</v>
      </c>
      <c r="J45" s="1021">
        <v>15</v>
      </c>
      <c r="K45" s="1018">
        <v>15</v>
      </c>
      <c r="L45" s="1021">
        <v>18</v>
      </c>
      <c r="M45" s="1018">
        <v>18</v>
      </c>
      <c r="N45" s="1021">
        <v>21</v>
      </c>
      <c r="O45" s="1018">
        <v>21</v>
      </c>
      <c r="P45" s="1021">
        <v>20</v>
      </c>
      <c r="Q45" s="1018">
        <v>20</v>
      </c>
      <c r="R45" s="1021">
        <v>19</v>
      </c>
      <c r="S45" s="1018">
        <v>19</v>
      </c>
      <c r="T45" s="1021">
        <v>15</v>
      </c>
      <c r="U45" s="1026">
        <v>15</v>
      </c>
      <c r="W45" s="951">
        <f t="shared" si="5"/>
        <v>18.600000000000001</v>
      </c>
      <c r="X45" s="1031">
        <f t="shared" si="4"/>
        <v>18.600000000000001</v>
      </c>
    </row>
    <row r="46" spans="1:27" s="1" customFormat="1" ht="15" customHeight="1" thickBot="1" x14ac:dyDescent="0.25">
      <c r="A46" s="1007" t="s">
        <v>100</v>
      </c>
      <c r="B46" s="280"/>
      <c r="C46" s="1034">
        <v>1</v>
      </c>
      <c r="D46" s="280"/>
      <c r="E46" s="1018">
        <v>0</v>
      </c>
      <c r="F46" s="280"/>
      <c r="G46" s="1018">
        <v>0</v>
      </c>
      <c r="H46" s="280"/>
      <c r="I46" s="1018">
        <v>0</v>
      </c>
      <c r="J46" s="1021">
        <v>0</v>
      </c>
      <c r="K46" s="1018">
        <v>0</v>
      </c>
      <c r="L46" s="1021">
        <v>0</v>
      </c>
      <c r="M46" s="1018">
        <v>0</v>
      </c>
      <c r="N46" s="1021">
        <v>0</v>
      </c>
      <c r="O46" s="1018">
        <v>0</v>
      </c>
      <c r="P46" s="1021">
        <v>0</v>
      </c>
      <c r="Q46" s="1018">
        <v>0</v>
      </c>
      <c r="R46" s="1021">
        <v>0.5</v>
      </c>
      <c r="S46" s="1018">
        <v>1</v>
      </c>
      <c r="T46" s="573">
        <v>0</v>
      </c>
      <c r="U46" s="1027">
        <v>0</v>
      </c>
      <c r="W46" s="952">
        <f t="shared" si="5"/>
        <v>0.1</v>
      </c>
      <c r="X46" s="1032">
        <f t="shared" si="4"/>
        <v>0.2</v>
      </c>
    </row>
    <row r="47" spans="1:27" s="1" customFormat="1" ht="15" customHeight="1" thickBot="1" x14ac:dyDescent="0.25">
      <c r="A47" s="647" t="s">
        <v>22</v>
      </c>
      <c r="B47" s="1014"/>
      <c r="C47" s="1015">
        <f>SUM(C42:C46)</f>
        <v>19</v>
      </c>
      <c r="D47" s="1019"/>
      <c r="E47" s="1020">
        <f>SUM(E42:E46)</f>
        <v>19</v>
      </c>
      <c r="F47" s="1014"/>
      <c r="G47" s="1020">
        <f>SUM(G42:G46)</f>
        <v>19</v>
      </c>
      <c r="H47" s="1014"/>
      <c r="I47" s="1020">
        <f t="shared" ref="I47:S47" si="6">SUM(I42:I46)</f>
        <v>19</v>
      </c>
      <c r="J47" s="1022">
        <f t="shared" si="6"/>
        <v>17</v>
      </c>
      <c r="K47" s="1020">
        <f t="shared" si="6"/>
        <v>17</v>
      </c>
      <c r="L47" s="1022">
        <f t="shared" si="6"/>
        <v>19</v>
      </c>
      <c r="M47" s="1020">
        <f t="shared" si="6"/>
        <v>19</v>
      </c>
      <c r="N47" s="1022">
        <f t="shared" si="6"/>
        <v>21</v>
      </c>
      <c r="O47" s="1020">
        <f t="shared" si="6"/>
        <v>21</v>
      </c>
      <c r="P47" s="1022">
        <f t="shared" si="6"/>
        <v>20</v>
      </c>
      <c r="Q47" s="1020">
        <f t="shared" si="6"/>
        <v>20</v>
      </c>
      <c r="R47" s="1022">
        <f t="shared" si="6"/>
        <v>19.5</v>
      </c>
      <c r="S47" s="1020">
        <f t="shared" si="6"/>
        <v>20</v>
      </c>
      <c r="T47" s="1022">
        <f t="shared" ref="T47:U47" si="7">SUM(T42:T46)</f>
        <v>15.3</v>
      </c>
      <c r="U47" s="1028">
        <f t="shared" si="7"/>
        <v>16</v>
      </c>
      <c r="W47" s="990">
        <f t="shared" si="5"/>
        <v>18.96</v>
      </c>
      <c r="X47" s="1033">
        <f t="shared" si="4"/>
        <v>19.2</v>
      </c>
    </row>
    <row r="48" spans="1:27" s="1" customFormat="1" ht="18" customHeight="1" thickBot="1" x14ac:dyDescent="0.25">
      <c r="A48" s="796" t="s">
        <v>232</v>
      </c>
      <c r="B48" s="793" t="s">
        <v>36</v>
      </c>
      <c r="C48" s="989" t="s">
        <v>102</v>
      </c>
      <c r="D48" s="793" t="s">
        <v>36</v>
      </c>
      <c r="E48" s="810" t="s">
        <v>102</v>
      </c>
      <c r="F48" s="811" t="s">
        <v>36</v>
      </c>
      <c r="G48" s="810" t="s">
        <v>102</v>
      </c>
      <c r="H48" s="811" t="s">
        <v>36</v>
      </c>
      <c r="I48" s="810" t="s">
        <v>102</v>
      </c>
      <c r="J48" s="811" t="s">
        <v>36</v>
      </c>
      <c r="K48" s="810" t="s">
        <v>102</v>
      </c>
      <c r="L48" s="811" t="s">
        <v>36</v>
      </c>
      <c r="M48" s="810" t="s">
        <v>102</v>
      </c>
      <c r="N48" s="811" t="s">
        <v>36</v>
      </c>
      <c r="O48" s="810" t="s">
        <v>102</v>
      </c>
      <c r="P48" s="811" t="s">
        <v>36</v>
      </c>
      <c r="Q48" s="810" t="s">
        <v>102</v>
      </c>
      <c r="R48" s="811" t="s">
        <v>36</v>
      </c>
      <c r="S48" s="810" t="s">
        <v>102</v>
      </c>
      <c r="T48" s="811" t="s">
        <v>36</v>
      </c>
      <c r="U48" s="780" t="s">
        <v>102</v>
      </c>
      <c r="V48" s="320"/>
      <c r="W48" s="946" t="s">
        <v>36</v>
      </c>
      <c r="X48" s="780" t="s">
        <v>102</v>
      </c>
    </row>
    <row r="49" spans="1:24" s="1" customFormat="1" ht="18" customHeight="1" x14ac:dyDescent="0.2">
      <c r="A49" s="703" t="s">
        <v>233</v>
      </c>
      <c r="B49" s="321"/>
      <c r="C49" s="322"/>
      <c r="D49" s="321"/>
      <c r="E49" s="323"/>
      <c r="F49" s="324"/>
      <c r="G49" s="323"/>
      <c r="H49" s="324"/>
      <c r="I49" s="323"/>
      <c r="J49" s="324"/>
      <c r="K49" s="323"/>
      <c r="L49" s="324"/>
      <c r="M49" s="323"/>
      <c r="N49" s="324"/>
      <c r="O49" s="323"/>
      <c r="P49" s="324"/>
      <c r="Q49" s="323"/>
      <c r="R49" s="324"/>
      <c r="S49" s="323"/>
      <c r="T49" s="805"/>
      <c r="U49" s="325"/>
      <c r="V49" s="320"/>
      <c r="W49" s="991"/>
      <c r="X49" s="325"/>
    </row>
    <row r="50" spans="1:24" s="1" customFormat="1" ht="15" customHeight="1" x14ac:dyDescent="0.2">
      <c r="A50" s="326" t="s">
        <v>103</v>
      </c>
      <c r="B50" s="327">
        <v>12</v>
      </c>
      <c r="C50" s="328">
        <f t="shared" ref="C50:C57" si="8">B50/C$47</f>
        <v>0.63157894736842102</v>
      </c>
      <c r="D50" s="327">
        <v>13</v>
      </c>
      <c r="E50" s="329">
        <f t="shared" ref="E50:K57" si="9">D50/E$47</f>
        <v>0.68421052631578949</v>
      </c>
      <c r="F50" s="330">
        <v>13</v>
      </c>
      <c r="G50" s="329">
        <f t="shared" si="9"/>
        <v>0.68421052631578949</v>
      </c>
      <c r="H50" s="330">
        <v>13</v>
      </c>
      <c r="I50" s="329">
        <f t="shared" ref="I50:I57" si="10">H50/I$47</f>
        <v>0.68421052631578949</v>
      </c>
      <c r="J50" s="330">
        <f>12</f>
        <v>12</v>
      </c>
      <c r="K50" s="329">
        <f t="shared" si="9"/>
        <v>0.70588235294117652</v>
      </c>
      <c r="L50" s="330">
        <v>13</v>
      </c>
      <c r="M50" s="329">
        <f t="shared" ref="M50:M55" si="11">L50/M$47</f>
        <v>0.68421052631578949</v>
      </c>
      <c r="N50" s="330">
        <v>13</v>
      </c>
      <c r="O50" s="329">
        <f t="shared" ref="O50:Q55" si="12">N50/O$47</f>
        <v>0.61904761904761907</v>
      </c>
      <c r="P50" s="330">
        <v>14</v>
      </c>
      <c r="Q50" s="329">
        <f t="shared" si="12"/>
        <v>0.7</v>
      </c>
      <c r="R50" s="330">
        <v>14</v>
      </c>
      <c r="S50" s="329">
        <f t="shared" ref="S50:S55" si="13">R50/S$47</f>
        <v>0.7</v>
      </c>
      <c r="T50" s="331">
        <v>12</v>
      </c>
      <c r="U50" s="332">
        <f t="shared" ref="U50:U55" si="14">T50/U$47</f>
        <v>0.75</v>
      </c>
      <c r="V50" s="333"/>
      <c r="W50" s="334">
        <f>AVERAGE(N50,L50,R50,T50,P50)</f>
        <v>13.2</v>
      </c>
      <c r="X50" s="335">
        <f>AVERAGE(O50,M50,S50,U50,Q50)</f>
        <v>0.69065162907268163</v>
      </c>
    </row>
    <row r="51" spans="1:24" s="1" customFormat="1" ht="15" customHeight="1" x14ac:dyDescent="0.2">
      <c r="A51" s="336" t="s">
        <v>104</v>
      </c>
      <c r="B51" s="327">
        <v>0</v>
      </c>
      <c r="C51" s="328">
        <f t="shared" si="8"/>
        <v>0</v>
      </c>
      <c r="D51" s="327">
        <v>0</v>
      </c>
      <c r="E51" s="329">
        <f t="shared" si="9"/>
        <v>0</v>
      </c>
      <c r="F51" s="330">
        <v>0</v>
      </c>
      <c r="G51" s="329">
        <f t="shared" si="9"/>
        <v>0</v>
      </c>
      <c r="H51" s="330">
        <v>0</v>
      </c>
      <c r="I51" s="329">
        <f t="shared" si="10"/>
        <v>0</v>
      </c>
      <c r="J51" s="330">
        <f>0</f>
        <v>0</v>
      </c>
      <c r="K51" s="329">
        <f t="shared" si="9"/>
        <v>0</v>
      </c>
      <c r="L51" s="330">
        <v>0</v>
      </c>
      <c r="M51" s="329">
        <f t="shared" si="11"/>
        <v>0</v>
      </c>
      <c r="N51" s="330">
        <v>0</v>
      </c>
      <c r="O51" s="329">
        <f t="shared" si="12"/>
        <v>0</v>
      </c>
      <c r="P51" s="330">
        <v>0</v>
      </c>
      <c r="Q51" s="329">
        <f t="shared" si="12"/>
        <v>0</v>
      </c>
      <c r="R51" s="330">
        <v>0</v>
      </c>
      <c r="S51" s="329">
        <f t="shared" si="13"/>
        <v>0</v>
      </c>
      <c r="T51" s="331">
        <v>0</v>
      </c>
      <c r="U51" s="332">
        <f t="shared" si="14"/>
        <v>0</v>
      </c>
      <c r="V51" s="333"/>
      <c r="W51" s="334">
        <f t="shared" ref="W51:X69" si="15">AVERAGE(N51,L51,R51,T51,P51)</f>
        <v>0</v>
      </c>
      <c r="X51" s="335">
        <f t="shared" si="15"/>
        <v>0</v>
      </c>
    </row>
    <row r="52" spans="1:24" s="1" customFormat="1" ht="15" customHeight="1" x14ac:dyDescent="0.2">
      <c r="A52" s="336" t="s">
        <v>105</v>
      </c>
      <c r="B52" s="327">
        <v>1</v>
      </c>
      <c r="C52" s="328">
        <f t="shared" si="8"/>
        <v>5.2631578947368418E-2</v>
      </c>
      <c r="D52" s="327">
        <v>0</v>
      </c>
      <c r="E52" s="329">
        <f t="shared" si="9"/>
        <v>0</v>
      </c>
      <c r="F52" s="330">
        <v>0</v>
      </c>
      <c r="G52" s="329">
        <f t="shared" si="9"/>
        <v>0</v>
      </c>
      <c r="H52" s="330">
        <v>1</v>
      </c>
      <c r="I52" s="329">
        <f t="shared" si="10"/>
        <v>5.2631578947368418E-2</v>
      </c>
      <c r="J52" s="330">
        <f>1</f>
        <v>1</v>
      </c>
      <c r="K52" s="329">
        <f t="shared" si="9"/>
        <v>5.8823529411764705E-2</v>
      </c>
      <c r="L52" s="330">
        <v>1</v>
      </c>
      <c r="M52" s="329">
        <f t="shared" si="11"/>
        <v>5.2631578947368418E-2</v>
      </c>
      <c r="N52" s="330">
        <v>1</v>
      </c>
      <c r="O52" s="329">
        <f t="shared" si="12"/>
        <v>4.7619047619047616E-2</v>
      </c>
      <c r="P52" s="330">
        <v>1</v>
      </c>
      <c r="Q52" s="329">
        <f t="shared" si="12"/>
        <v>0.05</v>
      </c>
      <c r="R52" s="330">
        <v>1</v>
      </c>
      <c r="S52" s="329">
        <f t="shared" si="13"/>
        <v>0.05</v>
      </c>
      <c r="T52" s="331">
        <v>0</v>
      </c>
      <c r="U52" s="332">
        <f t="shared" si="14"/>
        <v>0</v>
      </c>
      <c r="V52" s="333"/>
      <c r="W52" s="334">
        <f t="shared" si="15"/>
        <v>0.8</v>
      </c>
      <c r="X52" s="335">
        <f t="shared" si="15"/>
        <v>4.0050125313283204E-2</v>
      </c>
    </row>
    <row r="53" spans="1:24" s="1" customFormat="1" ht="15" customHeight="1" x14ac:dyDescent="0.2">
      <c r="A53" s="336" t="s">
        <v>106</v>
      </c>
      <c r="B53" s="327">
        <v>1</v>
      </c>
      <c r="C53" s="328">
        <f t="shared" si="8"/>
        <v>5.2631578947368418E-2</v>
      </c>
      <c r="D53" s="327">
        <v>1</v>
      </c>
      <c r="E53" s="329">
        <f t="shared" si="9"/>
        <v>5.2631578947368418E-2</v>
      </c>
      <c r="F53" s="330">
        <v>1</v>
      </c>
      <c r="G53" s="329">
        <f t="shared" si="9"/>
        <v>5.2631578947368418E-2</v>
      </c>
      <c r="H53" s="330">
        <v>1</v>
      </c>
      <c r="I53" s="329">
        <f t="shared" si="10"/>
        <v>5.2631578947368418E-2</v>
      </c>
      <c r="J53" s="330">
        <f>1</f>
        <v>1</v>
      </c>
      <c r="K53" s="329">
        <f t="shared" si="9"/>
        <v>5.8823529411764705E-2</v>
      </c>
      <c r="L53" s="330">
        <v>1</v>
      </c>
      <c r="M53" s="329">
        <f t="shared" si="11"/>
        <v>5.2631578947368418E-2</v>
      </c>
      <c r="N53" s="330">
        <v>1</v>
      </c>
      <c r="O53" s="329">
        <f t="shared" si="12"/>
        <v>4.7619047619047616E-2</v>
      </c>
      <c r="P53" s="330">
        <v>1</v>
      </c>
      <c r="Q53" s="329">
        <f t="shared" si="12"/>
        <v>0.05</v>
      </c>
      <c r="R53" s="330">
        <v>1</v>
      </c>
      <c r="S53" s="329">
        <f t="shared" si="13"/>
        <v>0.05</v>
      </c>
      <c r="T53" s="331">
        <v>1</v>
      </c>
      <c r="U53" s="332">
        <f t="shared" si="14"/>
        <v>6.25E-2</v>
      </c>
      <c r="V53" s="333"/>
      <c r="W53" s="334">
        <f t="shared" si="15"/>
        <v>1</v>
      </c>
      <c r="X53" s="335">
        <f t="shared" si="15"/>
        <v>5.2550125313283201E-2</v>
      </c>
    </row>
    <row r="54" spans="1:24" s="1" customFormat="1" ht="15" customHeight="1" x14ac:dyDescent="0.2">
      <c r="A54" s="336" t="s">
        <v>107</v>
      </c>
      <c r="B54" s="327">
        <v>4</v>
      </c>
      <c r="C54" s="328">
        <f t="shared" si="8"/>
        <v>0.21052631578947367</v>
      </c>
      <c r="D54" s="327">
        <v>4</v>
      </c>
      <c r="E54" s="329">
        <f t="shared" si="9"/>
        <v>0.21052631578947367</v>
      </c>
      <c r="F54" s="330">
        <v>4</v>
      </c>
      <c r="G54" s="329">
        <f t="shared" si="9"/>
        <v>0.21052631578947367</v>
      </c>
      <c r="H54" s="330">
        <v>4</v>
      </c>
      <c r="I54" s="329">
        <f t="shared" si="10"/>
        <v>0.21052631578947367</v>
      </c>
      <c r="J54" s="330">
        <f>3</f>
        <v>3</v>
      </c>
      <c r="K54" s="329">
        <f t="shared" si="9"/>
        <v>0.17647058823529413</v>
      </c>
      <c r="L54" s="330">
        <v>3</v>
      </c>
      <c r="M54" s="329">
        <f t="shared" si="11"/>
        <v>0.15789473684210525</v>
      </c>
      <c r="N54" s="330">
        <v>5</v>
      </c>
      <c r="O54" s="329">
        <f t="shared" si="12"/>
        <v>0.23809523809523808</v>
      </c>
      <c r="P54" s="330">
        <v>4</v>
      </c>
      <c r="Q54" s="329">
        <f t="shared" si="12"/>
        <v>0.2</v>
      </c>
      <c r="R54" s="330">
        <v>4</v>
      </c>
      <c r="S54" s="329">
        <f t="shared" si="13"/>
        <v>0.2</v>
      </c>
      <c r="T54" s="331">
        <v>2</v>
      </c>
      <c r="U54" s="332">
        <f t="shared" si="14"/>
        <v>0.125</v>
      </c>
      <c r="V54" s="333"/>
      <c r="W54" s="334">
        <f t="shared" si="15"/>
        <v>3.6</v>
      </c>
      <c r="X54" s="335">
        <f t="shared" si="15"/>
        <v>0.18419799498746867</v>
      </c>
    </row>
    <row r="55" spans="1:24" s="1" customFormat="1" ht="15" customHeight="1" x14ac:dyDescent="0.2">
      <c r="A55" s="336" t="s">
        <v>108</v>
      </c>
      <c r="B55" s="327">
        <v>1</v>
      </c>
      <c r="C55" s="328">
        <f t="shared" si="8"/>
        <v>5.2631578947368418E-2</v>
      </c>
      <c r="D55" s="327">
        <v>1</v>
      </c>
      <c r="E55" s="329">
        <f t="shared" si="9"/>
        <v>5.2631578947368418E-2</v>
      </c>
      <c r="F55" s="330">
        <v>1</v>
      </c>
      <c r="G55" s="329">
        <f t="shared" si="9"/>
        <v>5.2631578947368418E-2</v>
      </c>
      <c r="H55" s="330">
        <v>0</v>
      </c>
      <c r="I55" s="329">
        <f t="shared" si="10"/>
        <v>0</v>
      </c>
      <c r="J55" s="330">
        <f>0</f>
        <v>0</v>
      </c>
      <c r="K55" s="329">
        <f t="shared" si="9"/>
        <v>0</v>
      </c>
      <c r="L55" s="330">
        <v>1</v>
      </c>
      <c r="M55" s="329">
        <f t="shared" si="11"/>
        <v>5.2631578947368418E-2</v>
      </c>
      <c r="N55" s="330">
        <v>1</v>
      </c>
      <c r="O55" s="329">
        <f t="shared" si="12"/>
        <v>4.7619047619047616E-2</v>
      </c>
      <c r="P55" s="330">
        <v>0</v>
      </c>
      <c r="Q55" s="329">
        <f t="shared" si="12"/>
        <v>0</v>
      </c>
      <c r="R55" s="330">
        <v>0</v>
      </c>
      <c r="S55" s="329">
        <f t="shared" si="13"/>
        <v>0</v>
      </c>
      <c r="T55" s="331">
        <v>0</v>
      </c>
      <c r="U55" s="332">
        <f t="shared" si="14"/>
        <v>0</v>
      </c>
      <c r="V55" s="333"/>
      <c r="W55" s="334">
        <f t="shared" si="15"/>
        <v>0.4</v>
      </c>
      <c r="X55" s="335">
        <f t="shared" si="15"/>
        <v>2.0050125313283207E-2</v>
      </c>
    </row>
    <row r="56" spans="1:24" s="1" customFormat="1" ht="15" customHeight="1" x14ac:dyDescent="0.2">
      <c r="A56" s="336" t="s">
        <v>109</v>
      </c>
      <c r="B56" s="337"/>
      <c r="C56" s="328"/>
      <c r="D56" s="337"/>
      <c r="E56" s="329"/>
      <c r="F56" s="338"/>
      <c r="G56" s="329"/>
      <c r="H56" s="338">
        <v>0</v>
      </c>
      <c r="I56" s="329">
        <f t="shared" si="10"/>
        <v>0</v>
      </c>
      <c r="J56" s="338">
        <f>0</f>
        <v>0</v>
      </c>
      <c r="K56" s="329">
        <f>J56/K$47</f>
        <v>0</v>
      </c>
      <c r="L56" s="338">
        <v>0</v>
      </c>
      <c r="M56" s="329">
        <f>L56/M$47</f>
        <v>0</v>
      </c>
      <c r="N56" s="338">
        <v>0</v>
      </c>
      <c r="O56" s="329">
        <f>N56/O$47</f>
        <v>0</v>
      </c>
      <c r="P56" s="338">
        <v>0</v>
      </c>
      <c r="Q56" s="329">
        <f>P56/Q$47</f>
        <v>0</v>
      </c>
      <c r="R56" s="338">
        <v>0</v>
      </c>
      <c r="S56" s="329">
        <f>R56/S$47</f>
        <v>0</v>
      </c>
      <c r="T56" s="331">
        <v>1</v>
      </c>
      <c r="U56" s="332">
        <f>T56/U$47</f>
        <v>6.25E-2</v>
      </c>
      <c r="V56" s="333"/>
      <c r="W56" s="334">
        <f t="shared" si="15"/>
        <v>0.2</v>
      </c>
      <c r="X56" s="335">
        <f t="shared" si="15"/>
        <v>1.2500000000000001E-2</v>
      </c>
    </row>
    <row r="57" spans="1:24" s="1" customFormat="1" ht="15" customHeight="1" thickBot="1" x14ac:dyDescent="0.25">
      <c r="A57" s="336" t="s">
        <v>110</v>
      </c>
      <c r="B57" s="337">
        <v>0</v>
      </c>
      <c r="C57" s="659">
        <f t="shared" si="8"/>
        <v>0</v>
      </c>
      <c r="D57" s="337">
        <v>0</v>
      </c>
      <c r="E57" s="660">
        <f t="shared" si="9"/>
        <v>0</v>
      </c>
      <c r="F57" s="338"/>
      <c r="G57" s="660">
        <f t="shared" si="9"/>
        <v>0</v>
      </c>
      <c r="H57" s="338">
        <v>0</v>
      </c>
      <c r="I57" s="660">
        <f t="shared" si="10"/>
        <v>0</v>
      </c>
      <c r="J57" s="338">
        <f>0</f>
        <v>0</v>
      </c>
      <c r="K57" s="660">
        <f t="shared" si="9"/>
        <v>0</v>
      </c>
      <c r="L57" s="338">
        <v>0</v>
      </c>
      <c r="M57" s="660">
        <f>L57/M$47</f>
        <v>0</v>
      </c>
      <c r="N57" s="338">
        <v>0</v>
      </c>
      <c r="O57" s="660">
        <f>N57/O$47</f>
        <v>0</v>
      </c>
      <c r="P57" s="338">
        <v>0</v>
      </c>
      <c r="Q57" s="660">
        <f>P57/Q$47</f>
        <v>0</v>
      </c>
      <c r="R57" s="338">
        <v>0</v>
      </c>
      <c r="S57" s="660">
        <f>R57/S$47</f>
        <v>0</v>
      </c>
      <c r="T57" s="339">
        <v>0</v>
      </c>
      <c r="U57" s="661">
        <f>T57/U$47</f>
        <v>0</v>
      </c>
      <c r="V57" s="333"/>
      <c r="W57" s="662">
        <f t="shared" si="15"/>
        <v>0</v>
      </c>
      <c r="X57" s="663">
        <f t="shared" si="15"/>
        <v>0</v>
      </c>
    </row>
    <row r="58" spans="1:24" s="1" customFormat="1" ht="18" customHeight="1" x14ac:dyDescent="0.2">
      <c r="A58" s="1008" t="s">
        <v>111</v>
      </c>
      <c r="B58" s="664"/>
      <c r="C58" s="665"/>
      <c r="D58" s="664"/>
      <c r="E58" s="666"/>
      <c r="F58" s="667"/>
      <c r="G58" s="666"/>
      <c r="H58" s="667"/>
      <c r="I58" s="666"/>
      <c r="J58" s="667"/>
      <c r="K58" s="666"/>
      <c r="L58" s="667"/>
      <c r="M58" s="666"/>
      <c r="N58" s="667"/>
      <c r="O58" s="666"/>
      <c r="P58" s="667"/>
      <c r="Q58" s="666"/>
      <c r="R58" s="667"/>
      <c r="S58" s="666"/>
      <c r="T58" s="667"/>
      <c r="U58" s="668"/>
      <c r="V58" s="333"/>
      <c r="W58" s="657"/>
      <c r="X58" s="658"/>
    </row>
    <row r="59" spans="1:24" s="1" customFormat="1" ht="15" customHeight="1" x14ac:dyDescent="0.2">
      <c r="A59" s="326" t="s">
        <v>112</v>
      </c>
      <c r="B59" s="340">
        <v>19</v>
      </c>
      <c r="C59" s="328">
        <f>B59/C$47</f>
        <v>1</v>
      </c>
      <c r="D59" s="341">
        <v>19</v>
      </c>
      <c r="E59" s="329">
        <f>D59/E$47</f>
        <v>1</v>
      </c>
      <c r="F59" s="342">
        <v>19</v>
      </c>
      <c r="G59" s="329">
        <f>F59/G$47</f>
        <v>1</v>
      </c>
      <c r="H59" s="342">
        <v>19</v>
      </c>
      <c r="I59" s="329">
        <f>H59/I$47</f>
        <v>1</v>
      </c>
      <c r="J59" s="342">
        <f>17</f>
        <v>17</v>
      </c>
      <c r="K59" s="329">
        <f>J59/K$47</f>
        <v>1</v>
      </c>
      <c r="L59" s="342">
        <v>19</v>
      </c>
      <c r="M59" s="329">
        <f>L59/M$47</f>
        <v>1</v>
      </c>
      <c r="N59" s="342">
        <v>21</v>
      </c>
      <c r="O59" s="329">
        <f>N59/O$47</f>
        <v>1</v>
      </c>
      <c r="P59" s="342">
        <v>20</v>
      </c>
      <c r="Q59" s="329">
        <f>P59/Q$47</f>
        <v>1</v>
      </c>
      <c r="R59" s="342">
        <v>20</v>
      </c>
      <c r="S59" s="329">
        <f>R59/S$47</f>
        <v>1</v>
      </c>
      <c r="T59" s="343">
        <v>15</v>
      </c>
      <c r="U59" s="332">
        <f>T59/U$47</f>
        <v>0.9375</v>
      </c>
      <c r="V59" s="333"/>
      <c r="W59" s="334">
        <f t="shared" si="15"/>
        <v>19</v>
      </c>
      <c r="X59" s="335">
        <f t="shared" si="15"/>
        <v>0.98750000000000004</v>
      </c>
    </row>
    <row r="60" spans="1:24" s="1" customFormat="1" ht="15" customHeight="1" thickBot="1" x14ac:dyDescent="0.25">
      <c r="A60" s="336" t="s">
        <v>113</v>
      </c>
      <c r="B60" s="669">
        <v>0</v>
      </c>
      <c r="C60" s="659">
        <f>B60/C$47</f>
        <v>0</v>
      </c>
      <c r="D60" s="669">
        <v>0</v>
      </c>
      <c r="E60" s="660">
        <f>D60/E$47</f>
        <v>0</v>
      </c>
      <c r="F60" s="670">
        <v>0</v>
      </c>
      <c r="G60" s="660">
        <f>F60/G$47</f>
        <v>0</v>
      </c>
      <c r="H60" s="670">
        <v>0</v>
      </c>
      <c r="I60" s="660">
        <f>H60/I$47</f>
        <v>0</v>
      </c>
      <c r="J60" s="670">
        <f>0</f>
        <v>0</v>
      </c>
      <c r="K60" s="660">
        <f>J60/K$47</f>
        <v>0</v>
      </c>
      <c r="L60" s="670">
        <v>0</v>
      </c>
      <c r="M60" s="660">
        <f>L60/M$47</f>
        <v>0</v>
      </c>
      <c r="N60" s="670">
        <v>0</v>
      </c>
      <c r="O60" s="660">
        <f>N60/O$47</f>
        <v>0</v>
      </c>
      <c r="P60" s="670">
        <v>0</v>
      </c>
      <c r="Q60" s="660">
        <f>P60/Q$47</f>
        <v>0</v>
      </c>
      <c r="R60" s="670">
        <v>0</v>
      </c>
      <c r="S60" s="660">
        <f>R60/S$47</f>
        <v>0</v>
      </c>
      <c r="T60" s="670">
        <v>1</v>
      </c>
      <c r="U60" s="661">
        <f>T60/U$47</f>
        <v>6.25E-2</v>
      </c>
      <c r="V60" s="333"/>
      <c r="W60" s="662">
        <f t="shared" si="15"/>
        <v>0.2</v>
      </c>
      <c r="X60" s="663">
        <f t="shared" si="15"/>
        <v>1.2500000000000001E-2</v>
      </c>
    </row>
    <row r="61" spans="1:24" s="1" customFormat="1" ht="18" customHeight="1" x14ac:dyDescent="0.2">
      <c r="A61" s="1008" t="s">
        <v>114</v>
      </c>
      <c r="B61" s="671"/>
      <c r="C61" s="654"/>
      <c r="D61" s="671"/>
      <c r="E61" s="655"/>
      <c r="F61" s="672"/>
      <c r="G61" s="655"/>
      <c r="H61" s="672"/>
      <c r="I61" s="655"/>
      <c r="J61" s="672"/>
      <c r="K61" s="655"/>
      <c r="L61" s="672"/>
      <c r="M61" s="655"/>
      <c r="N61" s="672"/>
      <c r="O61" s="655"/>
      <c r="P61" s="672"/>
      <c r="Q61" s="655"/>
      <c r="R61" s="672"/>
      <c r="S61" s="655"/>
      <c r="T61" s="672"/>
      <c r="U61" s="656"/>
      <c r="V61" s="333"/>
      <c r="W61" s="657"/>
      <c r="X61" s="658"/>
    </row>
    <row r="62" spans="1:24" s="1" customFormat="1" ht="15" customHeight="1" x14ac:dyDescent="0.2">
      <c r="A62" s="326" t="s">
        <v>115</v>
      </c>
      <c r="B62" s="341">
        <v>11</v>
      </c>
      <c r="C62" s="328">
        <f>B62/C$47</f>
        <v>0.57894736842105265</v>
      </c>
      <c r="D62" s="341">
        <v>13</v>
      </c>
      <c r="E62" s="329">
        <f>D62/E$47</f>
        <v>0.68421052631578949</v>
      </c>
      <c r="F62" s="342">
        <v>14</v>
      </c>
      <c r="G62" s="329">
        <f>F62/G$47</f>
        <v>0.73684210526315785</v>
      </c>
      <c r="H62" s="342">
        <v>16</v>
      </c>
      <c r="I62" s="329">
        <f>H62/I$47</f>
        <v>0.84210526315789469</v>
      </c>
      <c r="J62" s="342">
        <f>14</f>
        <v>14</v>
      </c>
      <c r="K62" s="329">
        <f>J62/K$47</f>
        <v>0.82352941176470584</v>
      </c>
      <c r="L62" s="342">
        <v>16</v>
      </c>
      <c r="M62" s="329">
        <f>L62/M$47</f>
        <v>0.84210526315789469</v>
      </c>
      <c r="N62" s="342">
        <v>16</v>
      </c>
      <c r="O62" s="329">
        <f>N62/O$47</f>
        <v>0.76190476190476186</v>
      </c>
      <c r="P62" s="342">
        <v>17</v>
      </c>
      <c r="Q62" s="329">
        <f>P62/Q$47</f>
        <v>0.85</v>
      </c>
      <c r="R62" s="342">
        <v>17</v>
      </c>
      <c r="S62" s="329">
        <f>R62/S$47</f>
        <v>0.85</v>
      </c>
      <c r="T62" s="342">
        <v>14</v>
      </c>
      <c r="U62" s="332">
        <f>T62/U$47</f>
        <v>0.875</v>
      </c>
      <c r="V62" s="333"/>
      <c r="W62" s="334">
        <f t="shared" si="15"/>
        <v>16</v>
      </c>
      <c r="X62" s="335">
        <f t="shared" si="15"/>
        <v>0.83580200501253132</v>
      </c>
    </row>
    <row r="63" spans="1:24" s="1" customFormat="1" ht="15" customHeight="1" x14ac:dyDescent="0.2">
      <c r="A63" s="326" t="s">
        <v>116</v>
      </c>
      <c r="B63" s="341">
        <v>6</v>
      </c>
      <c r="C63" s="328">
        <f>B63/C$47</f>
        <v>0.31578947368421051</v>
      </c>
      <c r="D63" s="341">
        <v>5</v>
      </c>
      <c r="E63" s="329">
        <f>D63/E$47</f>
        <v>0.26315789473684209</v>
      </c>
      <c r="F63" s="342">
        <v>4</v>
      </c>
      <c r="G63" s="329">
        <f>F63/G$47</f>
        <v>0.21052631578947367</v>
      </c>
      <c r="H63" s="342">
        <v>2</v>
      </c>
      <c r="I63" s="329">
        <f>H63/I$47</f>
        <v>0.10526315789473684</v>
      </c>
      <c r="J63" s="342">
        <f>2</f>
        <v>2</v>
      </c>
      <c r="K63" s="329">
        <f>J63/K$47</f>
        <v>0.11764705882352941</v>
      </c>
      <c r="L63" s="342">
        <v>1</v>
      </c>
      <c r="M63" s="329">
        <f>L63/M$47</f>
        <v>5.2631578947368418E-2</v>
      </c>
      <c r="N63" s="342">
        <v>1</v>
      </c>
      <c r="O63" s="329">
        <f>N63/O$47</f>
        <v>4.7619047619047616E-2</v>
      </c>
      <c r="P63" s="342">
        <v>1</v>
      </c>
      <c r="Q63" s="329">
        <f>P63/Q$47</f>
        <v>0.05</v>
      </c>
      <c r="R63" s="342">
        <v>1</v>
      </c>
      <c r="S63" s="329">
        <f>R63/S$47</f>
        <v>0.05</v>
      </c>
      <c r="T63" s="342">
        <v>1</v>
      </c>
      <c r="U63" s="332">
        <f>T63/U$47</f>
        <v>6.25E-2</v>
      </c>
      <c r="V63" s="333"/>
      <c r="W63" s="334">
        <f t="shared" si="15"/>
        <v>1</v>
      </c>
      <c r="X63" s="335">
        <f t="shared" si="15"/>
        <v>5.2550125313283201E-2</v>
      </c>
    </row>
    <row r="64" spans="1:24" s="1" customFormat="1" ht="15" customHeight="1" thickBot="1" x14ac:dyDescent="0.25">
      <c r="A64" s="336" t="s">
        <v>117</v>
      </c>
      <c r="B64" s="669">
        <v>2</v>
      </c>
      <c r="C64" s="659">
        <f>B64/C$47</f>
        <v>0.10526315789473684</v>
      </c>
      <c r="D64" s="669">
        <v>1</v>
      </c>
      <c r="E64" s="660">
        <f>D64/E$47</f>
        <v>5.2631578947368418E-2</v>
      </c>
      <c r="F64" s="670">
        <v>1</v>
      </c>
      <c r="G64" s="660">
        <f>F64/G$47</f>
        <v>5.2631578947368418E-2</v>
      </c>
      <c r="H64" s="670">
        <v>1</v>
      </c>
      <c r="I64" s="660">
        <f>H64/I$47</f>
        <v>5.2631578947368418E-2</v>
      </c>
      <c r="J64" s="670">
        <f>1</f>
        <v>1</v>
      </c>
      <c r="K64" s="660">
        <f>J64/K$47</f>
        <v>5.8823529411764705E-2</v>
      </c>
      <c r="L64" s="670">
        <v>2</v>
      </c>
      <c r="M64" s="660">
        <f>L64/M$47</f>
        <v>0.10526315789473684</v>
      </c>
      <c r="N64" s="670">
        <v>4</v>
      </c>
      <c r="O64" s="660">
        <f>N64/O$47</f>
        <v>0.19047619047619047</v>
      </c>
      <c r="P64" s="670">
        <v>2</v>
      </c>
      <c r="Q64" s="660">
        <f>P64/Q$47</f>
        <v>0.1</v>
      </c>
      <c r="R64" s="670">
        <v>2</v>
      </c>
      <c r="S64" s="660">
        <f>R64/S$47</f>
        <v>0.1</v>
      </c>
      <c r="T64" s="670">
        <v>1</v>
      </c>
      <c r="U64" s="661">
        <f>T64/U$47</f>
        <v>6.25E-2</v>
      </c>
      <c r="V64" s="333"/>
      <c r="W64" s="662">
        <f t="shared" si="15"/>
        <v>2.2000000000000002</v>
      </c>
      <c r="X64" s="663">
        <f t="shared" si="15"/>
        <v>0.11164786967418545</v>
      </c>
    </row>
    <row r="65" spans="1:24" s="1" customFormat="1" ht="18" customHeight="1" x14ac:dyDescent="0.2">
      <c r="A65" s="1008" t="s">
        <v>118</v>
      </c>
      <c r="B65" s="671"/>
      <c r="C65" s="654"/>
      <c r="D65" s="671"/>
      <c r="E65" s="655"/>
      <c r="F65" s="672"/>
      <c r="G65" s="655"/>
      <c r="H65" s="672"/>
      <c r="I65" s="655"/>
      <c r="J65" s="672"/>
      <c r="K65" s="655"/>
      <c r="L65" s="672"/>
      <c r="M65" s="655"/>
      <c r="N65" s="672"/>
      <c r="O65" s="655"/>
      <c r="P65" s="672"/>
      <c r="Q65" s="655"/>
      <c r="R65" s="672"/>
      <c r="S65" s="655"/>
      <c r="T65" s="672"/>
      <c r="U65" s="656"/>
      <c r="V65" s="333"/>
      <c r="W65" s="657"/>
      <c r="X65" s="658"/>
    </row>
    <row r="66" spans="1:24" s="1" customFormat="1" ht="15" customHeight="1" x14ac:dyDescent="0.2">
      <c r="A66" s="326" t="s">
        <v>119</v>
      </c>
      <c r="B66" s="341">
        <v>19</v>
      </c>
      <c r="C66" s="328">
        <f>B66/C$47</f>
        <v>1</v>
      </c>
      <c r="D66" s="341">
        <v>19</v>
      </c>
      <c r="E66" s="329">
        <f>D66/E$47</f>
        <v>1</v>
      </c>
      <c r="F66" s="342">
        <v>19</v>
      </c>
      <c r="G66" s="329">
        <f>F66/G$47</f>
        <v>1</v>
      </c>
      <c r="H66" s="342">
        <v>19</v>
      </c>
      <c r="I66" s="329">
        <f>H66/I$47</f>
        <v>1</v>
      </c>
      <c r="J66" s="342">
        <f>17</f>
        <v>17</v>
      </c>
      <c r="K66" s="329">
        <f>J66/K$47</f>
        <v>1</v>
      </c>
      <c r="L66" s="342">
        <v>19</v>
      </c>
      <c r="M66" s="329">
        <f>L66/M$47</f>
        <v>1</v>
      </c>
      <c r="N66" s="342">
        <v>21</v>
      </c>
      <c r="O66" s="329">
        <f>N66/O$47</f>
        <v>1</v>
      </c>
      <c r="P66" s="342">
        <v>20</v>
      </c>
      <c r="Q66" s="329">
        <f>P66/Q$47</f>
        <v>1</v>
      </c>
      <c r="R66" s="342">
        <v>20</v>
      </c>
      <c r="S66" s="329">
        <f>R66/S$47</f>
        <v>1</v>
      </c>
      <c r="T66" s="342">
        <v>15</v>
      </c>
      <c r="U66" s="332">
        <f>T66/U$47</f>
        <v>0.9375</v>
      </c>
      <c r="V66" s="333"/>
      <c r="W66" s="334">
        <f t="shared" si="15"/>
        <v>19</v>
      </c>
      <c r="X66" s="335">
        <f t="shared" si="15"/>
        <v>0.98750000000000004</v>
      </c>
    </row>
    <row r="67" spans="1:24" s="1" customFormat="1" ht="15" customHeight="1" x14ac:dyDescent="0.2">
      <c r="A67" s="326" t="s">
        <v>120</v>
      </c>
      <c r="B67" s="341">
        <v>0</v>
      </c>
      <c r="C67" s="328">
        <f>B67/C$47</f>
        <v>0</v>
      </c>
      <c r="D67" s="341">
        <v>0</v>
      </c>
      <c r="E67" s="329">
        <f>D67/E$47</f>
        <v>0</v>
      </c>
      <c r="F67" s="342">
        <v>0</v>
      </c>
      <c r="G67" s="329">
        <f>F67/G$47</f>
        <v>0</v>
      </c>
      <c r="H67" s="342">
        <v>0</v>
      </c>
      <c r="I67" s="329">
        <f>H67/I$47</f>
        <v>0</v>
      </c>
      <c r="J67" s="342">
        <f>0</f>
        <v>0</v>
      </c>
      <c r="K67" s="329">
        <f>J67/K$47</f>
        <v>0</v>
      </c>
      <c r="L67" s="342">
        <v>0</v>
      </c>
      <c r="M67" s="329">
        <f>L67/M$47</f>
        <v>0</v>
      </c>
      <c r="N67" s="342">
        <v>0</v>
      </c>
      <c r="O67" s="329">
        <f>N67/O$47</f>
        <v>0</v>
      </c>
      <c r="P67" s="342">
        <v>0</v>
      </c>
      <c r="Q67" s="329">
        <f>P67/Q$47</f>
        <v>0</v>
      </c>
      <c r="R67" s="342">
        <v>0</v>
      </c>
      <c r="S67" s="329">
        <f>R67/S$47</f>
        <v>0</v>
      </c>
      <c r="T67" s="342">
        <v>0</v>
      </c>
      <c r="U67" s="332">
        <f>T67/U$47</f>
        <v>0</v>
      </c>
      <c r="V67" s="333"/>
      <c r="W67" s="334">
        <f t="shared" si="15"/>
        <v>0</v>
      </c>
      <c r="X67" s="335">
        <f t="shared" si="15"/>
        <v>0</v>
      </c>
    </row>
    <row r="68" spans="1:24" s="1" customFormat="1" ht="15" customHeight="1" x14ac:dyDescent="0.2">
      <c r="A68" s="326" t="s">
        <v>121</v>
      </c>
      <c r="B68" s="341">
        <v>0</v>
      </c>
      <c r="C68" s="328">
        <f>B68/C$47</f>
        <v>0</v>
      </c>
      <c r="D68" s="341">
        <v>0</v>
      </c>
      <c r="E68" s="329">
        <f>D68/E$47</f>
        <v>0</v>
      </c>
      <c r="F68" s="342">
        <v>0</v>
      </c>
      <c r="G68" s="329">
        <f>F68/G$47</f>
        <v>0</v>
      </c>
      <c r="H68" s="342">
        <v>0</v>
      </c>
      <c r="I68" s="329">
        <f>H68/I$47</f>
        <v>0</v>
      </c>
      <c r="J68" s="342">
        <f>0</f>
        <v>0</v>
      </c>
      <c r="K68" s="329">
        <f>J68/K$47</f>
        <v>0</v>
      </c>
      <c r="L68" s="342">
        <v>0</v>
      </c>
      <c r="M68" s="329">
        <f>L68/M$47</f>
        <v>0</v>
      </c>
      <c r="N68" s="342">
        <v>0</v>
      </c>
      <c r="O68" s="329">
        <f>N68/O$47</f>
        <v>0</v>
      </c>
      <c r="P68" s="342">
        <v>0</v>
      </c>
      <c r="Q68" s="329">
        <f>P68/Q$47</f>
        <v>0</v>
      </c>
      <c r="R68" s="342">
        <v>0</v>
      </c>
      <c r="S68" s="329">
        <f>R68/S$47</f>
        <v>0</v>
      </c>
      <c r="T68" s="342">
        <v>1</v>
      </c>
      <c r="U68" s="332">
        <f>T68/U$47</f>
        <v>6.25E-2</v>
      </c>
      <c r="V68" s="320"/>
      <c r="W68" s="334">
        <f t="shared" si="15"/>
        <v>0.2</v>
      </c>
      <c r="X68" s="335">
        <f t="shared" si="15"/>
        <v>1.2500000000000001E-2</v>
      </c>
    </row>
    <row r="69" spans="1:24" s="1" customFormat="1" ht="15" customHeight="1" thickBot="1" x14ac:dyDescent="0.25">
      <c r="A69" s="344" t="s">
        <v>122</v>
      </c>
      <c r="B69" s="345">
        <v>0</v>
      </c>
      <c r="C69" s="346">
        <f>B69/C$47</f>
        <v>0</v>
      </c>
      <c r="D69" s="345">
        <v>0</v>
      </c>
      <c r="E69" s="347">
        <f>D69/E$47</f>
        <v>0</v>
      </c>
      <c r="F69" s="348">
        <v>0</v>
      </c>
      <c r="G69" s="347">
        <f>F69/G$47</f>
        <v>0</v>
      </c>
      <c r="H69" s="348">
        <v>0</v>
      </c>
      <c r="I69" s="347">
        <f>H69/I$47</f>
        <v>0</v>
      </c>
      <c r="J69" s="348">
        <f>0</f>
        <v>0</v>
      </c>
      <c r="K69" s="347">
        <f>J69/K$47</f>
        <v>0</v>
      </c>
      <c r="L69" s="348">
        <v>0</v>
      </c>
      <c r="M69" s="347">
        <f>L69/M$47</f>
        <v>0</v>
      </c>
      <c r="N69" s="348">
        <v>0</v>
      </c>
      <c r="O69" s="347">
        <f>N69/O$47</f>
        <v>0</v>
      </c>
      <c r="P69" s="348">
        <v>0</v>
      </c>
      <c r="Q69" s="347">
        <f>P69/Q$47</f>
        <v>0</v>
      </c>
      <c r="R69" s="348">
        <v>0</v>
      </c>
      <c r="S69" s="347">
        <f>R69/S$47</f>
        <v>0</v>
      </c>
      <c r="T69" s="348">
        <v>0</v>
      </c>
      <c r="U69" s="349">
        <f>T69/U$47</f>
        <v>0</v>
      </c>
      <c r="V69" s="320"/>
      <c r="W69" s="350">
        <f t="shared" si="15"/>
        <v>0</v>
      </c>
      <c r="X69" s="351">
        <f t="shared" si="15"/>
        <v>0</v>
      </c>
    </row>
    <row r="70" spans="1:24" ht="15" customHeight="1" thickTop="1" x14ac:dyDescent="0.2">
      <c r="A70" s="635" t="s">
        <v>251</v>
      </c>
    </row>
    <row r="71" spans="1:24" ht="15" customHeight="1" x14ac:dyDescent="0.2">
      <c r="A71" s="1"/>
      <c r="H71" s="26" t="s">
        <v>16</v>
      </c>
      <c r="J71" s="26" t="s">
        <v>16</v>
      </c>
      <c r="L71" s="26" t="s">
        <v>16</v>
      </c>
      <c r="N71" s="26" t="s">
        <v>16</v>
      </c>
      <c r="P71" s="26" t="s">
        <v>16</v>
      </c>
      <c r="R71" s="26" t="s">
        <v>16</v>
      </c>
      <c r="T71" s="26" t="s">
        <v>16</v>
      </c>
    </row>
    <row r="72" spans="1:24" x14ac:dyDescent="0.2">
      <c r="A72" s="1"/>
    </row>
    <row r="73" spans="1:24" x14ac:dyDescent="0.2">
      <c r="A73" s="1"/>
    </row>
    <row r="74" spans="1:24" x14ac:dyDescent="0.2">
      <c r="A74" s="1"/>
    </row>
    <row r="75" spans="1:24" x14ac:dyDescent="0.2">
      <c r="A75" s="1"/>
    </row>
    <row r="76" spans="1:24" x14ac:dyDescent="0.2">
      <c r="A76" s="1"/>
    </row>
    <row r="77" spans="1:24" x14ac:dyDescent="0.2">
      <c r="A77" s="1"/>
    </row>
    <row r="78" spans="1:24" x14ac:dyDescent="0.2">
      <c r="A78" s="1"/>
    </row>
    <row r="79" spans="1:24" x14ac:dyDescent="0.2">
      <c r="A79" s="1"/>
    </row>
    <row r="80" spans="1:24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</sheetData>
  <mergeCells count="66">
    <mergeCell ref="N35:O35"/>
    <mergeCell ref="P35:Q35"/>
    <mergeCell ref="R35:S35"/>
    <mergeCell ref="W35:X35"/>
    <mergeCell ref="B35:C35"/>
    <mergeCell ref="D35:E35"/>
    <mergeCell ref="F35:G35"/>
    <mergeCell ref="H35:I35"/>
    <mergeCell ref="J35:K35"/>
    <mergeCell ref="L35:M35"/>
    <mergeCell ref="T35:U35"/>
    <mergeCell ref="N9:O9"/>
    <mergeCell ref="P9:Q9"/>
    <mergeCell ref="R9:S9"/>
    <mergeCell ref="W9:X9"/>
    <mergeCell ref="B9:C9"/>
    <mergeCell ref="D9:E9"/>
    <mergeCell ref="F9:G9"/>
    <mergeCell ref="H9:I9"/>
    <mergeCell ref="J9:K9"/>
    <mergeCell ref="L9:M9"/>
    <mergeCell ref="T9:U9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W17:X17"/>
    <mergeCell ref="T17:U17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W19:X19"/>
    <mergeCell ref="T19:U19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W26:X26"/>
    <mergeCell ref="T26:U26"/>
    <mergeCell ref="B29:C29"/>
    <mergeCell ref="D29:E29"/>
    <mergeCell ref="F29:G29"/>
    <mergeCell ref="H29:I29"/>
    <mergeCell ref="J29:K29"/>
    <mergeCell ref="N29:O29"/>
    <mergeCell ref="P29:Q29"/>
    <mergeCell ref="R29:S29"/>
    <mergeCell ref="W29:X29"/>
    <mergeCell ref="L29:M29"/>
    <mergeCell ref="T29:U29"/>
  </mergeCells>
  <pageMargins left="0.7" right="0.7" top="0.5" bottom="0.5" header="0.3" footer="0.3"/>
  <pageSetup scale="65" orientation="landscape" r:id="rId1"/>
  <headerFooter>
    <oddFooter xml:space="preserve">&amp;LPrepared by Planning and Analysis&amp;C&amp;P of &amp;N&amp;RUpdated &amp;D
</oddFooter>
  </headerFooter>
  <rowBreaks count="1" manualBreakCount="1">
    <brk id="33" max="21" man="1"/>
  </rowBreaks>
  <colBreaks count="1" manualBreakCount="1">
    <brk id="21" min="8" max="69" man="1"/>
  </colBreaks>
  <ignoredErrors>
    <ignoredError sqref="J51:J6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441"/>
  <sheetViews>
    <sheetView view="pageBreakPreview" topLeftCell="A10" zoomScale="90" zoomScaleNormal="100" zoomScaleSheetLayoutView="90" workbookViewId="0">
      <pane xSplit="5" topLeftCell="F1" activePane="topRight" state="frozen"/>
      <selection activeCell="U23" sqref="U23"/>
      <selection pane="topRight" activeCell="U23" sqref="U23"/>
    </sheetView>
  </sheetViews>
  <sheetFormatPr defaultColWidth="10.28515625" defaultRowHeight="12.75" x14ac:dyDescent="0.2"/>
  <cols>
    <col min="1" max="1" width="36.28515625" customWidth="1"/>
    <col min="2" max="2" width="6.7109375" hidden="1" customWidth="1"/>
    <col min="3" max="3" width="10.7109375" hidden="1" customWidth="1"/>
    <col min="4" max="4" width="7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4" ht="15.75" x14ac:dyDescent="0.25">
      <c r="A1" s="636" t="s">
        <v>208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</row>
    <row r="2" spans="1:24" ht="15.75" x14ac:dyDescent="0.25">
      <c r="A2" s="636" t="s">
        <v>209</v>
      </c>
    </row>
    <row r="3" spans="1:24" x14ac:dyDescent="0.2">
      <c r="A3" s="556"/>
    </row>
    <row r="4" spans="1:24" ht="15.75" x14ac:dyDescent="0.25">
      <c r="A4" s="157" t="s">
        <v>211</v>
      </c>
    </row>
    <row r="5" spans="1:24" x14ac:dyDescent="0.2">
      <c r="A5" s="24"/>
      <c r="U5" t="s">
        <v>16</v>
      </c>
    </row>
    <row r="6" spans="1:24" x14ac:dyDescent="0.2">
      <c r="A6" s="2" t="s">
        <v>239</v>
      </c>
    </row>
    <row r="7" spans="1:24" x14ac:dyDescent="0.2">
      <c r="A7" s="966">
        <v>3670010080</v>
      </c>
    </row>
    <row r="8" spans="1:24" ht="13.5" thickBot="1" x14ac:dyDescent="0.25">
      <c r="A8" s="1"/>
    </row>
    <row r="9" spans="1:24" ht="13.5" thickTop="1" x14ac:dyDescent="0.2">
      <c r="A9" s="215"/>
      <c r="B9" s="1304" t="s">
        <v>0</v>
      </c>
      <c r="C9" s="1305"/>
      <c r="D9" s="1304" t="s">
        <v>1</v>
      </c>
      <c r="E9" s="1305"/>
      <c r="F9" s="1304" t="s">
        <v>2</v>
      </c>
      <c r="G9" s="1305"/>
      <c r="H9" s="1304" t="s">
        <v>3</v>
      </c>
      <c r="I9" s="1305"/>
      <c r="J9" s="1304" t="s">
        <v>4</v>
      </c>
      <c r="K9" s="1305"/>
      <c r="L9" s="1304" t="s">
        <v>5</v>
      </c>
      <c r="M9" s="1305"/>
      <c r="N9" s="1304" t="s">
        <v>6</v>
      </c>
      <c r="O9" s="1305"/>
      <c r="P9" s="1304" t="s">
        <v>7</v>
      </c>
      <c r="Q9" s="1305"/>
      <c r="R9" s="1304" t="s">
        <v>8</v>
      </c>
      <c r="S9" s="1305"/>
      <c r="T9" s="1304" t="s">
        <v>254</v>
      </c>
      <c r="U9" s="1306"/>
      <c r="W9" s="1326" t="s">
        <v>9</v>
      </c>
      <c r="X9" s="1327"/>
    </row>
    <row r="10" spans="1:24" x14ac:dyDescent="0.2">
      <c r="A10" s="216"/>
      <c r="B10" s="28" t="s">
        <v>235</v>
      </c>
      <c r="C10" s="5" t="s">
        <v>11</v>
      </c>
      <c r="D10" s="28" t="s">
        <v>235</v>
      </c>
      <c r="E10" s="5" t="s">
        <v>11</v>
      </c>
      <c r="F10" s="28" t="s">
        <v>235</v>
      </c>
      <c r="G10" s="5" t="s">
        <v>11</v>
      </c>
      <c r="H10" s="28" t="s">
        <v>235</v>
      </c>
      <c r="I10" s="5" t="s">
        <v>11</v>
      </c>
      <c r="J10" s="28" t="s">
        <v>235</v>
      </c>
      <c r="K10" s="5" t="s">
        <v>11</v>
      </c>
      <c r="L10" s="28" t="s">
        <v>235</v>
      </c>
      <c r="M10" s="5" t="s">
        <v>11</v>
      </c>
      <c r="N10" s="28" t="s">
        <v>235</v>
      </c>
      <c r="O10" s="5" t="s">
        <v>11</v>
      </c>
      <c r="P10" s="28" t="s">
        <v>235</v>
      </c>
      <c r="Q10" s="5" t="s">
        <v>11</v>
      </c>
      <c r="R10" s="28" t="s">
        <v>235</v>
      </c>
      <c r="S10" s="5" t="s">
        <v>11</v>
      </c>
      <c r="T10" s="28" t="s">
        <v>235</v>
      </c>
      <c r="U10" s="52" t="s">
        <v>11</v>
      </c>
      <c r="W10" s="3" t="s">
        <v>236</v>
      </c>
      <c r="X10" s="4" t="s">
        <v>13</v>
      </c>
    </row>
    <row r="11" spans="1:24" ht="13.5" thickBot="1" x14ac:dyDescent="0.25">
      <c r="A11" s="30" t="s">
        <v>84</v>
      </c>
      <c r="B11" s="29" t="s">
        <v>14</v>
      </c>
      <c r="C11" s="29" t="s">
        <v>15</v>
      </c>
      <c r="D11" s="62" t="s">
        <v>14</v>
      </c>
      <c r="E11" s="63" t="s">
        <v>15</v>
      </c>
      <c r="F11" s="62" t="s">
        <v>14</v>
      </c>
      <c r="G11" s="63" t="s">
        <v>15</v>
      </c>
      <c r="H11" s="29" t="s">
        <v>14</v>
      </c>
      <c r="I11" s="959" t="s">
        <v>15</v>
      </c>
      <c r="J11" s="62" t="s">
        <v>14</v>
      </c>
      <c r="K11" s="63" t="s">
        <v>15</v>
      </c>
      <c r="L11" s="29" t="s">
        <v>14</v>
      </c>
      <c r="M11" s="959" t="s">
        <v>15</v>
      </c>
      <c r="N11" s="62" t="s">
        <v>14</v>
      </c>
      <c r="O11" s="63" t="s">
        <v>15</v>
      </c>
      <c r="P11" s="62" t="s">
        <v>14</v>
      </c>
      <c r="Q11" s="63" t="s">
        <v>15</v>
      </c>
      <c r="R11" s="62" t="s">
        <v>14</v>
      </c>
      <c r="S11" s="63" t="s">
        <v>15</v>
      </c>
      <c r="T11" s="62" t="s">
        <v>14</v>
      </c>
      <c r="U11" s="1213" t="s">
        <v>15</v>
      </c>
      <c r="W11" s="6" t="s">
        <v>14</v>
      </c>
      <c r="X11" s="7" t="s">
        <v>15</v>
      </c>
    </row>
    <row r="12" spans="1:24" ht="15" customHeight="1" x14ac:dyDescent="0.2">
      <c r="A12" s="257" t="s">
        <v>157</v>
      </c>
      <c r="B12" s="597"/>
      <c r="C12" s="687"/>
      <c r="D12" s="594"/>
      <c r="E12" s="688"/>
      <c r="F12" s="597"/>
      <c r="G12" s="688"/>
      <c r="H12" s="597"/>
      <c r="I12" s="688"/>
      <c r="J12" s="597"/>
      <c r="K12" s="688"/>
      <c r="L12" s="597"/>
      <c r="M12" s="688"/>
      <c r="N12" s="597"/>
      <c r="O12" s="688"/>
      <c r="P12" s="597"/>
      <c r="Q12" s="688"/>
      <c r="R12" s="597"/>
      <c r="S12" s="688"/>
      <c r="T12" s="597"/>
      <c r="U12" s="736"/>
      <c r="V12" s="372"/>
      <c r="W12" s="478"/>
      <c r="X12" s="592"/>
    </row>
    <row r="13" spans="1:24" ht="15" customHeight="1" x14ac:dyDescent="0.2">
      <c r="A13" s="156" t="s">
        <v>88</v>
      </c>
      <c r="B13" s="260">
        <v>25</v>
      </c>
      <c r="C13" s="261">
        <v>9</v>
      </c>
      <c r="D13" s="260">
        <v>21</v>
      </c>
      <c r="E13" s="262">
        <v>9</v>
      </c>
      <c r="F13" s="263">
        <v>20</v>
      </c>
      <c r="G13" s="262">
        <v>6</v>
      </c>
      <c r="H13" s="263">
        <v>21</v>
      </c>
      <c r="I13" s="262">
        <v>11</v>
      </c>
      <c r="J13" s="263">
        <v>22</v>
      </c>
      <c r="K13" s="262">
        <v>2</v>
      </c>
      <c r="L13" s="263">
        <v>36</v>
      </c>
      <c r="M13" s="262">
        <v>7</v>
      </c>
      <c r="N13" s="263">
        <v>35</v>
      </c>
      <c r="O13" s="262">
        <v>7</v>
      </c>
      <c r="P13" s="263">
        <v>31</v>
      </c>
      <c r="Q13" s="262">
        <v>11</v>
      </c>
      <c r="R13" s="263">
        <v>23</v>
      </c>
      <c r="S13" s="262">
        <v>11</v>
      </c>
      <c r="T13" s="263">
        <v>15</v>
      </c>
      <c r="U13" s="1280"/>
      <c r="W13" s="222">
        <f>AVERAGE(N13,L13,R13,T13,P13)</f>
        <v>28</v>
      </c>
      <c r="X13" s="233">
        <f>AVERAGE(O13,M13,S13,K13,Q13)</f>
        <v>7.6</v>
      </c>
    </row>
    <row r="14" spans="1:24" ht="15" customHeight="1" x14ac:dyDescent="0.2">
      <c r="A14" s="156" t="s">
        <v>131</v>
      </c>
      <c r="B14" s="260">
        <v>18</v>
      </c>
      <c r="C14" s="261">
        <v>3</v>
      </c>
      <c r="D14" s="260">
        <v>20</v>
      </c>
      <c r="E14" s="262">
        <v>2</v>
      </c>
      <c r="F14" s="263">
        <v>24</v>
      </c>
      <c r="G14" s="262">
        <v>1</v>
      </c>
      <c r="H14" s="263">
        <v>30</v>
      </c>
      <c r="I14" s="262">
        <v>5</v>
      </c>
      <c r="J14" s="263">
        <v>25</v>
      </c>
      <c r="K14" s="262">
        <v>6</v>
      </c>
      <c r="L14" s="263">
        <v>21</v>
      </c>
      <c r="M14" s="262">
        <v>6</v>
      </c>
      <c r="N14" s="263">
        <v>22</v>
      </c>
      <c r="O14" s="262">
        <v>2</v>
      </c>
      <c r="P14" s="263">
        <v>25</v>
      </c>
      <c r="Q14" s="262">
        <v>6</v>
      </c>
      <c r="R14" s="263">
        <v>28</v>
      </c>
      <c r="S14" s="262">
        <v>4</v>
      </c>
      <c r="T14" s="263">
        <v>25</v>
      </c>
      <c r="U14" s="1280"/>
      <c r="W14" s="222">
        <f>AVERAGE(N14,L14,R14,T14,P14)</f>
        <v>24.2</v>
      </c>
      <c r="X14" s="233">
        <f>AVERAGE(O14,M14,S14,K14,Q14)</f>
        <v>4.8</v>
      </c>
    </row>
    <row r="15" spans="1:24" ht="15" customHeight="1" x14ac:dyDescent="0.2">
      <c r="A15" s="257" t="s">
        <v>158</v>
      </c>
      <c r="B15" s="597"/>
      <c r="C15" s="687"/>
      <c r="D15" s="594"/>
      <c r="E15" s="688"/>
      <c r="F15" s="597"/>
      <c r="G15" s="688"/>
      <c r="H15" s="597"/>
      <c r="I15" s="688"/>
      <c r="J15" s="597"/>
      <c r="K15" s="688"/>
      <c r="L15" s="597"/>
      <c r="M15" s="688"/>
      <c r="N15" s="597"/>
      <c r="O15" s="688"/>
      <c r="P15" s="597"/>
      <c r="Q15" s="688"/>
      <c r="R15" s="597"/>
      <c r="S15" s="688"/>
      <c r="T15" s="597"/>
      <c r="U15" s="221"/>
      <c r="V15" s="372"/>
      <c r="W15" s="478"/>
      <c r="X15" s="592"/>
    </row>
    <row r="16" spans="1:24" s="232" customFormat="1" ht="15" customHeight="1" x14ac:dyDescent="0.2">
      <c r="A16" s="224" t="s">
        <v>85</v>
      </c>
      <c r="B16" s="225">
        <v>17</v>
      </c>
      <c r="C16" s="444"/>
      <c r="D16" s="227">
        <v>17</v>
      </c>
      <c r="E16" s="506"/>
      <c r="F16" s="225">
        <v>17</v>
      </c>
      <c r="G16" s="506"/>
      <c r="H16" s="225">
        <v>17</v>
      </c>
      <c r="I16" s="506"/>
      <c r="J16" s="225">
        <v>19</v>
      </c>
      <c r="K16" s="506"/>
      <c r="L16" s="225">
        <v>19</v>
      </c>
      <c r="M16" s="506"/>
      <c r="N16" s="225">
        <v>30</v>
      </c>
      <c r="O16" s="506"/>
      <c r="P16" s="225">
        <v>21</v>
      </c>
      <c r="Q16" s="506"/>
      <c r="R16" s="225">
        <f>12+11</f>
        <v>23</v>
      </c>
      <c r="S16" s="506"/>
      <c r="T16" s="230">
        <v>20</v>
      </c>
      <c r="U16" s="231"/>
      <c r="W16" s="222">
        <f t="shared" ref="W16:W30" si="0">AVERAGE(N16,L16,R16,T16,P16)</f>
        <v>22.6</v>
      </c>
      <c r="X16" s="476"/>
    </row>
    <row r="17" spans="1:24" s="232" customFormat="1" ht="15" customHeight="1" thickBot="1" x14ac:dyDescent="0.25">
      <c r="A17" s="234" t="s">
        <v>86</v>
      </c>
      <c r="B17" s="235">
        <v>16</v>
      </c>
      <c r="C17" s="447"/>
      <c r="D17" s="237">
        <v>24</v>
      </c>
      <c r="E17" s="505"/>
      <c r="F17" s="235">
        <v>23</v>
      </c>
      <c r="G17" s="505"/>
      <c r="H17" s="235">
        <v>27</v>
      </c>
      <c r="I17" s="505"/>
      <c r="J17" s="235">
        <v>29</v>
      </c>
      <c r="K17" s="505"/>
      <c r="L17" s="235">
        <v>23</v>
      </c>
      <c r="M17" s="505"/>
      <c r="N17" s="235">
        <v>22</v>
      </c>
      <c r="O17" s="505"/>
      <c r="P17" s="235">
        <v>31</v>
      </c>
      <c r="Q17" s="505"/>
      <c r="R17" s="235">
        <f>11+23</f>
        <v>34</v>
      </c>
      <c r="S17" s="505"/>
      <c r="T17" s="235">
        <v>26</v>
      </c>
      <c r="U17" s="240"/>
      <c r="W17" s="449">
        <f t="shared" si="0"/>
        <v>27.2</v>
      </c>
      <c r="X17" s="477"/>
    </row>
    <row r="18" spans="1:24" s="33" customFormat="1" ht="15" customHeight="1" thickBot="1" x14ac:dyDescent="0.25">
      <c r="A18" s="241" t="s">
        <v>87</v>
      </c>
      <c r="B18" s="242">
        <f t="shared" ref="B18:R18" si="1">SUM(B16:B17)</f>
        <v>33</v>
      </c>
      <c r="C18" s="243">
        <v>5</v>
      </c>
      <c r="D18" s="242">
        <f t="shared" si="1"/>
        <v>41</v>
      </c>
      <c r="E18" s="243">
        <v>8</v>
      </c>
      <c r="F18" s="242">
        <f t="shared" si="1"/>
        <v>40</v>
      </c>
      <c r="G18" s="243">
        <v>4</v>
      </c>
      <c r="H18" s="242">
        <f t="shared" si="1"/>
        <v>44</v>
      </c>
      <c r="I18" s="243">
        <v>8</v>
      </c>
      <c r="J18" s="242">
        <f t="shared" si="1"/>
        <v>48</v>
      </c>
      <c r="K18" s="243">
        <v>12</v>
      </c>
      <c r="L18" s="242">
        <f t="shared" si="1"/>
        <v>42</v>
      </c>
      <c r="M18" s="243">
        <v>7</v>
      </c>
      <c r="N18" s="242">
        <f t="shared" si="1"/>
        <v>52</v>
      </c>
      <c r="O18" s="243">
        <v>9</v>
      </c>
      <c r="P18" s="242">
        <f t="shared" si="1"/>
        <v>52</v>
      </c>
      <c r="Q18" s="243">
        <v>6</v>
      </c>
      <c r="R18" s="242">
        <f t="shared" si="1"/>
        <v>57</v>
      </c>
      <c r="S18" s="243">
        <v>18</v>
      </c>
      <c r="T18" s="242">
        <v>46</v>
      </c>
      <c r="U18" s="1191">
        <f t="shared" ref="U18" si="2">SUM(U16:U17)</f>
        <v>0</v>
      </c>
      <c r="W18" s="831">
        <f t="shared" si="0"/>
        <v>49.8</v>
      </c>
      <c r="X18" s="960">
        <f t="shared" ref="X18:X19" si="3">AVERAGE(O18,M18,S18,K18,Q18)</f>
        <v>10.4</v>
      </c>
    </row>
    <row r="19" spans="1:24" s="33" customFormat="1" ht="15" customHeight="1" x14ac:dyDescent="0.2">
      <c r="A19" s="259" t="s">
        <v>126</v>
      </c>
      <c r="B19" s="219">
        <v>2</v>
      </c>
      <c r="C19" s="218">
        <v>1</v>
      </c>
      <c r="D19" s="219">
        <v>2</v>
      </c>
      <c r="E19" s="220">
        <v>1</v>
      </c>
      <c r="F19" s="217">
        <v>2</v>
      </c>
      <c r="G19" s="220">
        <v>2</v>
      </c>
      <c r="H19" s="217">
        <v>2</v>
      </c>
      <c r="I19" s="220">
        <v>0</v>
      </c>
      <c r="J19" s="217">
        <v>1</v>
      </c>
      <c r="K19" s="220">
        <v>0</v>
      </c>
      <c r="L19" s="217">
        <v>3</v>
      </c>
      <c r="M19" s="220">
        <v>1</v>
      </c>
      <c r="N19" s="217">
        <v>4</v>
      </c>
      <c r="O19" s="220">
        <v>0</v>
      </c>
      <c r="P19" s="217">
        <v>7</v>
      </c>
      <c r="Q19" s="220">
        <v>2</v>
      </c>
      <c r="R19" s="217">
        <v>4</v>
      </c>
      <c r="S19" s="220">
        <v>1</v>
      </c>
      <c r="T19" s="258">
        <v>5</v>
      </c>
      <c r="U19" s="1281"/>
      <c r="W19" s="450">
        <f t="shared" si="0"/>
        <v>4.5999999999999996</v>
      </c>
      <c r="X19" s="451">
        <f t="shared" si="3"/>
        <v>0.8</v>
      </c>
    </row>
    <row r="20" spans="1:24" ht="15" customHeight="1" x14ac:dyDescent="0.2">
      <c r="A20" s="257" t="s">
        <v>159</v>
      </c>
      <c r="B20" s="597"/>
      <c r="C20" s="687"/>
      <c r="D20" s="594"/>
      <c r="E20" s="688"/>
      <c r="F20" s="597"/>
      <c r="G20" s="688"/>
      <c r="H20" s="597"/>
      <c r="I20" s="688"/>
      <c r="J20" s="597"/>
      <c r="K20" s="688"/>
      <c r="L20" s="597"/>
      <c r="M20" s="688"/>
      <c r="N20" s="597"/>
      <c r="O20" s="688"/>
      <c r="P20" s="597"/>
      <c r="Q20" s="688"/>
      <c r="R20" s="597"/>
      <c r="S20" s="688"/>
      <c r="T20" s="597"/>
      <c r="U20" s="221"/>
      <c r="V20" s="372"/>
      <c r="W20" s="478"/>
      <c r="X20" s="592"/>
    </row>
    <row r="21" spans="1:24" s="232" customFormat="1" ht="15" customHeight="1" x14ac:dyDescent="0.2">
      <c r="A21" s="224" t="s">
        <v>85</v>
      </c>
      <c r="B21" s="225">
        <v>20</v>
      </c>
      <c r="C21" s="444"/>
      <c r="D21" s="227">
        <v>23</v>
      </c>
      <c r="E21" s="506"/>
      <c r="F21" s="225">
        <v>33</v>
      </c>
      <c r="G21" s="506"/>
      <c r="H21" s="225">
        <v>40</v>
      </c>
      <c r="I21" s="506"/>
      <c r="J21" s="225">
        <v>28</v>
      </c>
      <c r="K21" s="506"/>
      <c r="L21" s="225">
        <v>42</v>
      </c>
      <c r="M21" s="506"/>
      <c r="N21" s="225">
        <v>43</v>
      </c>
      <c r="O21" s="506"/>
      <c r="P21" s="225">
        <v>35</v>
      </c>
      <c r="Q21" s="506"/>
      <c r="R21" s="225">
        <f>15+7</f>
        <v>22</v>
      </c>
      <c r="S21" s="506"/>
      <c r="T21" s="230">
        <v>31</v>
      </c>
      <c r="U21" s="231"/>
      <c r="W21" s="222">
        <f t="shared" si="0"/>
        <v>34.6</v>
      </c>
      <c r="X21" s="476"/>
    </row>
    <row r="22" spans="1:24" s="232" customFormat="1" ht="15" customHeight="1" thickBot="1" x14ac:dyDescent="0.25">
      <c r="A22" s="234" t="s">
        <v>86</v>
      </c>
      <c r="B22" s="235">
        <v>13</v>
      </c>
      <c r="C22" s="447"/>
      <c r="D22" s="237">
        <v>17</v>
      </c>
      <c r="E22" s="505"/>
      <c r="F22" s="235">
        <v>31</v>
      </c>
      <c r="G22" s="505"/>
      <c r="H22" s="235">
        <v>37</v>
      </c>
      <c r="I22" s="505"/>
      <c r="J22" s="235">
        <v>43</v>
      </c>
      <c r="K22" s="505"/>
      <c r="L22" s="235">
        <v>33</v>
      </c>
      <c r="M22" s="505"/>
      <c r="N22" s="235">
        <v>45</v>
      </c>
      <c r="O22" s="505"/>
      <c r="P22" s="235">
        <v>57</v>
      </c>
      <c r="Q22" s="505"/>
      <c r="R22" s="235">
        <f>13+35</f>
        <v>48</v>
      </c>
      <c r="S22" s="505"/>
      <c r="T22" s="235">
        <v>41</v>
      </c>
      <c r="U22" s="240"/>
      <c r="W22" s="449">
        <f t="shared" si="0"/>
        <v>44.8</v>
      </c>
      <c r="X22" s="477"/>
    </row>
    <row r="23" spans="1:24" s="33" customFormat="1" ht="15" customHeight="1" thickBot="1" x14ac:dyDescent="0.25">
      <c r="A23" s="241" t="s">
        <v>87</v>
      </c>
      <c r="B23" s="242">
        <f t="shared" ref="B23" si="4">SUM(B21:B22)</f>
        <v>33</v>
      </c>
      <c r="C23" s="243">
        <v>6</v>
      </c>
      <c r="D23" s="242">
        <f t="shared" ref="D23" si="5">SUM(D21:D22)</f>
        <v>40</v>
      </c>
      <c r="E23" s="243">
        <v>4</v>
      </c>
      <c r="F23" s="242">
        <f t="shared" ref="F23" si="6">SUM(F21:F22)</f>
        <v>64</v>
      </c>
      <c r="G23" s="243">
        <v>7</v>
      </c>
      <c r="H23" s="242">
        <f t="shared" ref="H23" si="7">SUM(H21:H22)</f>
        <v>77</v>
      </c>
      <c r="I23" s="243">
        <v>5</v>
      </c>
      <c r="J23" s="242">
        <f t="shared" ref="J23" si="8">SUM(J21:J22)</f>
        <v>71</v>
      </c>
      <c r="K23" s="243">
        <v>19</v>
      </c>
      <c r="L23" s="242">
        <f t="shared" ref="L23" si="9">SUM(L21:L22)</f>
        <v>75</v>
      </c>
      <c r="M23" s="243">
        <v>12</v>
      </c>
      <c r="N23" s="242">
        <f t="shared" ref="N23" si="10">SUM(N21:N22)</f>
        <v>88</v>
      </c>
      <c r="O23" s="243">
        <v>8</v>
      </c>
      <c r="P23" s="242">
        <f t="shared" ref="P23" si="11">SUM(P21:P22)</f>
        <v>92</v>
      </c>
      <c r="Q23" s="243">
        <v>22</v>
      </c>
      <c r="R23" s="242">
        <f t="shared" ref="R23" si="12">SUM(R21:R22)</f>
        <v>70</v>
      </c>
      <c r="S23" s="243">
        <v>15</v>
      </c>
      <c r="T23" s="242">
        <v>72</v>
      </c>
      <c r="U23" s="1191">
        <f t="shared" ref="U23" si="13">SUM(U21:U22)</f>
        <v>0</v>
      </c>
      <c r="W23" s="831">
        <f t="shared" si="0"/>
        <v>79.400000000000006</v>
      </c>
      <c r="X23" s="960">
        <f t="shared" ref="X23:X24" si="14">AVERAGE(O23,M23,S23,K23,Q23)</f>
        <v>15.2</v>
      </c>
    </row>
    <row r="24" spans="1:24" s="33" customFormat="1" ht="15" customHeight="1" x14ac:dyDescent="0.2">
      <c r="A24" s="259" t="s">
        <v>126</v>
      </c>
      <c r="B24" s="260">
        <v>1</v>
      </c>
      <c r="C24" s="261">
        <v>0</v>
      </c>
      <c r="D24" s="260">
        <v>2</v>
      </c>
      <c r="E24" s="262">
        <v>1</v>
      </c>
      <c r="F24" s="263">
        <v>4</v>
      </c>
      <c r="G24" s="262">
        <v>0</v>
      </c>
      <c r="H24" s="263">
        <v>3</v>
      </c>
      <c r="I24" s="262">
        <v>0</v>
      </c>
      <c r="J24" s="263">
        <v>4</v>
      </c>
      <c r="K24" s="262">
        <v>1</v>
      </c>
      <c r="L24" s="263">
        <v>6</v>
      </c>
      <c r="M24" s="262">
        <v>0</v>
      </c>
      <c r="N24" s="263">
        <v>12</v>
      </c>
      <c r="O24" s="262">
        <v>1</v>
      </c>
      <c r="P24" s="263">
        <v>11</v>
      </c>
      <c r="Q24" s="262">
        <v>0</v>
      </c>
      <c r="R24" s="263">
        <v>11</v>
      </c>
      <c r="S24" s="262">
        <v>1</v>
      </c>
      <c r="T24" s="258">
        <v>8</v>
      </c>
      <c r="U24" s="1281"/>
      <c r="W24" s="450">
        <f t="shared" si="0"/>
        <v>9.6</v>
      </c>
      <c r="X24" s="451">
        <f t="shared" si="14"/>
        <v>0.6</v>
      </c>
    </row>
    <row r="25" spans="1:24" ht="15" customHeight="1" x14ac:dyDescent="0.2">
      <c r="A25" s="257" t="s">
        <v>160</v>
      </c>
      <c r="B25" s="597"/>
      <c r="C25" s="687"/>
      <c r="D25" s="594"/>
      <c r="E25" s="688"/>
      <c r="F25" s="597"/>
      <c r="G25" s="688"/>
      <c r="H25" s="597"/>
      <c r="I25" s="688"/>
      <c r="J25" s="597"/>
      <c r="K25" s="688"/>
      <c r="L25" s="597"/>
      <c r="M25" s="688"/>
      <c r="N25" s="597"/>
      <c r="O25" s="688"/>
      <c r="P25" s="597"/>
      <c r="Q25" s="688"/>
      <c r="R25" s="597"/>
      <c r="S25" s="688"/>
      <c r="T25" s="597"/>
      <c r="U25" s="221"/>
      <c r="V25" s="372"/>
      <c r="W25" s="478"/>
      <c r="X25" s="592"/>
    </row>
    <row r="26" spans="1:24" s="232" customFormat="1" ht="15" customHeight="1" x14ac:dyDescent="0.2">
      <c r="A26" s="224" t="s">
        <v>85</v>
      </c>
      <c r="B26" s="225">
        <v>38</v>
      </c>
      <c r="C26" s="444"/>
      <c r="D26" s="227">
        <v>39</v>
      </c>
      <c r="E26" s="506"/>
      <c r="F26" s="225">
        <v>36</v>
      </c>
      <c r="G26" s="506"/>
      <c r="H26" s="225">
        <v>42</v>
      </c>
      <c r="I26" s="506"/>
      <c r="J26" s="225">
        <v>49</v>
      </c>
      <c r="K26" s="506"/>
      <c r="L26" s="225">
        <v>41</v>
      </c>
      <c r="M26" s="506"/>
      <c r="N26" s="225">
        <v>30</v>
      </c>
      <c r="O26" s="506"/>
      <c r="P26" s="225">
        <v>34</v>
      </c>
      <c r="Q26" s="506"/>
      <c r="R26" s="225">
        <f>16+17</f>
        <v>33</v>
      </c>
      <c r="S26" s="506"/>
      <c r="T26" s="230">
        <v>35</v>
      </c>
      <c r="U26" s="231"/>
      <c r="W26" s="222">
        <f t="shared" si="0"/>
        <v>34.6</v>
      </c>
      <c r="X26" s="476"/>
    </row>
    <row r="27" spans="1:24" s="232" customFormat="1" ht="15" customHeight="1" thickBot="1" x14ac:dyDescent="0.25">
      <c r="A27" s="234" t="s">
        <v>86</v>
      </c>
      <c r="B27" s="235">
        <v>42</v>
      </c>
      <c r="C27" s="447"/>
      <c r="D27" s="237">
        <v>44</v>
      </c>
      <c r="E27" s="505"/>
      <c r="F27" s="235">
        <v>46</v>
      </c>
      <c r="G27" s="505"/>
      <c r="H27" s="235">
        <v>51</v>
      </c>
      <c r="I27" s="505"/>
      <c r="J27" s="235">
        <v>45</v>
      </c>
      <c r="K27" s="505"/>
      <c r="L27" s="235">
        <v>48</v>
      </c>
      <c r="M27" s="505"/>
      <c r="N27" s="235">
        <v>45</v>
      </c>
      <c r="O27" s="505"/>
      <c r="P27" s="235">
        <v>41</v>
      </c>
      <c r="Q27" s="505"/>
      <c r="R27" s="235">
        <f>14+21</f>
        <v>35</v>
      </c>
      <c r="S27" s="505"/>
      <c r="T27" s="235">
        <v>39</v>
      </c>
      <c r="U27" s="240"/>
      <c r="W27" s="449">
        <f t="shared" si="0"/>
        <v>41.6</v>
      </c>
      <c r="X27" s="477"/>
    </row>
    <row r="28" spans="1:24" s="33" customFormat="1" ht="15" customHeight="1" thickBot="1" x14ac:dyDescent="0.25">
      <c r="A28" s="241" t="s">
        <v>87</v>
      </c>
      <c r="B28" s="242">
        <f t="shared" ref="B28" si="15">SUM(B26:B27)</f>
        <v>80</v>
      </c>
      <c r="C28" s="243">
        <v>14</v>
      </c>
      <c r="D28" s="242">
        <f t="shared" ref="D28" si="16">SUM(D26:D27)</f>
        <v>83</v>
      </c>
      <c r="E28" s="243">
        <v>19</v>
      </c>
      <c r="F28" s="242">
        <f t="shared" ref="F28" si="17">SUM(F26:F27)</f>
        <v>82</v>
      </c>
      <c r="G28" s="243">
        <v>13</v>
      </c>
      <c r="H28" s="242">
        <f t="shared" ref="H28" si="18">SUM(H26:H27)</f>
        <v>93</v>
      </c>
      <c r="I28" s="243">
        <v>17</v>
      </c>
      <c r="J28" s="242">
        <f t="shared" ref="J28" si="19">SUM(J26:J27)</f>
        <v>94</v>
      </c>
      <c r="K28" s="243">
        <v>23</v>
      </c>
      <c r="L28" s="242">
        <f t="shared" ref="L28" si="20">SUM(L26:L27)</f>
        <v>89</v>
      </c>
      <c r="M28" s="243">
        <v>12</v>
      </c>
      <c r="N28" s="242">
        <f t="shared" ref="N28" si="21">SUM(N26:N27)</f>
        <v>75</v>
      </c>
      <c r="O28" s="243">
        <v>23</v>
      </c>
      <c r="P28" s="242">
        <f t="shared" ref="P28" si="22">SUM(P26:P27)</f>
        <v>75</v>
      </c>
      <c r="Q28" s="243">
        <v>16</v>
      </c>
      <c r="R28" s="242">
        <f t="shared" ref="R28" si="23">SUM(R26:R27)</f>
        <v>68</v>
      </c>
      <c r="S28" s="243">
        <v>14</v>
      </c>
      <c r="T28" s="242">
        <v>74</v>
      </c>
      <c r="U28" s="1191">
        <f t="shared" ref="U28" si="24">SUM(U26:U27)</f>
        <v>0</v>
      </c>
      <c r="W28" s="831">
        <f t="shared" si="0"/>
        <v>76.2</v>
      </c>
      <c r="X28" s="960">
        <f t="shared" ref="X28:X30" si="25">AVERAGE(O28,M28,S28,K28,Q28)</f>
        <v>17.600000000000001</v>
      </c>
    </row>
    <row r="29" spans="1:24" s="33" customFormat="1" ht="15" customHeight="1" x14ac:dyDescent="0.2">
      <c r="A29" s="1076" t="s">
        <v>161</v>
      </c>
      <c r="B29" s="413"/>
      <c r="C29" s="414"/>
      <c r="D29" s="413"/>
      <c r="E29" s="408"/>
      <c r="F29" s="1272"/>
      <c r="G29" s="1273"/>
      <c r="H29" s="1274"/>
      <c r="I29" s="1273"/>
      <c r="J29" s="1274"/>
      <c r="K29" s="1273"/>
      <c r="L29" s="1274"/>
      <c r="M29" s="1273"/>
      <c r="N29" s="1274"/>
      <c r="O29" s="1273"/>
      <c r="P29" s="526">
        <v>1</v>
      </c>
      <c r="Q29" s="1275">
        <v>0</v>
      </c>
      <c r="R29" s="526">
        <v>1</v>
      </c>
      <c r="S29" s="1275">
        <v>0</v>
      </c>
      <c r="T29" s="526">
        <v>0</v>
      </c>
      <c r="U29" s="1282"/>
      <c r="W29" s="450">
        <f t="shared" si="0"/>
        <v>0.66666666666666663</v>
      </c>
      <c r="X29" s="451">
        <f t="shared" si="25"/>
        <v>0</v>
      </c>
    </row>
    <row r="30" spans="1:24" s="232" customFormat="1" ht="15" customHeight="1" thickBot="1" x14ac:dyDescent="0.25">
      <c r="A30" s="344" t="s">
        <v>162</v>
      </c>
      <c r="B30" s="409">
        <v>1</v>
      </c>
      <c r="C30" s="410">
        <v>0</v>
      </c>
      <c r="D30" s="409">
        <v>0</v>
      </c>
      <c r="E30" s="411">
        <v>0</v>
      </c>
      <c r="F30" s="412">
        <v>1</v>
      </c>
      <c r="G30" s="411">
        <v>1</v>
      </c>
      <c r="H30" s="412">
        <v>1</v>
      </c>
      <c r="I30" s="411">
        <v>0</v>
      </c>
      <c r="J30" s="412">
        <v>1</v>
      </c>
      <c r="K30" s="411">
        <v>0</v>
      </c>
      <c r="L30" s="412">
        <v>1</v>
      </c>
      <c r="M30" s="411">
        <v>0</v>
      </c>
      <c r="N30" s="412">
        <v>2</v>
      </c>
      <c r="O30" s="411">
        <v>0</v>
      </c>
      <c r="P30" s="412">
        <v>1</v>
      </c>
      <c r="Q30" s="411">
        <v>0</v>
      </c>
      <c r="R30" s="412">
        <v>1</v>
      </c>
      <c r="S30" s="411">
        <v>0</v>
      </c>
      <c r="T30" s="412">
        <v>0</v>
      </c>
      <c r="U30" s="1283"/>
      <c r="W30" s="479">
        <f t="shared" si="0"/>
        <v>1</v>
      </c>
      <c r="X30" s="480">
        <f t="shared" si="25"/>
        <v>0</v>
      </c>
    </row>
    <row r="31" spans="1:24" ht="18" customHeight="1" thickTop="1" thickBot="1" x14ac:dyDescent="0.25">
      <c r="A31" s="390" t="s">
        <v>92</v>
      </c>
      <c r="B31" s="1322"/>
      <c r="C31" s="1323"/>
      <c r="D31" s="1322"/>
      <c r="E31" s="1323"/>
      <c r="F31" s="1322"/>
      <c r="G31" s="1323"/>
      <c r="H31" s="1322"/>
      <c r="I31" s="1323"/>
      <c r="J31" s="1322"/>
      <c r="K31" s="1323"/>
      <c r="L31" s="1322"/>
      <c r="M31" s="1323"/>
      <c r="N31" s="1322"/>
      <c r="O31" s="1323"/>
      <c r="P31" s="1322"/>
      <c r="Q31" s="1323"/>
      <c r="R31" s="1322"/>
      <c r="S31" s="1323"/>
      <c r="T31" s="1322"/>
      <c r="U31" s="1299"/>
      <c r="V31" s="372"/>
      <c r="W31" s="1298"/>
      <c r="X31" s="1299"/>
    </row>
    <row r="32" spans="1:24" ht="15" customHeight="1" x14ac:dyDescent="0.2">
      <c r="A32" s="1075" t="s">
        <v>93</v>
      </c>
      <c r="B32" s="393"/>
      <c r="C32" s="403"/>
      <c r="D32" s="404"/>
      <c r="E32" s="403"/>
      <c r="F32" s="404"/>
      <c r="G32" s="403"/>
      <c r="H32" s="404"/>
      <c r="I32" s="403"/>
      <c r="J32" s="404"/>
      <c r="K32" s="403"/>
      <c r="L32" s="404"/>
      <c r="M32" s="403"/>
      <c r="N32" s="404"/>
      <c r="O32" s="403"/>
      <c r="P32" s="404"/>
      <c r="Q32" s="403"/>
      <c r="R32" s="404"/>
      <c r="S32" s="403"/>
      <c r="T32" s="404"/>
      <c r="U32" s="405"/>
      <c r="V32" s="406"/>
      <c r="W32" s="980"/>
      <c r="X32" s="979" t="e">
        <f t="shared" ref="X32" si="26">AVERAGE(O32,M32,I32,K32,Q32)</f>
        <v>#DIV/0!</v>
      </c>
    </row>
    <row r="33" spans="1:24" ht="15" customHeight="1" x14ac:dyDescent="0.2">
      <c r="A33" s="394" t="s">
        <v>179</v>
      </c>
      <c r="B33" s="481"/>
      <c r="C33" s="486">
        <v>0.75</v>
      </c>
      <c r="D33" s="487"/>
      <c r="E33" s="486">
        <v>0.71</v>
      </c>
      <c r="F33" s="487"/>
      <c r="G33" s="486">
        <v>1</v>
      </c>
      <c r="H33" s="487"/>
      <c r="I33" s="486">
        <v>0.86</v>
      </c>
      <c r="J33" s="487"/>
      <c r="K33" s="486">
        <v>0.83</v>
      </c>
      <c r="L33" s="487"/>
      <c r="M33" s="486">
        <v>0.86</v>
      </c>
      <c r="N33" s="487"/>
      <c r="O33" s="486">
        <v>0.78</v>
      </c>
      <c r="P33" s="487"/>
      <c r="Q33" s="486">
        <v>0.8</v>
      </c>
      <c r="R33" s="487"/>
      <c r="S33" s="469">
        <v>0.75</v>
      </c>
      <c r="T33" s="487" t="s">
        <v>16</v>
      </c>
      <c r="U33" s="1262"/>
      <c r="V33" s="406"/>
      <c r="W33" s="848"/>
      <c r="X33" s="979">
        <f>AVERAGE(O33,M33,S33,K33,Q33)</f>
        <v>0.80400000000000005</v>
      </c>
    </row>
    <row r="34" spans="1:24" ht="15" customHeight="1" x14ac:dyDescent="0.2">
      <c r="A34" s="392" t="s">
        <v>180</v>
      </c>
      <c r="B34" s="481"/>
      <c r="C34" s="486">
        <v>1</v>
      </c>
      <c r="D34" s="487"/>
      <c r="E34" s="486">
        <v>1</v>
      </c>
      <c r="F34" s="487"/>
      <c r="G34" s="486">
        <v>1</v>
      </c>
      <c r="H34" s="487"/>
      <c r="I34" s="486">
        <v>1</v>
      </c>
      <c r="J34" s="487"/>
      <c r="K34" s="486">
        <v>1</v>
      </c>
      <c r="L34" s="487"/>
      <c r="M34" s="486">
        <v>0.75</v>
      </c>
      <c r="N34" s="487"/>
      <c r="O34" s="486">
        <v>0.86</v>
      </c>
      <c r="P34" s="487"/>
      <c r="Q34" s="469">
        <v>0.62</v>
      </c>
      <c r="R34" s="487"/>
      <c r="S34" s="469">
        <v>0.73</v>
      </c>
      <c r="T34" s="487"/>
      <c r="U34" s="1262"/>
      <c r="V34" s="406"/>
      <c r="W34" s="848"/>
      <c r="X34" s="979">
        <f t="shared" ref="X34:X38" si="27">AVERAGE(O34,M34,S34,K34,Q34)</f>
        <v>0.79200000000000004</v>
      </c>
    </row>
    <row r="35" spans="1:24" ht="15" customHeight="1" x14ac:dyDescent="0.2">
      <c r="A35" s="392" t="s">
        <v>181</v>
      </c>
      <c r="B35" s="481"/>
      <c r="C35" s="486">
        <v>0.1</v>
      </c>
      <c r="D35" s="487"/>
      <c r="E35" s="486">
        <v>0.76</v>
      </c>
      <c r="F35" s="487"/>
      <c r="G35" s="486">
        <v>0.83</v>
      </c>
      <c r="H35" s="487"/>
      <c r="I35" s="486">
        <v>0.94</v>
      </c>
      <c r="J35" s="487"/>
      <c r="K35" s="486">
        <v>0.86</v>
      </c>
      <c r="L35" s="487"/>
      <c r="M35" s="486">
        <v>1</v>
      </c>
      <c r="N35" s="487"/>
      <c r="O35" s="486">
        <v>1</v>
      </c>
      <c r="P35" s="487"/>
      <c r="Q35" s="486">
        <v>0.93</v>
      </c>
      <c r="R35" s="487"/>
      <c r="S35" s="469">
        <v>1</v>
      </c>
      <c r="T35" s="487"/>
      <c r="U35" s="1262"/>
      <c r="V35" s="406"/>
      <c r="W35" s="848"/>
      <c r="X35" s="979">
        <f t="shared" si="27"/>
        <v>0.95799999999999996</v>
      </c>
    </row>
    <row r="36" spans="1:24" ht="15" customHeight="1" x14ac:dyDescent="0.2">
      <c r="A36" s="394" t="s">
        <v>182</v>
      </c>
      <c r="B36" s="481"/>
      <c r="C36" s="486">
        <v>0</v>
      </c>
      <c r="D36" s="487"/>
      <c r="E36" s="486">
        <v>0.28999999999999998</v>
      </c>
      <c r="F36" s="487"/>
      <c r="G36" s="486">
        <v>0</v>
      </c>
      <c r="H36" s="487"/>
      <c r="I36" s="486">
        <v>0.14000000000000001</v>
      </c>
      <c r="J36" s="487"/>
      <c r="K36" s="486">
        <v>0.17</v>
      </c>
      <c r="L36" s="487"/>
      <c r="M36" s="486">
        <v>0.14000000000000001</v>
      </c>
      <c r="N36" s="487"/>
      <c r="O36" s="486">
        <v>0.22</v>
      </c>
      <c r="P36" s="487"/>
      <c r="Q36" s="486">
        <v>0.2</v>
      </c>
      <c r="R36" s="487"/>
      <c r="S36" s="469">
        <v>0.19</v>
      </c>
      <c r="T36" s="487"/>
      <c r="U36" s="1262"/>
      <c r="V36" s="406"/>
      <c r="W36" s="848"/>
      <c r="X36" s="979">
        <f t="shared" si="27"/>
        <v>0.18400000000000002</v>
      </c>
    </row>
    <row r="37" spans="1:24" ht="15" customHeight="1" x14ac:dyDescent="0.2">
      <c r="A37" s="394" t="s">
        <v>183</v>
      </c>
      <c r="B37" s="481"/>
      <c r="C37" s="486">
        <v>0</v>
      </c>
      <c r="D37" s="487"/>
      <c r="E37" s="486">
        <v>0</v>
      </c>
      <c r="F37" s="487"/>
      <c r="G37" s="486">
        <v>0</v>
      </c>
      <c r="H37" s="487"/>
      <c r="I37" s="486">
        <v>0</v>
      </c>
      <c r="J37" s="487"/>
      <c r="K37" s="486">
        <v>0</v>
      </c>
      <c r="L37" s="487"/>
      <c r="M37" s="486">
        <v>0.17</v>
      </c>
      <c r="N37" s="487"/>
      <c r="O37" s="486">
        <v>0.14000000000000001</v>
      </c>
      <c r="P37" s="487"/>
      <c r="Q37" s="486">
        <v>0.19</v>
      </c>
      <c r="R37" s="487"/>
      <c r="S37" s="469">
        <v>0.27</v>
      </c>
      <c r="T37" s="487"/>
      <c r="U37" s="1262"/>
      <c r="V37" s="406"/>
      <c r="W37" s="848"/>
      <c r="X37" s="979">
        <f t="shared" si="27"/>
        <v>0.154</v>
      </c>
    </row>
    <row r="38" spans="1:24" ht="15" customHeight="1" x14ac:dyDescent="0.2">
      <c r="A38" s="394" t="s">
        <v>184</v>
      </c>
      <c r="B38" s="481"/>
      <c r="C38" s="486">
        <v>0</v>
      </c>
      <c r="D38" s="487"/>
      <c r="E38" s="486">
        <v>0.18</v>
      </c>
      <c r="F38" s="487"/>
      <c r="G38" s="486">
        <v>0.17</v>
      </c>
      <c r="H38" s="487"/>
      <c r="I38" s="486">
        <v>0.06</v>
      </c>
      <c r="J38" s="487"/>
      <c r="K38" s="486">
        <v>0.09</v>
      </c>
      <c r="L38" s="487"/>
      <c r="M38" s="486">
        <v>0</v>
      </c>
      <c r="N38" s="487"/>
      <c r="O38" s="486">
        <v>0</v>
      </c>
      <c r="P38" s="487"/>
      <c r="Q38" s="486">
        <v>7.0000000000000007E-2</v>
      </c>
      <c r="R38" s="487"/>
      <c r="S38" s="469">
        <v>0</v>
      </c>
      <c r="T38" s="487"/>
      <c r="U38" s="1262"/>
      <c r="V38" s="406"/>
      <c r="W38" s="848"/>
      <c r="X38" s="979">
        <f t="shared" si="27"/>
        <v>3.2000000000000001E-2</v>
      </c>
    </row>
    <row r="39" spans="1:24" ht="15" customHeight="1" thickBot="1" x14ac:dyDescent="0.25">
      <c r="A39" s="395" t="s">
        <v>96</v>
      </c>
      <c r="B39" s="396"/>
      <c r="C39" s="397"/>
      <c r="D39" s="396"/>
      <c r="E39" s="397"/>
      <c r="F39" s="396"/>
      <c r="G39" s="397"/>
      <c r="H39" s="396"/>
      <c r="I39" s="397"/>
      <c r="J39" s="396"/>
      <c r="K39" s="397"/>
      <c r="L39" s="396"/>
      <c r="M39" s="397"/>
      <c r="N39" s="396"/>
      <c r="O39" s="397"/>
      <c r="P39" s="396"/>
      <c r="Q39" s="397"/>
      <c r="R39" s="396"/>
      <c r="S39" s="397"/>
      <c r="T39" s="396"/>
      <c r="U39" s="398"/>
      <c r="V39" s="372"/>
      <c r="W39" s="981"/>
      <c r="X39" s="496" t="e">
        <f t="shared" ref="X39" si="28">AVERAGE(O39,M39,I39,K39,Q39)</f>
        <v>#DIV/0!</v>
      </c>
    </row>
    <row r="40" spans="1:24" ht="18" customHeight="1" thickTop="1" thickBot="1" x14ac:dyDescent="0.25">
      <c r="A40" s="399" t="s">
        <v>39</v>
      </c>
      <c r="B40" s="1322"/>
      <c r="C40" s="1323"/>
      <c r="D40" s="1322"/>
      <c r="E40" s="1323"/>
      <c r="F40" s="1322"/>
      <c r="G40" s="1323"/>
      <c r="H40" s="1322"/>
      <c r="I40" s="1323"/>
      <c r="J40" s="1322"/>
      <c r="K40" s="1323"/>
      <c r="L40" s="1322"/>
      <c r="M40" s="1323"/>
      <c r="N40" s="1322"/>
      <c r="O40" s="1323"/>
      <c r="P40" s="1322"/>
      <c r="Q40" s="1323"/>
      <c r="R40" s="1322"/>
      <c r="S40" s="1323"/>
      <c r="T40" s="1322"/>
      <c r="U40" s="1299"/>
      <c r="V40" s="372"/>
      <c r="W40" s="1298"/>
      <c r="X40" s="1299"/>
    </row>
    <row r="41" spans="1:24" ht="15" customHeight="1" x14ac:dyDescent="0.2">
      <c r="A41" s="482" t="s">
        <v>185</v>
      </c>
      <c r="B41" s="393"/>
      <c r="C41" s="488">
        <v>24.3</v>
      </c>
      <c r="D41" s="489"/>
      <c r="E41" s="488">
        <v>24.3</v>
      </c>
      <c r="F41" s="489"/>
      <c r="G41" s="488">
        <v>22.8</v>
      </c>
      <c r="H41" s="489"/>
      <c r="I41" s="488">
        <v>22.3</v>
      </c>
      <c r="J41" s="489"/>
      <c r="K41" s="488">
        <v>22.6</v>
      </c>
      <c r="L41" s="489"/>
      <c r="M41" s="488">
        <v>24.3</v>
      </c>
      <c r="N41" s="489"/>
      <c r="O41" s="488">
        <v>22.8</v>
      </c>
      <c r="P41" s="489"/>
      <c r="Q41" s="488">
        <v>22.8</v>
      </c>
      <c r="R41" s="489"/>
      <c r="S41" s="488">
        <v>23.4</v>
      </c>
      <c r="T41" s="489"/>
      <c r="U41" s="490">
        <v>23</v>
      </c>
      <c r="V41" s="497"/>
      <c r="W41" s="498"/>
      <c r="X41" s="1035">
        <f>AVERAGE(O41,M41,S41,U41,Q41)</f>
        <v>23.259999999999998</v>
      </c>
    </row>
    <row r="42" spans="1:24" ht="15" customHeight="1" x14ac:dyDescent="0.2">
      <c r="A42" s="504" t="s">
        <v>186</v>
      </c>
      <c r="B42" s="481"/>
      <c r="C42" s="491">
        <v>23.6</v>
      </c>
      <c r="D42" s="492"/>
      <c r="E42" s="491">
        <v>24.3</v>
      </c>
      <c r="F42" s="492"/>
      <c r="G42" s="491">
        <v>24.5</v>
      </c>
      <c r="H42" s="492"/>
      <c r="I42" s="491">
        <v>25.6</v>
      </c>
      <c r="J42" s="492"/>
      <c r="K42" s="491">
        <v>25.3</v>
      </c>
      <c r="L42" s="492"/>
      <c r="M42" s="491">
        <v>26.2</v>
      </c>
      <c r="N42" s="492"/>
      <c r="O42" s="491">
        <v>26.1</v>
      </c>
      <c r="P42" s="492"/>
      <c r="Q42" s="491">
        <v>24.8</v>
      </c>
      <c r="R42" s="492"/>
      <c r="S42" s="491">
        <v>24.3</v>
      </c>
      <c r="T42" s="492"/>
      <c r="U42" s="493">
        <v>24</v>
      </c>
      <c r="V42" s="497"/>
      <c r="W42" s="500"/>
      <c r="X42" s="1036">
        <f t="shared" ref="X42:X43" si="29">AVERAGE(O42,M42,S42,U42,Q42)</f>
        <v>25.08</v>
      </c>
    </row>
    <row r="43" spans="1:24" ht="15" customHeight="1" thickBot="1" x14ac:dyDescent="0.25">
      <c r="A43" s="503" t="s">
        <v>187</v>
      </c>
      <c r="B43" s="396"/>
      <c r="C43" s="494">
        <v>23.5</v>
      </c>
      <c r="D43" s="495"/>
      <c r="E43" s="494">
        <v>24.3</v>
      </c>
      <c r="F43" s="495"/>
      <c r="G43" s="494">
        <v>24.4</v>
      </c>
      <c r="H43" s="495"/>
      <c r="I43" s="494">
        <v>24.4</v>
      </c>
      <c r="J43" s="495"/>
      <c r="K43" s="494">
        <v>24.6</v>
      </c>
      <c r="L43" s="495"/>
      <c r="M43" s="494">
        <v>24.7</v>
      </c>
      <c r="N43" s="495"/>
      <c r="O43" s="494">
        <v>25</v>
      </c>
      <c r="P43" s="495"/>
      <c r="Q43" s="494">
        <v>25.5</v>
      </c>
      <c r="R43" s="495"/>
      <c r="S43" s="494">
        <v>25</v>
      </c>
      <c r="T43" s="495"/>
      <c r="U43" s="496">
        <v>25.2</v>
      </c>
      <c r="V43" s="497"/>
      <c r="W43" s="499"/>
      <c r="X43" s="1037">
        <f t="shared" si="29"/>
        <v>25.080000000000002</v>
      </c>
    </row>
    <row r="44" spans="1:24" ht="18" customHeight="1" thickTop="1" thickBot="1" x14ac:dyDescent="0.25">
      <c r="A44" s="415" t="s">
        <v>17</v>
      </c>
      <c r="B44" s="1322"/>
      <c r="C44" s="1323"/>
      <c r="D44" s="1322"/>
      <c r="E44" s="1323"/>
      <c r="F44" s="1322"/>
      <c r="G44" s="1323"/>
      <c r="H44" s="1322"/>
      <c r="I44" s="1323"/>
      <c r="J44" s="1322"/>
      <c r="K44" s="1323"/>
      <c r="L44" s="1322"/>
      <c r="M44" s="1323"/>
      <c r="N44" s="1322"/>
      <c r="O44" s="1323"/>
      <c r="P44" s="1322"/>
      <c r="Q44" s="1323"/>
      <c r="R44" s="1322"/>
      <c r="S44" s="1323"/>
      <c r="T44" s="1322"/>
      <c r="U44" s="1299"/>
      <c r="V44" s="372"/>
      <c r="W44" s="1298"/>
      <c r="X44" s="1299"/>
    </row>
    <row r="45" spans="1:24" ht="15" customHeight="1" x14ac:dyDescent="0.2">
      <c r="A45" s="394" t="s">
        <v>18</v>
      </c>
      <c r="B45" s="416"/>
      <c r="C45" s="343">
        <v>540</v>
      </c>
      <c r="D45" s="417"/>
      <c r="E45" s="418">
        <v>569</v>
      </c>
      <c r="F45" s="416"/>
      <c r="G45" s="418">
        <v>489</v>
      </c>
      <c r="H45" s="416"/>
      <c r="I45" s="418">
        <v>735</v>
      </c>
      <c r="J45" s="416"/>
      <c r="K45" s="418">
        <v>798</v>
      </c>
      <c r="L45" s="416"/>
      <c r="M45" s="418">
        <v>897</v>
      </c>
      <c r="N45" s="416"/>
      <c r="O45" s="418">
        <v>932</v>
      </c>
      <c r="P45" s="416"/>
      <c r="Q45" s="418">
        <v>1029</v>
      </c>
      <c r="R45" s="416"/>
      <c r="S45" s="418">
        <v>1040</v>
      </c>
      <c r="T45" s="416"/>
      <c r="U45" s="19">
        <v>1165</v>
      </c>
      <c r="V45" s="372"/>
      <c r="W45" s="420"/>
      <c r="X45" s="421">
        <f>AVERAGE(O45,M45,S45,K45,Q45)</f>
        <v>939.2</v>
      </c>
    </row>
    <row r="46" spans="1:24" ht="15" customHeight="1" x14ac:dyDescent="0.2">
      <c r="A46" s="394" t="s">
        <v>19</v>
      </c>
      <c r="B46" s="416"/>
      <c r="C46" s="343">
        <v>972</v>
      </c>
      <c r="D46" s="417"/>
      <c r="E46" s="418">
        <v>859</v>
      </c>
      <c r="F46" s="416"/>
      <c r="G46" s="418">
        <v>1121</v>
      </c>
      <c r="H46" s="416"/>
      <c r="I46" s="418">
        <v>1654</v>
      </c>
      <c r="J46" s="416"/>
      <c r="K46" s="418">
        <v>1871</v>
      </c>
      <c r="L46" s="416"/>
      <c r="M46" s="418">
        <v>2111</v>
      </c>
      <c r="N46" s="416"/>
      <c r="O46" s="418">
        <v>1986</v>
      </c>
      <c r="P46" s="416"/>
      <c r="Q46" s="418">
        <v>2154</v>
      </c>
      <c r="R46" s="416"/>
      <c r="S46" s="418">
        <v>2093</v>
      </c>
      <c r="T46" s="416"/>
      <c r="U46" s="19">
        <v>2112</v>
      </c>
      <c r="V46" s="372"/>
      <c r="W46" s="422"/>
      <c r="X46" s="421">
        <f t="shared" ref="X46:X49" si="30">AVERAGE(O46,M46,S46,K46,Q46)</f>
        <v>2043</v>
      </c>
    </row>
    <row r="47" spans="1:24" ht="15" customHeight="1" x14ac:dyDescent="0.2">
      <c r="A47" s="394" t="s">
        <v>20</v>
      </c>
      <c r="B47" s="416"/>
      <c r="C47" s="343">
        <v>503</v>
      </c>
      <c r="D47" s="417"/>
      <c r="E47" s="418">
        <v>494</v>
      </c>
      <c r="F47" s="416"/>
      <c r="G47" s="418">
        <v>500</v>
      </c>
      <c r="H47" s="416"/>
      <c r="I47" s="418">
        <v>188</v>
      </c>
      <c r="J47" s="416"/>
      <c r="K47" s="418">
        <v>228</v>
      </c>
      <c r="L47" s="416"/>
      <c r="M47" s="418">
        <v>208</v>
      </c>
      <c r="N47" s="416"/>
      <c r="O47" s="418">
        <v>413</v>
      </c>
      <c r="P47" s="416"/>
      <c r="Q47" s="418">
        <v>238</v>
      </c>
      <c r="R47" s="416"/>
      <c r="S47" s="418">
        <v>318</v>
      </c>
      <c r="T47" s="416"/>
      <c r="U47" s="19">
        <v>149</v>
      </c>
      <c r="V47" s="372"/>
      <c r="W47" s="422"/>
      <c r="X47" s="421">
        <f t="shared" si="30"/>
        <v>281</v>
      </c>
    </row>
    <row r="48" spans="1:24" ht="15" customHeight="1" thickBot="1" x14ac:dyDescent="0.25">
      <c r="A48" s="1214" t="s">
        <v>21</v>
      </c>
      <c r="B48" s="252"/>
      <c r="C48" s="423">
        <v>206</v>
      </c>
      <c r="D48" s="417"/>
      <c r="E48" s="424">
        <v>231</v>
      </c>
      <c r="F48" s="416"/>
      <c r="G48" s="424">
        <v>325</v>
      </c>
      <c r="H48" s="416"/>
      <c r="I48" s="424">
        <v>318</v>
      </c>
      <c r="J48" s="416"/>
      <c r="K48" s="424">
        <v>283</v>
      </c>
      <c r="L48" s="416"/>
      <c r="M48" s="424">
        <v>252</v>
      </c>
      <c r="N48" s="416"/>
      <c r="O48" s="424">
        <v>205</v>
      </c>
      <c r="P48" s="416"/>
      <c r="Q48" s="424">
        <v>268</v>
      </c>
      <c r="R48" s="416"/>
      <c r="S48" s="424">
        <v>261</v>
      </c>
      <c r="T48" s="252"/>
      <c r="U48" s="46">
        <v>305</v>
      </c>
      <c r="V48" s="372"/>
      <c r="W48" s="431"/>
      <c r="X48" s="501">
        <f t="shared" si="30"/>
        <v>253.8</v>
      </c>
    </row>
    <row r="49" spans="1:27" ht="15" customHeight="1" thickBot="1" x14ac:dyDescent="0.25">
      <c r="A49" s="1211" t="s">
        <v>22</v>
      </c>
      <c r="B49" s="426"/>
      <c r="C49" s="427">
        <f>SUM(C45:C48)</f>
        <v>2221</v>
      </c>
      <c r="D49" s="428"/>
      <c r="E49" s="429">
        <f>SUM(E45:E48)</f>
        <v>2153</v>
      </c>
      <c r="F49" s="426"/>
      <c r="G49" s="429">
        <f>SUM(G45:G48)</f>
        <v>2435</v>
      </c>
      <c r="H49" s="426"/>
      <c r="I49" s="429">
        <f>SUM(I45:I48)</f>
        <v>2895</v>
      </c>
      <c r="J49" s="426"/>
      <c r="K49" s="429">
        <f>SUM(K45:K48)</f>
        <v>3180</v>
      </c>
      <c r="L49" s="426"/>
      <c r="M49" s="429">
        <f>SUM(M45:M48)</f>
        <v>3468</v>
      </c>
      <c r="N49" s="426"/>
      <c r="O49" s="429">
        <f>SUM(O45:O48)</f>
        <v>3536</v>
      </c>
      <c r="P49" s="426"/>
      <c r="Q49" s="429">
        <f>SUM(Q45:Q48)</f>
        <v>3689</v>
      </c>
      <c r="R49" s="426"/>
      <c r="S49" s="429">
        <f>SUM(S45:S48)</f>
        <v>3712</v>
      </c>
      <c r="T49" s="426"/>
      <c r="U49" s="51">
        <f>SUM(U45:U48)</f>
        <v>3731</v>
      </c>
      <c r="V49" s="372"/>
      <c r="W49" s="502"/>
      <c r="X49" s="430">
        <f t="shared" si="30"/>
        <v>3517</v>
      </c>
      <c r="Z49" s="26" t="s">
        <v>16</v>
      </c>
    </row>
    <row r="50" spans="1:27" ht="15" customHeight="1" thickTop="1" thickBot="1" x14ac:dyDescent="0.25">
      <c r="A50" s="432"/>
      <c r="B50" s="433"/>
      <c r="C50" s="434"/>
      <c r="D50" s="433"/>
      <c r="E50" s="434"/>
      <c r="F50" s="433"/>
      <c r="G50" s="434"/>
      <c r="H50" s="433"/>
      <c r="I50" s="434"/>
      <c r="J50" s="433"/>
      <c r="K50" s="434"/>
      <c r="L50" s="433"/>
      <c r="M50" s="434"/>
      <c r="N50" s="433"/>
      <c r="O50" s="434"/>
      <c r="P50" s="433"/>
      <c r="Q50" s="434"/>
      <c r="R50" s="433"/>
      <c r="S50" s="434"/>
      <c r="T50" s="433"/>
      <c r="U50" s="434"/>
      <c r="V50" s="435"/>
      <c r="W50" s="436"/>
      <c r="X50" s="434"/>
    </row>
    <row r="51" spans="1:27" ht="18" customHeight="1" thickTop="1" thickBot="1" x14ac:dyDescent="0.25">
      <c r="A51" s="352" t="s">
        <v>23</v>
      </c>
      <c r="B51" s="1296" t="s">
        <v>24</v>
      </c>
      <c r="C51" s="1301"/>
      <c r="D51" s="1296" t="s">
        <v>25</v>
      </c>
      <c r="E51" s="1297"/>
      <c r="F51" s="1296" t="s">
        <v>26</v>
      </c>
      <c r="G51" s="1297"/>
      <c r="H51" s="1296" t="s">
        <v>27</v>
      </c>
      <c r="I51" s="1297"/>
      <c r="J51" s="1296" t="s">
        <v>28</v>
      </c>
      <c r="K51" s="1297"/>
      <c r="L51" s="1296" t="s">
        <v>29</v>
      </c>
      <c r="M51" s="1297"/>
      <c r="N51" s="1296" t="s">
        <v>30</v>
      </c>
      <c r="O51" s="1297"/>
      <c r="P51" s="1296" t="s">
        <v>31</v>
      </c>
      <c r="Q51" s="1297"/>
      <c r="R51" s="1296" t="s">
        <v>32</v>
      </c>
      <c r="S51" s="1297"/>
      <c r="T51" s="1296" t="s">
        <v>255</v>
      </c>
      <c r="U51" s="1300"/>
      <c r="V51" s="353"/>
      <c r="W51" s="1298" t="s">
        <v>9</v>
      </c>
      <c r="X51" s="1299"/>
      <c r="Y51" s="23"/>
      <c r="Z51" s="23"/>
      <c r="AA51" s="24"/>
    </row>
    <row r="52" spans="1:27" ht="15" customHeight="1" x14ac:dyDescent="0.2">
      <c r="A52" s="1049" t="s">
        <v>221</v>
      </c>
      <c r="B52" s="355"/>
      <c r="C52" s="356">
        <v>0.56699999999999995</v>
      </c>
      <c r="D52" s="357"/>
      <c r="E52" s="358">
        <v>0.52600000000000002</v>
      </c>
      <c r="F52" s="359"/>
      <c r="G52" s="358">
        <v>0.54100000000000004</v>
      </c>
      <c r="H52" s="359"/>
      <c r="I52" s="358">
        <v>0.61299999999999999</v>
      </c>
      <c r="J52" s="359"/>
      <c r="K52" s="358">
        <v>0.57199999999999995</v>
      </c>
      <c r="L52" s="359"/>
      <c r="M52" s="358">
        <v>0.64</v>
      </c>
      <c r="N52" s="359"/>
      <c r="O52" s="358">
        <v>0.63200000000000001</v>
      </c>
      <c r="P52" s="359"/>
      <c r="Q52" s="358">
        <v>0.64500000000000002</v>
      </c>
      <c r="R52" s="359"/>
      <c r="S52" s="358">
        <v>0.58299999999999996</v>
      </c>
      <c r="T52" s="359"/>
      <c r="U52" s="360">
        <v>0.57299999999999995</v>
      </c>
      <c r="V52" s="361"/>
      <c r="W52" s="362"/>
      <c r="X52" s="363">
        <f>AVERAGE(O52,M52,S52,U52,Q52)</f>
        <v>0.61460000000000004</v>
      </c>
      <c r="Y52" s="23"/>
      <c r="Z52" s="23"/>
      <c r="AA52" s="24"/>
    </row>
    <row r="53" spans="1:27" ht="15" customHeight="1" x14ac:dyDescent="0.2">
      <c r="A53" s="888" t="s">
        <v>222</v>
      </c>
      <c r="B53" s="365"/>
      <c r="C53" s="366">
        <v>0.218</v>
      </c>
      <c r="D53" s="365"/>
      <c r="E53" s="366">
        <v>0.19</v>
      </c>
      <c r="F53" s="367"/>
      <c r="G53" s="366">
        <v>0.21</v>
      </c>
      <c r="H53" s="367"/>
      <c r="I53" s="366">
        <v>0.16700000000000001</v>
      </c>
      <c r="J53" s="367"/>
      <c r="K53" s="366">
        <v>0.159</v>
      </c>
      <c r="L53" s="367"/>
      <c r="M53" s="366">
        <v>0.14099999999999999</v>
      </c>
      <c r="N53" s="367"/>
      <c r="O53" s="366">
        <v>0.14000000000000001</v>
      </c>
      <c r="P53" s="367"/>
      <c r="Q53" s="366">
        <v>0.106</v>
      </c>
      <c r="R53" s="367"/>
      <c r="S53" s="366">
        <v>0.11899999999999999</v>
      </c>
      <c r="T53" s="367"/>
      <c r="U53" s="368">
        <v>8.6999999999999994E-2</v>
      </c>
      <c r="V53" s="361"/>
      <c r="W53" s="369"/>
      <c r="X53" s="370">
        <f>AVERAGE(O53,M53,S53,U53,Q53)</f>
        <v>0.1186</v>
      </c>
      <c r="Y53" s="23"/>
      <c r="Z53" s="23"/>
      <c r="AA53" s="24"/>
    </row>
    <row r="54" spans="1:27" ht="15" customHeight="1" thickBot="1" x14ac:dyDescent="0.25">
      <c r="A54" s="889" t="s">
        <v>217</v>
      </c>
      <c r="B54" s="1320">
        <f>1-C52-C53</f>
        <v>0.21500000000000005</v>
      </c>
      <c r="C54" s="1321"/>
      <c r="D54" s="1320">
        <f>1-E52-E53</f>
        <v>0.28399999999999997</v>
      </c>
      <c r="E54" s="1321"/>
      <c r="F54" s="1320">
        <f>1-G52-G53</f>
        <v>0.24899999999999997</v>
      </c>
      <c r="G54" s="1321"/>
      <c r="H54" s="1320">
        <f>1-I52-I53</f>
        <v>0.22</v>
      </c>
      <c r="I54" s="1321"/>
      <c r="J54" s="1320">
        <f>1-K52-K53</f>
        <v>0.26900000000000002</v>
      </c>
      <c r="K54" s="1321"/>
      <c r="L54" s="1320">
        <f>1-M52-M53</f>
        <v>0.219</v>
      </c>
      <c r="M54" s="1321"/>
      <c r="N54" s="1320">
        <f>1-O52-O53</f>
        <v>0.22799999999999998</v>
      </c>
      <c r="O54" s="1321"/>
      <c r="P54" s="1320">
        <f>1-Q52-Q53</f>
        <v>0.249</v>
      </c>
      <c r="Q54" s="1321"/>
      <c r="R54" s="1320">
        <f>1-S52-S53</f>
        <v>0.29800000000000004</v>
      </c>
      <c r="S54" s="1321"/>
      <c r="T54" s="1320">
        <f>1-U52-U53</f>
        <v>0.34000000000000008</v>
      </c>
      <c r="U54" s="1324"/>
      <c r="V54" s="361"/>
      <c r="W54" s="1325">
        <f>1-X52-X53</f>
        <v>0.26679999999999998</v>
      </c>
      <c r="X54" s="1324"/>
      <c r="Y54" s="25"/>
      <c r="Z54" s="23"/>
      <c r="AA54" s="24"/>
    </row>
    <row r="55" spans="1:27" s="2" customFormat="1" ht="18" customHeight="1" thickTop="1" thickBot="1" x14ac:dyDescent="0.25">
      <c r="A55" s="319" t="s">
        <v>37</v>
      </c>
      <c r="B55" s="373" t="s">
        <v>36</v>
      </c>
      <c r="C55" s="374" t="s">
        <v>38</v>
      </c>
      <c r="D55" s="846" t="s">
        <v>36</v>
      </c>
      <c r="E55" s="845" t="s">
        <v>38</v>
      </c>
      <c r="F55" s="846" t="s">
        <v>36</v>
      </c>
      <c r="G55" s="845" t="s">
        <v>38</v>
      </c>
      <c r="H55" s="846" t="s">
        <v>36</v>
      </c>
      <c r="I55" s="845" t="s">
        <v>38</v>
      </c>
      <c r="J55" s="846" t="s">
        <v>36</v>
      </c>
      <c r="K55" s="845" t="s">
        <v>38</v>
      </c>
      <c r="L55" s="846" t="s">
        <v>36</v>
      </c>
      <c r="M55" s="845" t="s">
        <v>38</v>
      </c>
      <c r="N55" s="846" t="s">
        <v>36</v>
      </c>
      <c r="O55" s="845" t="s">
        <v>38</v>
      </c>
      <c r="P55" s="846" t="s">
        <v>36</v>
      </c>
      <c r="Q55" s="845" t="s">
        <v>38</v>
      </c>
      <c r="R55" s="846" t="s">
        <v>36</v>
      </c>
      <c r="S55" s="845" t="s">
        <v>38</v>
      </c>
      <c r="T55" s="846" t="s">
        <v>36</v>
      </c>
      <c r="U55" s="847" t="s">
        <v>38</v>
      </c>
      <c r="V55" s="376"/>
      <c r="W55" s="761" t="s">
        <v>36</v>
      </c>
      <c r="X55" s="847" t="s">
        <v>38</v>
      </c>
    </row>
    <row r="56" spans="1:27" ht="15" customHeight="1" x14ac:dyDescent="0.2">
      <c r="A56" s="378" t="s">
        <v>90</v>
      </c>
      <c r="B56" s="379"/>
      <c r="C56" s="380">
        <f>B56/B13</f>
        <v>0</v>
      </c>
      <c r="D56" s="379"/>
      <c r="E56" s="380">
        <f>D56/D13</f>
        <v>0</v>
      </c>
      <c r="F56" s="379"/>
      <c r="G56" s="380">
        <f>F56/F13</f>
        <v>0</v>
      </c>
      <c r="H56" s="379">
        <v>13</v>
      </c>
      <c r="I56" s="380">
        <f>H56/H13</f>
        <v>0.61904761904761907</v>
      </c>
      <c r="J56" s="379">
        <v>16</v>
      </c>
      <c r="K56" s="380">
        <f>J56/J13</f>
        <v>0.72727272727272729</v>
      </c>
      <c r="L56" s="379">
        <v>23</v>
      </c>
      <c r="M56" s="380">
        <f>L56/L13</f>
        <v>0.63888888888888884</v>
      </c>
      <c r="N56" s="379">
        <v>21</v>
      </c>
      <c r="O56" s="380">
        <f>N56/N13</f>
        <v>0.6</v>
      </c>
      <c r="P56" s="379">
        <v>17</v>
      </c>
      <c r="Q56" s="380">
        <f>P56/P13</f>
        <v>0.54838709677419351</v>
      </c>
      <c r="R56" s="379">
        <v>12</v>
      </c>
      <c r="S56" s="380">
        <f>R56/R13</f>
        <v>0.52173913043478259</v>
      </c>
      <c r="T56" s="379">
        <v>11</v>
      </c>
      <c r="U56" s="134">
        <f>T56/T13</f>
        <v>0.73333333333333328</v>
      </c>
      <c r="V56" s="372"/>
      <c r="W56" s="382">
        <f>AVERAGE(N56,L56,R56,T56,P56)</f>
        <v>16.8</v>
      </c>
      <c r="X56" s="407">
        <f>W56/W13</f>
        <v>0.6</v>
      </c>
    </row>
    <row r="57" spans="1:27" ht="15" customHeight="1" thickBot="1" x14ac:dyDescent="0.25">
      <c r="A57" s="383" t="s">
        <v>91</v>
      </c>
      <c r="B57" s="384"/>
      <c r="C57" s="385">
        <f>B57/B14</f>
        <v>0</v>
      </c>
      <c r="D57" s="384"/>
      <c r="E57" s="385">
        <f>D57/D14</f>
        <v>0</v>
      </c>
      <c r="F57" s="384"/>
      <c r="G57" s="385">
        <f>F57/F14</f>
        <v>0</v>
      </c>
      <c r="H57" s="384">
        <v>24</v>
      </c>
      <c r="I57" s="385">
        <f>H57/H14</f>
        <v>0.8</v>
      </c>
      <c r="J57" s="384">
        <v>17</v>
      </c>
      <c r="K57" s="385">
        <f>J57/J14</f>
        <v>0.68</v>
      </c>
      <c r="L57" s="384">
        <v>14</v>
      </c>
      <c r="M57" s="385">
        <f>L57/L14</f>
        <v>0.66666666666666663</v>
      </c>
      <c r="N57" s="384">
        <v>18</v>
      </c>
      <c r="O57" s="385">
        <f>N57/N14</f>
        <v>0.81818181818181823</v>
      </c>
      <c r="P57" s="384">
        <v>18</v>
      </c>
      <c r="Q57" s="385">
        <f>P57/P14</f>
        <v>0.72</v>
      </c>
      <c r="R57" s="384">
        <v>22</v>
      </c>
      <c r="S57" s="385">
        <f>R57/R14</f>
        <v>0.7857142857142857</v>
      </c>
      <c r="T57" s="384">
        <v>21</v>
      </c>
      <c r="U57" s="385">
        <f>T57/T14</f>
        <v>0.84</v>
      </c>
      <c r="V57" s="372"/>
      <c r="W57" s="387">
        <f>AVERAGE(N57,L57,R57,T57,P57)</f>
        <v>18.600000000000001</v>
      </c>
      <c r="X57" s="386">
        <f>W57/W14</f>
        <v>0.76859504132231415</v>
      </c>
    </row>
    <row r="58" spans="1:27" ht="15" customHeight="1" thickTop="1" x14ac:dyDescent="0.2">
      <c r="A58" s="8" t="str">
        <f>'Dean AG'!A64</f>
        <v>Number of Fall Majors includes second majors</v>
      </c>
      <c r="B58" s="10"/>
      <c r="C58" s="11"/>
      <c r="D58" s="10"/>
      <c r="E58" s="11"/>
      <c r="F58" s="10"/>
      <c r="G58" s="11"/>
      <c r="H58" s="10"/>
      <c r="I58" s="11"/>
      <c r="J58" s="10"/>
      <c r="K58" s="11"/>
      <c r="L58" s="10"/>
      <c r="M58" s="11"/>
      <c r="N58" s="10"/>
      <c r="O58" s="11"/>
      <c r="P58" s="10"/>
      <c r="Q58" s="11"/>
      <c r="R58" s="10"/>
      <c r="S58" s="11"/>
      <c r="T58" s="10"/>
      <c r="U58" s="11"/>
      <c r="W58" s="12"/>
      <c r="X58" s="13"/>
    </row>
    <row r="59" spans="1:27" s="41" customFormat="1" ht="15" customHeight="1" thickBot="1" x14ac:dyDescent="0.25">
      <c r="A59" s="552"/>
      <c r="B59" s="553"/>
      <c r="C59" s="553"/>
      <c r="D59" s="553"/>
      <c r="E59" s="553"/>
      <c r="F59" s="553"/>
      <c r="G59" s="553"/>
      <c r="H59" s="553"/>
      <c r="I59" s="553"/>
      <c r="J59" s="553"/>
      <c r="K59" s="553"/>
      <c r="L59" s="553"/>
      <c r="M59" s="553"/>
      <c r="N59" s="553"/>
      <c r="O59" s="553"/>
      <c r="P59" s="553"/>
      <c r="Q59" s="553"/>
      <c r="R59" s="553"/>
      <c r="S59" s="553"/>
      <c r="T59" s="553"/>
      <c r="U59" s="553"/>
      <c r="V59" s="554"/>
      <c r="W59" s="553"/>
      <c r="X59" s="553"/>
      <c r="Y59" s="23"/>
      <c r="Z59" s="23"/>
      <c r="AA59" s="24"/>
    </row>
    <row r="60" spans="1:27" s="1" customFormat="1" ht="15" customHeight="1" thickTop="1" thickBot="1" x14ac:dyDescent="0.25">
      <c r="A60" s="352" t="s">
        <v>207</v>
      </c>
      <c r="B60" s="1296" t="s">
        <v>24</v>
      </c>
      <c r="C60" s="1301"/>
      <c r="D60" s="1296" t="s">
        <v>25</v>
      </c>
      <c r="E60" s="1297"/>
      <c r="F60" s="1296" t="s">
        <v>26</v>
      </c>
      <c r="G60" s="1297"/>
      <c r="H60" s="1296" t="s">
        <v>27</v>
      </c>
      <c r="I60" s="1297"/>
      <c r="J60" s="1296" t="s">
        <v>28</v>
      </c>
      <c r="K60" s="1297"/>
      <c r="L60" s="1296" t="s">
        <v>29</v>
      </c>
      <c r="M60" s="1297"/>
      <c r="N60" s="1296" t="s">
        <v>30</v>
      </c>
      <c r="O60" s="1297"/>
      <c r="P60" s="1296" t="s">
        <v>31</v>
      </c>
      <c r="Q60" s="1297"/>
      <c r="R60" s="1296" t="s">
        <v>32</v>
      </c>
      <c r="S60" s="1297"/>
      <c r="T60" s="1296" t="s">
        <v>255</v>
      </c>
      <c r="U60" s="1300"/>
      <c r="V60" s="320"/>
      <c r="W60" s="1298" t="s">
        <v>9</v>
      </c>
      <c r="X60" s="1299"/>
    </row>
    <row r="61" spans="1:27" s="1" customFormat="1" ht="24" x14ac:dyDescent="0.2">
      <c r="A61" s="985" t="s">
        <v>219</v>
      </c>
      <c r="B61" s="1039"/>
      <c r="C61" s="437"/>
      <c r="D61" s="1039"/>
      <c r="E61" s="1040"/>
      <c r="F61" s="1039"/>
      <c r="G61" s="1040"/>
      <c r="H61" s="1039"/>
      <c r="I61" s="1040"/>
      <c r="J61" s="1039"/>
      <c r="K61" s="1040"/>
      <c r="L61" s="1039"/>
      <c r="M61" s="1040"/>
      <c r="N61" s="1039"/>
      <c r="O61" s="1040"/>
      <c r="P61" s="1039"/>
      <c r="Q61" s="1040"/>
      <c r="R61" s="1039"/>
      <c r="S61" s="1040"/>
      <c r="T61" s="1041"/>
      <c r="U61" s="1042"/>
      <c r="V61" s="320"/>
      <c r="W61" s="806"/>
      <c r="X61" s="942"/>
    </row>
    <row r="62" spans="1:27" s="1" customFormat="1" ht="24" x14ac:dyDescent="0.2">
      <c r="A62" s="685" t="s">
        <v>195</v>
      </c>
      <c r="B62" s="367"/>
      <c r="C62" s="550">
        <v>3</v>
      </c>
      <c r="D62" s="367"/>
      <c r="E62" s="550">
        <v>6</v>
      </c>
      <c r="F62" s="367"/>
      <c r="G62" s="550">
        <v>6</v>
      </c>
      <c r="H62" s="367"/>
      <c r="I62" s="550">
        <v>4</v>
      </c>
      <c r="J62" s="367"/>
      <c r="K62" s="550">
        <v>6</v>
      </c>
      <c r="L62" s="367"/>
      <c r="M62" s="550">
        <v>6</v>
      </c>
      <c r="N62" s="367"/>
      <c r="O62" s="550">
        <v>7</v>
      </c>
      <c r="P62" s="367"/>
      <c r="Q62" s="550">
        <v>7</v>
      </c>
      <c r="R62" s="367"/>
      <c r="S62" s="550">
        <v>7</v>
      </c>
      <c r="T62" s="551"/>
      <c r="U62" s="441">
        <v>5</v>
      </c>
      <c r="V62" s="320"/>
      <c r="W62" s="478"/>
      <c r="X62" s="441">
        <f>AVERAGE(O62,M62,S62,U62,Q62)</f>
        <v>6.4</v>
      </c>
    </row>
    <row r="63" spans="1:27" s="1" customFormat="1" ht="24" x14ac:dyDescent="0.2">
      <c r="A63" s="685" t="s">
        <v>197</v>
      </c>
      <c r="B63" s="551"/>
      <c r="C63" s="590">
        <v>3</v>
      </c>
      <c r="D63" s="551"/>
      <c r="E63" s="590">
        <v>6</v>
      </c>
      <c r="F63" s="551"/>
      <c r="G63" s="590">
        <v>6</v>
      </c>
      <c r="H63" s="551"/>
      <c r="I63" s="590">
        <v>4</v>
      </c>
      <c r="J63" s="551"/>
      <c r="K63" s="590">
        <v>6</v>
      </c>
      <c r="L63" s="551"/>
      <c r="M63" s="590">
        <v>6</v>
      </c>
      <c r="N63" s="551"/>
      <c r="O63" s="590">
        <v>7</v>
      </c>
      <c r="P63" s="551"/>
      <c r="Q63" s="590">
        <v>7</v>
      </c>
      <c r="R63" s="551"/>
      <c r="S63" s="590">
        <v>7</v>
      </c>
      <c r="T63" s="551"/>
      <c r="U63" s="441">
        <v>5</v>
      </c>
      <c r="V63" s="320"/>
      <c r="W63" s="591"/>
      <c r="X63" s="592">
        <f t="shared" ref="X63:X64" si="31">AVERAGE(O63,M63,S63,U63,Q63)</f>
        <v>6.4</v>
      </c>
    </row>
    <row r="64" spans="1:27" s="1" customFormat="1" ht="15" customHeight="1" thickBot="1" x14ac:dyDescent="0.25">
      <c r="A64" s="944" t="s">
        <v>196</v>
      </c>
      <c r="B64" s="992"/>
      <c r="C64" s="993">
        <v>3.68</v>
      </c>
      <c r="D64" s="992"/>
      <c r="E64" s="993">
        <f>5.5+1.58</f>
        <v>7.08</v>
      </c>
      <c r="F64" s="992"/>
      <c r="G64" s="993">
        <f>6.5+1.98</f>
        <v>8.48</v>
      </c>
      <c r="H64" s="992"/>
      <c r="I64" s="993">
        <v>5.58</v>
      </c>
      <c r="J64" s="992"/>
      <c r="K64" s="993">
        <v>7.25</v>
      </c>
      <c r="L64" s="992"/>
      <c r="M64" s="993">
        <v>7.03</v>
      </c>
      <c r="N64" s="992"/>
      <c r="O64" s="993">
        <v>6.6</v>
      </c>
      <c r="P64" s="992"/>
      <c r="Q64" s="993">
        <v>7.4</v>
      </c>
      <c r="R64" s="992"/>
      <c r="S64" s="993">
        <f>6.53+0.87</f>
        <v>7.4</v>
      </c>
      <c r="T64" s="994"/>
      <c r="U64" s="562">
        <v>5.7</v>
      </c>
      <c r="V64" s="320"/>
      <c r="W64" s="369"/>
      <c r="X64" s="562">
        <f t="shared" si="31"/>
        <v>6.8260000000000005</v>
      </c>
    </row>
    <row r="65" spans="1:24" s="1" customFormat="1" ht="18" customHeight="1" thickBot="1" x14ac:dyDescent="0.25">
      <c r="A65" s="796" t="s">
        <v>231</v>
      </c>
      <c r="B65" s="995" t="s">
        <v>89</v>
      </c>
      <c r="C65" s="996" t="s">
        <v>97</v>
      </c>
      <c r="D65" s="995" t="s">
        <v>89</v>
      </c>
      <c r="E65" s="996" t="s">
        <v>97</v>
      </c>
      <c r="F65" s="995" t="s">
        <v>89</v>
      </c>
      <c r="G65" s="996" t="s">
        <v>97</v>
      </c>
      <c r="H65" s="995" t="s">
        <v>89</v>
      </c>
      <c r="I65" s="996" t="s">
        <v>97</v>
      </c>
      <c r="J65" s="995" t="s">
        <v>89</v>
      </c>
      <c r="K65" s="996" t="s">
        <v>97</v>
      </c>
      <c r="L65" s="995" t="s">
        <v>89</v>
      </c>
      <c r="M65" s="996" t="s">
        <v>97</v>
      </c>
      <c r="N65" s="995" t="s">
        <v>89</v>
      </c>
      <c r="O65" s="996" t="s">
        <v>97</v>
      </c>
      <c r="P65" s="995" t="s">
        <v>89</v>
      </c>
      <c r="Q65" s="996" t="s">
        <v>97</v>
      </c>
      <c r="R65" s="995" t="s">
        <v>89</v>
      </c>
      <c r="S65" s="996" t="s">
        <v>97</v>
      </c>
      <c r="T65" s="995" t="s">
        <v>89</v>
      </c>
      <c r="U65" s="997" t="s">
        <v>97</v>
      </c>
      <c r="V65" s="320"/>
      <c r="W65" s="998" t="s">
        <v>89</v>
      </c>
      <c r="X65" s="997" t="s">
        <v>97</v>
      </c>
    </row>
    <row r="66" spans="1:24" s="1" customFormat="1" ht="15" customHeight="1" x14ac:dyDescent="0.2">
      <c r="A66" s="999" t="s">
        <v>98</v>
      </c>
      <c r="B66" s="825"/>
      <c r="C66" s="812"/>
      <c r="D66" s="813"/>
      <c r="E66" s="824"/>
      <c r="F66" s="825"/>
      <c r="G66" s="824"/>
      <c r="H66" s="825"/>
      <c r="I66" s="824"/>
      <c r="J66" s="825"/>
      <c r="K66" s="824"/>
      <c r="L66" s="825"/>
      <c r="M66" s="824"/>
      <c r="N66" s="825"/>
      <c r="O66" s="824"/>
      <c r="P66" s="825"/>
      <c r="Q66" s="824"/>
      <c r="R66" s="825"/>
      <c r="S66" s="824"/>
      <c r="T66" s="825"/>
      <c r="U66" s="948"/>
      <c r="V66" s="320"/>
      <c r="W66" s="950"/>
      <c r="X66" s="830"/>
    </row>
    <row r="67" spans="1:24" s="1" customFormat="1" ht="15" customHeight="1" x14ac:dyDescent="0.2">
      <c r="A67" s="578" t="s">
        <v>99</v>
      </c>
      <c r="B67" s="280"/>
      <c r="C67" s="1017">
        <v>5</v>
      </c>
      <c r="D67" s="280"/>
      <c r="E67" s="1017">
        <v>7</v>
      </c>
      <c r="F67" s="280"/>
      <c r="G67" s="1017">
        <v>7</v>
      </c>
      <c r="H67" s="280"/>
      <c r="I67" s="1017">
        <v>6</v>
      </c>
      <c r="J67" s="217">
        <v>10</v>
      </c>
      <c r="K67" s="1017">
        <v>10</v>
      </c>
      <c r="L67" s="1021">
        <v>10</v>
      </c>
      <c r="M67" s="1017">
        <v>10</v>
      </c>
      <c r="N67" s="1021">
        <v>11</v>
      </c>
      <c r="O67" s="1017">
        <v>11</v>
      </c>
      <c r="P67" s="1021">
        <v>10</v>
      </c>
      <c r="Q67" s="1017">
        <v>10</v>
      </c>
      <c r="R67" s="1021">
        <v>10</v>
      </c>
      <c r="S67" s="1017">
        <v>10</v>
      </c>
      <c r="T67" s="764">
        <v>9</v>
      </c>
      <c r="U67" s="599">
        <v>9</v>
      </c>
      <c r="V67" s="320"/>
      <c r="W67" s="951">
        <f>AVERAGE(T67,L67,N67,P67,R67)</f>
        <v>10</v>
      </c>
      <c r="X67" s="843">
        <f t="shared" ref="X67:X72" si="32">AVERAGE(O67,M67,S67,U67,Q67)</f>
        <v>10</v>
      </c>
    </row>
    <row r="68" spans="1:24" s="1" customFormat="1" ht="15" customHeight="1" x14ac:dyDescent="0.2">
      <c r="A68" s="578" t="s">
        <v>100</v>
      </c>
      <c r="B68" s="280"/>
      <c r="C68" s="1017">
        <v>1</v>
      </c>
      <c r="D68" s="280"/>
      <c r="E68" s="1017">
        <v>1</v>
      </c>
      <c r="F68" s="280"/>
      <c r="G68" s="1017">
        <v>1</v>
      </c>
      <c r="H68" s="280"/>
      <c r="I68" s="1017">
        <v>1</v>
      </c>
      <c r="J68" s="217">
        <v>0</v>
      </c>
      <c r="K68" s="1017">
        <v>0</v>
      </c>
      <c r="L68" s="1021">
        <v>0</v>
      </c>
      <c r="M68" s="1017">
        <v>0</v>
      </c>
      <c r="N68" s="1021">
        <v>0</v>
      </c>
      <c r="O68" s="1017">
        <v>0</v>
      </c>
      <c r="P68" s="1021">
        <v>0</v>
      </c>
      <c r="Q68" s="1017">
        <v>0</v>
      </c>
      <c r="R68" s="1021">
        <v>0</v>
      </c>
      <c r="S68" s="1017">
        <v>0</v>
      </c>
      <c r="T68" s="764">
        <v>0</v>
      </c>
      <c r="U68" s="599">
        <v>0</v>
      </c>
      <c r="V68" s="320"/>
      <c r="W68" s="951">
        <f t="shared" ref="W68:W72" si="33">AVERAGE(T68,L68,N68,P68,R68)</f>
        <v>0</v>
      </c>
      <c r="X68" s="843">
        <f t="shared" si="32"/>
        <v>0</v>
      </c>
    </row>
    <row r="69" spans="1:24" s="1" customFormat="1" ht="15" customHeight="1" x14ac:dyDescent="0.2">
      <c r="A69" s="957" t="s">
        <v>101</v>
      </c>
      <c r="B69" s="597"/>
      <c r="C69" s="1018"/>
      <c r="D69" s="217"/>
      <c r="E69" s="1018"/>
      <c r="F69" s="217"/>
      <c r="G69" s="1018"/>
      <c r="H69" s="217"/>
      <c r="I69" s="1018"/>
      <c r="J69" s="217"/>
      <c r="K69" s="1018"/>
      <c r="L69" s="1021"/>
      <c r="M69" s="1018"/>
      <c r="N69" s="1021"/>
      <c r="O69" s="1018"/>
      <c r="P69" s="1021"/>
      <c r="Q69" s="1018"/>
      <c r="R69" s="1021"/>
      <c r="S69" s="1018"/>
      <c r="T69" s="764"/>
      <c r="U69" s="600"/>
      <c r="V69" s="320"/>
      <c r="W69" s="951"/>
      <c r="X69" s="843"/>
    </row>
    <row r="70" spans="1:24" s="1" customFormat="1" ht="15" customHeight="1" x14ac:dyDescent="0.2">
      <c r="A70" s="578" t="s">
        <v>99</v>
      </c>
      <c r="B70" s="280"/>
      <c r="C70" s="1018">
        <v>14</v>
      </c>
      <c r="D70" s="280"/>
      <c r="E70" s="1018">
        <v>10</v>
      </c>
      <c r="F70" s="280"/>
      <c r="G70" s="1018">
        <v>10</v>
      </c>
      <c r="H70" s="280"/>
      <c r="I70" s="1018">
        <v>10</v>
      </c>
      <c r="J70" s="217">
        <v>5</v>
      </c>
      <c r="K70" s="1018">
        <v>5</v>
      </c>
      <c r="L70" s="1021">
        <v>9</v>
      </c>
      <c r="M70" s="1018">
        <v>9</v>
      </c>
      <c r="N70" s="1021">
        <v>7</v>
      </c>
      <c r="O70" s="1018">
        <v>7</v>
      </c>
      <c r="P70" s="1021">
        <v>7</v>
      </c>
      <c r="Q70" s="1018">
        <v>7</v>
      </c>
      <c r="R70" s="1021">
        <v>7</v>
      </c>
      <c r="S70" s="1018">
        <v>7</v>
      </c>
      <c r="T70" s="764">
        <v>8</v>
      </c>
      <c r="U70" s="600">
        <v>8</v>
      </c>
      <c r="V70" s="320"/>
      <c r="W70" s="951">
        <f t="shared" si="33"/>
        <v>7.6</v>
      </c>
      <c r="X70" s="843">
        <f t="shared" si="32"/>
        <v>7.6</v>
      </c>
    </row>
    <row r="71" spans="1:24" s="1" customFormat="1" ht="15" customHeight="1" thickBot="1" x14ac:dyDescent="0.25">
      <c r="A71" s="890" t="s">
        <v>100</v>
      </c>
      <c r="B71" s="280"/>
      <c r="C71" s="1034">
        <v>0</v>
      </c>
      <c r="D71" s="280"/>
      <c r="E71" s="1018">
        <v>1</v>
      </c>
      <c r="F71" s="280"/>
      <c r="G71" s="1018">
        <v>1</v>
      </c>
      <c r="H71" s="280"/>
      <c r="I71" s="1018">
        <v>0</v>
      </c>
      <c r="J71" s="217">
        <v>1.5</v>
      </c>
      <c r="K71" s="1018">
        <v>3</v>
      </c>
      <c r="L71" s="217">
        <v>0.6</v>
      </c>
      <c r="M71" s="1018">
        <v>1</v>
      </c>
      <c r="N71" s="217">
        <v>0.5</v>
      </c>
      <c r="O71" s="1018">
        <v>1</v>
      </c>
      <c r="P71" s="217">
        <v>0.5</v>
      </c>
      <c r="Q71" s="1018">
        <v>1</v>
      </c>
      <c r="R71" s="217">
        <v>0.8</v>
      </c>
      <c r="S71" s="1018">
        <v>1</v>
      </c>
      <c r="T71" s="949">
        <v>1.3</v>
      </c>
      <c r="U71" s="601">
        <v>2</v>
      </c>
      <c r="V71" s="320"/>
      <c r="W71" s="952">
        <f t="shared" si="33"/>
        <v>0.74</v>
      </c>
      <c r="X71" s="577">
        <f t="shared" si="32"/>
        <v>1.2</v>
      </c>
    </row>
    <row r="72" spans="1:24" s="1" customFormat="1" ht="15" customHeight="1" thickBot="1" x14ac:dyDescent="0.25">
      <c r="A72" s="647" t="s">
        <v>22</v>
      </c>
      <c r="B72" s="823"/>
      <c r="C72" s="837">
        <f>SUM(C67:C71)</f>
        <v>20</v>
      </c>
      <c r="D72" s="987"/>
      <c r="E72" s="820">
        <f>SUM(E67:E71)</f>
        <v>19</v>
      </c>
      <c r="F72" s="823"/>
      <c r="G72" s="820">
        <f>SUM(G67:G71)</f>
        <v>19</v>
      </c>
      <c r="H72" s="823"/>
      <c r="I72" s="820">
        <f>SUM(I67:I71)</f>
        <v>17</v>
      </c>
      <c r="J72" s="823">
        <f t="shared" ref="J72:S72" si="34">SUM(J67:J71)</f>
        <v>16.5</v>
      </c>
      <c r="K72" s="820">
        <f t="shared" si="34"/>
        <v>18</v>
      </c>
      <c r="L72" s="823">
        <f t="shared" si="34"/>
        <v>19.600000000000001</v>
      </c>
      <c r="M72" s="820">
        <f t="shared" si="34"/>
        <v>20</v>
      </c>
      <c r="N72" s="823">
        <f t="shared" si="34"/>
        <v>18.5</v>
      </c>
      <c r="O72" s="820">
        <f t="shared" si="34"/>
        <v>19</v>
      </c>
      <c r="P72" s="823">
        <f t="shared" si="34"/>
        <v>17.5</v>
      </c>
      <c r="Q72" s="820">
        <f t="shared" si="34"/>
        <v>18</v>
      </c>
      <c r="R72" s="823">
        <f t="shared" si="34"/>
        <v>17.8</v>
      </c>
      <c r="S72" s="820">
        <f t="shared" si="34"/>
        <v>18</v>
      </c>
      <c r="T72" s="823">
        <f t="shared" ref="T72:U72" si="35">SUM(T67:T71)</f>
        <v>18.3</v>
      </c>
      <c r="U72" s="988">
        <f t="shared" si="35"/>
        <v>19</v>
      </c>
      <c r="V72" s="320"/>
      <c r="W72" s="990">
        <f t="shared" si="33"/>
        <v>18.34</v>
      </c>
      <c r="X72" s="844">
        <f t="shared" si="32"/>
        <v>18.8</v>
      </c>
    </row>
    <row r="73" spans="1:24" s="1" customFormat="1" ht="18" customHeight="1" thickBot="1" x14ac:dyDescent="0.25">
      <c r="A73" s="796" t="s">
        <v>232</v>
      </c>
      <c r="B73" s="793" t="s">
        <v>36</v>
      </c>
      <c r="C73" s="989" t="s">
        <v>102</v>
      </c>
      <c r="D73" s="793" t="s">
        <v>36</v>
      </c>
      <c r="E73" s="810" t="s">
        <v>102</v>
      </c>
      <c r="F73" s="811" t="s">
        <v>36</v>
      </c>
      <c r="G73" s="810" t="s">
        <v>102</v>
      </c>
      <c r="H73" s="811" t="s">
        <v>36</v>
      </c>
      <c r="I73" s="810" t="s">
        <v>102</v>
      </c>
      <c r="J73" s="811" t="s">
        <v>36</v>
      </c>
      <c r="K73" s="810" t="s">
        <v>102</v>
      </c>
      <c r="L73" s="811" t="s">
        <v>36</v>
      </c>
      <c r="M73" s="810" t="s">
        <v>102</v>
      </c>
      <c r="N73" s="811" t="s">
        <v>36</v>
      </c>
      <c r="O73" s="810" t="s">
        <v>102</v>
      </c>
      <c r="P73" s="811" t="s">
        <v>36</v>
      </c>
      <c r="Q73" s="810" t="s">
        <v>102</v>
      </c>
      <c r="R73" s="811" t="s">
        <v>36</v>
      </c>
      <c r="S73" s="810" t="s">
        <v>102</v>
      </c>
      <c r="T73" s="811" t="s">
        <v>36</v>
      </c>
      <c r="U73" s="780" t="s">
        <v>102</v>
      </c>
      <c r="V73" s="320"/>
      <c r="W73" s="946" t="s">
        <v>36</v>
      </c>
      <c r="X73" s="780" t="s">
        <v>102</v>
      </c>
    </row>
    <row r="74" spans="1:24" s="1" customFormat="1" ht="18" customHeight="1" x14ac:dyDescent="0.2">
      <c r="A74" s="703" t="s">
        <v>233</v>
      </c>
      <c r="B74" s="321"/>
      <c r="C74" s="322"/>
      <c r="D74" s="321"/>
      <c r="E74" s="323"/>
      <c r="F74" s="324"/>
      <c r="G74" s="323"/>
      <c r="H74" s="324"/>
      <c r="I74" s="323"/>
      <c r="J74" s="324"/>
      <c r="K74" s="323"/>
      <c r="L74" s="324"/>
      <c r="M74" s="323"/>
      <c r="N74" s="324"/>
      <c r="O74" s="323"/>
      <c r="P74" s="324"/>
      <c r="Q74" s="323"/>
      <c r="R74" s="324"/>
      <c r="S74" s="323"/>
      <c r="T74" s="805"/>
      <c r="U74" s="325"/>
      <c r="V74" s="320"/>
      <c r="W74" s="991"/>
      <c r="X74" s="325"/>
    </row>
    <row r="75" spans="1:24" s="1" customFormat="1" ht="15" customHeight="1" x14ac:dyDescent="0.2">
      <c r="A75" s="326" t="s">
        <v>103</v>
      </c>
      <c r="B75" s="285">
        <v>10</v>
      </c>
      <c r="C75" s="328">
        <f t="shared" ref="C75:C80" si="36">B75/C$72</f>
        <v>0.5</v>
      </c>
      <c r="D75" s="285">
        <f>11+1</f>
        <v>12</v>
      </c>
      <c r="E75" s="329">
        <f t="shared" ref="E75:E80" si="37">D75/E$72</f>
        <v>0.63157894736842102</v>
      </c>
      <c r="F75" s="286">
        <v>12</v>
      </c>
      <c r="G75" s="329">
        <f t="shared" ref="G75:G80" si="38">F75/G$72</f>
        <v>0.63157894736842102</v>
      </c>
      <c r="H75" s="286">
        <v>12</v>
      </c>
      <c r="I75" s="329">
        <f t="shared" ref="I75:I82" si="39">H75/I$72</f>
        <v>0.70588235294117652</v>
      </c>
      <c r="J75" s="286">
        <f>10+3</f>
        <v>13</v>
      </c>
      <c r="K75" s="329">
        <f t="shared" ref="K75:K82" si="40">J75/K$72</f>
        <v>0.72222222222222221</v>
      </c>
      <c r="L75" s="286">
        <v>12</v>
      </c>
      <c r="M75" s="329">
        <f t="shared" ref="M75:M82" si="41">L75/M$72</f>
        <v>0.6</v>
      </c>
      <c r="N75" s="286">
        <f>1+10</f>
        <v>11</v>
      </c>
      <c r="O75" s="329">
        <f t="shared" ref="O75:O82" si="42">N75/O$72</f>
        <v>0.57894736842105265</v>
      </c>
      <c r="P75" s="286">
        <v>11</v>
      </c>
      <c r="Q75" s="329">
        <f t="shared" ref="Q75:Q82" si="43">P75/Q$72</f>
        <v>0.61111111111111116</v>
      </c>
      <c r="R75" s="286">
        <v>12</v>
      </c>
      <c r="S75" s="329">
        <f t="shared" ref="S75:S82" si="44">R75/S$72</f>
        <v>0.66666666666666663</v>
      </c>
      <c r="T75" s="331">
        <v>12</v>
      </c>
      <c r="U75" s="332">
        <f t="shared" ref="U75:U82" si="45">T75/U$72</f>
        <v>0.63157894736842102</v>
      </c>
      <c r="V75" s="333"/>
      <c r="W75" s="334">
        <f>AVERAGE(N75,L75,R75,T75,P75)</f>
        <v>11.6</v>
      </c>
      <c r="X75" s="335">
        <f>AVERAGE(O75,M75,S75,U75,Q75)</f>
        <v>0.61766081871345024</v>
      </c>
    </row>
    <row r="76" spans="1:24" s="1" customFormat="1" ht="15" customHeight="1" x14ac:dyDescent="0.2">
      <c r="A76" s="336" t="s">
        <v>104</v>
      </c>
      <c r="B76" s="285">
        <v>0</v>
      </c>
      <c r="C76" s="328">
        <f t="shared" si="36"/>
        <v>0</v>
      </c>
      <c r="D76" s="285">
        <v>0</v>
      </c>
      <c r="E76" s="329">
        <f t="shared" si="37"/>
        <v>0</v>
      </c>
      <c r="F76" s="286">
        <v>0</v>
      </c>
      <c r="G76" s="329">
        <f t="shared" si="38"/>
        <v>0</v>
      </c>
      <c r="H76" s="286">
        <v>0</v>
      </c>
      <c r="I76" s="329">
        <f t="shared" si="39"/>
        <v>0</v>
      </c>
      <c r="J76" s="286">
        <f>0</f>
        <v>0</v>
      </c>
      <c r="K76" s="329">
        <f t="shared" si="40"/>
        <v>0</v>
      </c>
      <c r="L76" s="286">
        <v>0</v>
      </c>
      <c r="M76" s="329">
        <f t="shared" si="41"/>
        <v>0</v>
      </c>
      <c r="N76" s="286">
        <v>0</v>
      </c>
      <c r="O76" s="329">
        <f t="shared" si="42"/>
        <v>0</v>
      </c>
      <c r="P76" s="286">
        <v>0</v>
      </c>
      <c r="Q76" s="329">
        <f t="shared" si="43"/>
        <v>0</v>
      </c>
      <c r="R76" s="286">
        <v>0</v>
      </c>
      <c r="S76" s="329">
        <f t="shared" si="44"/>
        <v>0</v>
      </c>
      <c r="T76" s="331">
        <v>0</v>
      </c>
      <c r="U76" s="332">
        <f t="shared" si="45"/>
        <v>0</v>
      </c>
      <c r="V76" s="333"/>
      <c r="W76" s="334">
        <f t="shared" ref="W76:X94" si="46">AVERAGE(N76,L76,R76,T76,P76)</f>
        <v>0</v>
      </c>
      <c r="X76" s="335">
        <f t="shared" si="46"/>
        <v>0</v>
      </c>
    </row>
    <row r="77" spans="1:24" s="1" customFormat="1" ht="15" customHeight="1" x14ac:dyDescent="0.2">
      <c r="A77" s="336" t="s">
        <v>105</v>
      </c>
      <c r="B77" s="285">
        <v>0</v>
      </c>
      <c r="C77" s="328">
        <f t="shared" si="36"/>
        <v>0</v>
      </c>
      <c r="D77" s="285">
        <v>0</v>
      </c>
      <c r="E77" s="329">
        <f t="shared" si="37"/>
        <v>0</v>
      </c>
      <c r="F77" s="286">
        <v>0</v>
      </c>
      <c r="G77" s="329">
        <f t="shared" si="38"/>
        <v>0</v>
      </c>
      <c r="H77" s="286">
        <v>0</v>
      </c>
      <c r="I77" s="329">
        <f t="shared" si="39"/>
        <v>0</v>
      </c>
      <c r="J77" s="286">
        <f>0</f>
        <v>0</v>
      </c>
      <c r="K77" s="329">
        <f t="shared" si="40"/>
        <v>0</v>
      </c>
      <c r="L77" s="286">
        <v>0</v>
      </c>
      <c r="M77" s="329">
        <f t="shared" si="41"/>
        <v>0</v>
      </c>
      <c r="N77" s="286">
        <v>0</v>
      </c>
      <c r="O77" s="329">
        <f t="shared" si="42"/>
        <v>0</v>
      </c>
      <c r="P77" s="286">
        <v>0</v>
      </c>
      <c r="Q77" s="329">
        <f t="shared" si="43"/>
        <v>0</v>
      </c>
      <c r="R77" s="286">
        <v>0</v>
      </c>
      <c r="S77" s="329">
        <f t="shared" si="44"/>
        <v>0</v>
      </c>
      <c r="T77" s="331">
        <v>0</v>
      </c>
      <c r="U77" s="332">
        <f t="shared" si="45"/>
        <v>0</v>
      </c>
      <c r="V77" s="333"/>
      <c r="W77" s="334">
        <f t="shared" si="46"/>
        <v>0</v>
      </c>
      <c r="X77" s="335">
        <f t="shared" si="46"/>
        <v>0</v>
      </c>
    </row>
    <row r="78" spans="1:24" s="1" customFormat="1" ht="15" customHeight="1" x14ac:dyDescent="0.2">
      <c r="A78" s="336" t="s">
        <v>106</v>
      </c>
      <c r="B78" s="285">
        <v>0</v>
      </c>
      <c r="C78" s="328">
        <f t="shared" si="36"/>
        <v>0</v>
      </c>
      <c r="D78" s="285">
        <v>0</v>
      </c>
      <c r="E78" s="329">
        <f t="shared" si="37"/>
        <v>0</v>
      </c>
      <c r="F78" s="286">
        <v>0</v>
      </c>
      <c r="G78" s="329">
        <f t="shared" si="38"/>
        <v>0</v>
      </c>
      <c r="H78" s="286">
        <v>0</v>
      </c>
      <c r="I78" s="329">
        <f t="shared" si="39"/>
        <v>0</v>
      </c>
      <c r="J78" s="286">
        <f>0</f>
        <v>0</v>
      </c>
      <c r="K78" s="329">
        <f t="shared" si="40"/>
        <v>0</v>
      </c>
      <c r="L78" s="286">
        <v>0</v>
      </c>
      <c r="M78" s="329">
        <f t="shared" si="41"/>
        <v>0</v>
      </c>
      <c r="N78" s="286">
        <v>0</v>
      </c>
      <c r="O78" s="329">
        <f t="shared" si="42"/>
        <v>0</v>
      </c>
      <c r="P78" s="286">
        <v>0</v>
      </c>
      <c r="Q78" s="329">
        <f t="shared" si="43"/>
        <v>0</v>
      </c>
      <c r="R78" s="286">
        <v>0</v>
      </c>
      <c r="S78" s="329">
        <f t="shared" si="44"/>
        <v>0</v>
      </c>
      <c r="T78" s="331">
        <v>0</v>
      </c>
      <c r="U78" s="332">
        <f t="shared" si="45"/>
        <v>0</v>
      </c>
      <c r="V78" s="333"/>
      <c r="W78" s="334">
        <f t="shared" si="46"/>
        <v>0</v>
      </c>
      <c r="X78" s="335">
        <f t="shared" si="46"/>
        <v>0</v>
      </c>
    </row>
    <row r="79" spans="1:24" s="1" customFormat="1" ht="15" customHeight="1" x14ac:dyDescent="0.2">
      <c r="A79" s="336" t="s">
        <v>107</v>
      </c>
      <c r="B79" s="285">
        <v>8</v>
      </c>
      <c r="C79" s="328">
        <f t="shared" si="36"/>
        <v>0.4</v>
      </c>
      <c r="D79" s="285">
        <f>5+1</f>
        <v>6</v>
      </c>
      <c r="E79" s="329">
        <f t="shared" si="37"/>
        <v>0.31578947368421051</v>
      </c>
      <c r="F79" s="286">
        <v>7</v>
      </c>
      <c r="G79" s="329">
        <f t="shared" si="38"/>
        <v>0.36842105263157893</v>
      </c>
      <c r="H79" s="286">
        <v>5</v>
      </c>
      <c r="I79" s="329">
        <f t="shared" si="39"/>
        <v>0.29411764705882354</v>
      </c>
      <c r="J79" s="286">
        <f>5</f>
        <v>5</v>
      </c>
      <c r="K79" s="329">
        <f t="shared" si="40"/>
        <v>0.27777777777777779</v>
      </c>
      <c r="L79" s="286">
        <v>5</v>
      </c>
      <c r="M79" s="329">
        <f t="shared" si="41"/>
        <v>0.25</v>
      </c>
      <c r="N79" s="286">
        <v>6</v>
      </c>
      <c r="O79" s="329">
        <f t="shared" si="42"/>
        <v>0.31578947368421051</v>
      </c>
      <c r="P79" s="286">
        <v>6</v>
      </c>
      <c r="Q79" s="329">
        <f t="shared" si="43"/>
        <v>0.33333333333333331</v>
      </c>
      <c r="R79" s="286">
        <v>5</v>
      </c>
      <c r="S79" s="329">
        <f t="shared" si="44"/>
        <v>0.27777777777777779</v>
      </c>
      <c r="T79" s="331">
        <v>6</v>
      </c>
      <c r="U79" s="332">
        <f t="shared" si="45"/>
        <v>0.31578947368421051</v>
      </c>
      <c r="V79" s="333"/>
      <c r="W79" s="334">
        <f t="shared" si="46"/>
        <v>5.6</v>
      </c>
      <c r="X79" s="335">
        <f t="shared" si="46"/>
        <v>0.29853801169590644</v>
      </c>
    </row>
    <row r="80" spans="1:24" s="1" customFormat="1" ht="15" customHeight="1" x14ac:dyDescent="0.2">
      <c r="A80" s="336" t="s">
        <v>108</v>
      </c>
      <c r="B80" s="285">
        <v>2</v>
      </c>
      <c r="C80" s="328">
        <f t="shared" si="36"/>
        <v>0.1</v>
      </c>
      <c r="D80" s="285">
        <v>1</v>
      </c>
      <c r="E80" s="329">
        <f t="shared" si="37"/>
        <v>5.2631578947368418E-2</v>
      </c>
      <c r="F80" s="286">
        <v>0</v>
      </c>
      <c r="G80" s="329">
        <f t="shared" si="38"/>
        <v>0</v>
      </c>
      <c r="H80" s="286">
        <v>0</v>
      </c>
      <c r="I80" s="329">
        <f t="shared" si="39"/>
        <v>0</v>
      </c>
      <c r="J80" s="286">
        <f>0</f>
        <v>0</v>
      </c>
      <c r="K80" s="329">
        <f t="shared" si="40"/>
        <v>0</v>
      </c>
      <c r="L80" s="286">
        <v>2</v>
      </c>
      <c r="M80" s="329">
        <f t="shared" si="41"/>
        <v>0.1</v>
      </c>
      <c r="N80" s="286">
        <v>1</v>
      </c>
      <c r="O80" s="329">
        <f t="shared" si="42"/>
        <v>5.2631578947368418E-2</v>
      </c>
      <c r="P80" s="286">
        <v>1</v>
      </c>
      <c r="Q80" s="329">
        <f t="shared" si="43"/>
        <v>5.5555555555555552E-2</v>
      </c>
      <c r="R80" s="286">
        <v>1</v>
      </c>
      <c r="S80" s="329">
        <f t="shared" si="44"/>
        <v>5.5555555555555552E-2</v>
      </c>
      <c r="T80" s="331">
        <v>1</v>
      </c>
      <c r="U80" s="332">
        <f t="shared" si="45"/>
        <v>5.2631578947368418E-2</v>
      </c>
      <c r="V80" s="333"/>
      <c r="W80" s="334">
        <f t="shared" si="46"/>
        <v>1.2</v>
      </c>
      <c r="X80" s="335">
        <f t="shared" si="46"/>
        <v>6.3274853801169595E-2</v>
      </c>
    </row>
    <row r="81" spans="1:24" s="1" customFormat="1" ht="15" customHeight="1" x14ac:dyDescent="0.2">
      <c r="A81" s="336" t="s">
        <v>109</v>
      </c>
      <c r="B81" s="306"/>
      <c r="C81" s="328"/>
      <c r="D81" s="1206"/>
      <c r="E81" s="1207"/>
      <c r="F81" s="1208"/>
      <c r="G81" s="1207"/>
      <c r="H81" s="267">
        <v>0</v>
      </c>
      <c r="I81" s="329">
        <f t="shared" si="39"/>
        <v>0</v>
      </c>
      <c r="J81" s="267">
        <f>0</f>
        <v>0</v>
      </c>
      <c r="K81" s="329">
        <f t="shared" si="40"/>
        <v>0</v>
      </c>
      <c r="L81" s="267">
        <v>0</v>
      </c>
      <c r="M81" s="329">
        <f t="shared" si="41"/>
        <v>0</v>
      </c>
      <c r="N81" s="267">
        <v>0</v>
      </c>
      <c r="O81" s="329">
        <f t="shared" si="42"/>
        <v>0</v>
      </c>
      <c r="P81" s="267">
        <v>0</v>
      </c>
      <c r="Q81" s="329">
        <f t="shared" si="43"/>
        <v>0</v>
      </c>
      <c r="R81" s="267">
        <v>0</v>
      </c>
      <c r="S81" s="329">
        <f t="shared" si="44"/>
        <v>0</v>
      </c>
      <c r="T81" s="331">
        <v>0</v>
      </c>
      <c r="U81" s="332">
        <f t="shared" si="45"/>
        <v>0</v>
      </c>
      <c r="V81" s="333"/>
      <c r="W81" s="334">
        <f t="shared" si="46"/>
        <v>0</v>
      </c>
      <c r="X81" s="335">
        <f t="shared" si="46"/>
        <v>0</v>
      </c>
    </row>
    <row r="82" spans="1:24" s="1" customFormat="1" ht="15" customHeight="1" thickBot="1" x14ac:dyDescent="0.25">
      <c r="A82" s="336" t="s">
        <v>110</v>
      </c>
      <c r="B82" s="264">
        <v>0</v>
      </c>
      <c r="C82" s="659">
        <f>B82/C$72</f>
        <v>0</v>
      </c>
      <c r="D82" s="264">
        <v>0</v>
      </c>
      <c r="E82" s="660">
        <f>D82/E$72</f>
        <v>0</v>
      </c>
      <c r="F82" s="267">
        <v>0</v>
      </c>
      <c r="G82" s="660">
        <f>F82/G$72</f>
        <v>0</v>
      </c>
      <c r="H82" s="267">
        <v>0</v>
      </c>
      <c r="I82" s="660">
        <f t="shared" si="39"/>
        <v>0</v>
      </c>
      <c r="J82" s="267">
        <f>0</f>
        <v>0</v>
      </c>
      <c r="K82" s="660">
        <f t="shared" si="40"/>
        <v>0</v>
      </c>
      <c r="L82" s="267">
        <v>1</v>
      </c>
      <c r="M82" s="660">
        <f t="shared" si="41"/>
        <v>0.05</v>
      </c>
      <c r="N82" s="267">
        <v>1</v>
      </c>
      <c r="O82" s="660">
        <f t="shared" si="42"/>
        <v>5.2631578947368418E-2</v>
      </c>
      <c r="P82" s="267">
        <v>0</v>
      </c>
      <c r="Q82" s="660">
        <f t="shared" si="43"/>
        <v>0</v>
      </c>
      <c r="R82" s="267">
        <v>0</v>
      </c>
      <c r="S82" s="660">
        <f t="shared" si="44"/>
        <v>0</v>
      </c>
      <c r="T82" s="339">
        <v>0</v>
      </c>
      <c r="U82" s="661">
        <f t="shared" si="45"/>
        <v>0</v>
      </c>
      <c r="V82" s="333"/>
      <c r="W82" s="662">
        <f t="shared" si="46"/>
        <v>0.4</v>
      </c>
      <c r="X82" s="663">
        <f t="shared" si="46"/>
        <v>2.0526315789473684E-2</v>
      </c>
    </row>
    <row r="83" spans="1:24" s="1" customFormat="1" ht="18" customHeight="1" x14ac:dyDescent="0.2">
      <c r="A83" s="886" t="s">
        <v>111</v>
      </c>
      <c r="B83" s="1045"/>
      <c r="C83" s="665"/>
      <c r="D83" s="1045"/>
      <c r="E83" s="666"/>
      <c r="F83" s="1046"/>
      <c r="G83" s="666"/>
      <c r="H83" s="1046"/>
      <c r="I83" s="666"/>
      <c r="J83" s="1046"/>
      <c r="K83" s="666"/>
      <c r="L83" s="1046"/>
      <c r="M83" s="666"/>
      <c r="N83" s="1046"/>
      <c r="O83" s="666"/>
      <c r="P83" s="1046"/>
      <c r="Q83" s="666"/>
      <c r="R83" s="1046"/>
      <c r="S83" s="666"/>
      <c r="T83" s="667"/>
      <c r="U83" s="668"/>
      <c r="V83" s="333"/>
      <c r="W83" s="657"/>
      <c r="X83" s="658"/>
    </row>
    <row r="84" spans="1:24" s="1" customFormat="1" ht="15" customHeight="1" x14ac:dyDescent="0.2">
      <c r="A84" s="326" t="s">
        <v>112</v>
      </c>
      <c r="B84" s="253">
        <v>17</v>
      </c>
      <c r="C84" s="328">
        <f>B84/C$72</f>
        <v>0.85</v>
      </c>
      <c r="D84" s="253">
        <f>6+8+1+1</f>
        <v>16</v>
      </c>
      <c r="E84" s="329">
        <f>D84/E$72</f>
        <v>0.84210526315789469</v>
      </c>
      <c r="F84" s="254">
        <v>16</v>
      </c>
      <c r="G84" s="329">
        <f>F84/G$72</f>
        <v>0.84210526315789469</v>
      </c>
      <c r="H84" s="254">
        <v>14</v>
      </c>
      <c r="I84" s="329">
        <f>H84/I$72</f>
        <v>0.82352941176470584</v>
      </c>
      <c r="J84" s="254">
        <f>12+3</f>
        <v>15</v>
      </c>
      <c r="K84" s="329">
        <f>J84/K$72</f>
        <v>0.83333333333333337</v>
      </c>
      <c r="L84" s="254">
        <v>15</v>
      </c>
      <c r="M84" s="329">
        <f>L84/M$72</f>
        <v>0.75</v>
      </c>
      <c r="N84" s="254">
        <f>1+13</f>
        <v>14</v>
      </c>
      <c r="O84" s="329">
        <f>N84/O$72</f>
        <v>0.73684210526315785</v>
      </c>
      <c r="P84" s="254">
        <v>13</v>
      </c>
      <c r="Q84" s="329">
        <f>P84/Q$72</f>
        <v>0.72222222222222221</v>
      </c>
      <c r="R84" s="254">
        <v>13</v>
      </c>
      <c r="S84" s="329">
        <f>R84/S$72</f>
        <v>0.72222222222222221</v>
      </c>
      <c r="T84" s="343">
        <v>15</v>
      </c>
      <c r="U84" s="332">
        <f>T84/U$72</f>
        <v>0.78947368421052633</v>
      </c>
      <c r="V84" s="333"/>
      <c r="W84" s="334">
        <f t="shared" si="46"/>
        <v>14</v>
      </c>
      <c r="X84" s="335">
        <f t="shared" si="46"/>
        <v>0.74415204678362579</v>
      </c>
    </row>
    <row r="85" spans="1:24" s="1" customFormat="1" ht="15" customHeight="1" thickBot="1" x14ac:dyDescent="0.25">
      <c r="A85" s="336" t="s">
        <v>113</v>
      </c>
      <c r="B85" s="1043">
        <v>3</v>
      </c>
      <c r="C85" s="659">
        <f>B85/C$72</f>
        <v>0.15</v>
      </c>
      <c r="D85" s="1043">
        <f>1+2</f>
        <v>3</v>
      </c>
      <c r="E85" s="660">
        <f>D85/E$72</f>
        <v>0.15789473684210525</v>
      </c>
      <c r="F85" s="1044">
        <v>3</v>
      </c>
      <c r="G85" s="660">
        <f>F85/G$72</f>
        <v>0.15789473684210525</v>
      </c>
      <c r="H85" s="1044">
        <v>3</v>
      </c>
      <c r="I85" s="660">
        <f>H85/I$72</f>
        <v>0.17647058823529413</v>
      </c>
      <c r="J85" s="1044">
        <f>3</f>
        <v>3</v>
      </c>
      <c r="K85" s="660">
        <f>J85/K$72</f>
        <v>0.16666666666666666</v>
      </c>
      <c r="L85" s="1044">
        <v>5</v>
      </c>
      <c r="M85" s="660">
        <f>L85/M$72</f>
        <v>0.25</v>
      </c>
      <c r="N85" s="1044">
        <v>5</v>
      </c>
      <c r="O85" s="660">
        <f>N85/O$72</f>
        <v>0.26315789473684209</v>
      </c>
      <c r="P85" s="1044">
        <v>5</v>
      </c>
      <c r="Q85" s="660">
        <f>P85/Q$72</f>
        <v>0.27777777777777779</v>
      </c>
      <c r="R85" s="1044">
        <v>5</v>
      </c>
      <c r="S85" s="660">
        <f>R85/S$72</f>
        <v>0.27777777777777779</v>
      </c>
      <c r="T85" s="670">
        <v>4</v>
      </c>
      <c r="U85" s="661">
        <f>T85/U$72</f>
        <v>0.21052631578947367</v>
      </c>
      <c r="V85" s="333"/>
      <c r="W85" s="662">
        <f t="shared" si="46"/>
        <v>4.8</v>
      </c>
      <c r="X85" s="663">
        <f t="shared" si="46"/>
        <v>0.25584795321637427</v>
      </c>
    </row>
    <row r="86" spans="1:24" s="1" customFormat="1" ht="18" customHeight="1" x14ac:dyDescent="0.2">
      <c r="A86" s="886" t="s">
        <v>114</v>
      </c>
      <c r="B86" s="1047"/>
      <c r="C86" s="654"/>
      <c r="D86" s="1047"/>
      <c r="E86" s="655"/>
      <c r="F86" s="1048"/>
      <c r="G86" s="655"/>
      <c r="H86" s="1048"/>
      <c r="I86" s="655"/>
      <c r="J86" s="1048"/>
      <c r="K86" s="655"/>
      <c r="L86" s="1048"/>
      <c r="M86" s="655"/>
      <c r="N86" s="1048"/>
      <c r="O86" s="655"/>
      <c r="P86" s="1048"/>
      <c r="Q86" s="655"/>
      <c r="R86" s="1048"/>
      <c r="S86" s="655"/>
      <c r="T86" s="672"/>
      <c r="U86" s="656"/>
      <c r="V86" s="333"/>
      <c r="W86" s="657"/>
      <c r="X86" s="658"/>
    </row>
    <row r="87" spans="1:24" s="1" customFormat="1" ht="15" customHeight="1" x14ac:dyDescent="0.2">
      <c r="A87" s="326" t="s">
        <v>115</v>
      </c>
      <c r="B87" s="253">
        <v>11</v>
      </c>
      <c r="C87" s="328">
        <f>B87/C$72</f>
        <v>0.55000000000000004</v>
      </c>
      <c r="D87" s="253">
        <f>11+1+1</f>
        <v>13</v>
      </c>
      <c r="E87" s="329">
        <f>D87/E$72</f>
        <v>0.68421052631578949</v>
      </c>
      <c r="F87" s="254">
        <v>10</v>
      </c>
      <c r="G87" s="329">
        <f>F87/G$72</f>
        <v>0.52631578947368418</v>
      </c>
      <c r="H87" s="254">
        <v>10</v>
      </c>
      <c r="I87" s="329">
        <f>H87/I$72</f>
        <v>0.58823529411764708</v>
      </c>
      <c r="J87" s="254">
        <f>9+1</f>
        <v>10</v>
      </c>
      <c r="K87" s="329">
        <f>J87/K$72</f>
        <v>0.55555555555555558</v>
      </c>
      <c r="L87" s="254">
        <v>11</v>
      </c>
      <c r="M87" s="329">
        <f>L87/M$72</f>
        <v>0.55000000000000004</v>
      </c>
      <c r="N87" s="254">
        <f>10</f>
        <v>10</v>
      </c>
      <c r="O87" s="329">
        <f>N87/O$72</f>
        <v>0.52631578947368418</v>
      </c>
      <c r="P87" s="254">
        <v>10</v>
      </c>
      <c r="Q87" s="329">
        <f>P87/Q$72</f>
        <v>0.55555555555555558</v>
      </c>
      <c r="R87" s="254">
        <v>10</v>
      </c>
      <c r="S87" s="329">
        <f>R87/S$72</f>
        <v>0.55555555555555558</v>
      </c>
      <c r="T87" s="342">
        <v>10</v>
      </c>
      <c r="U87" s="332">
        <f>T87/U$72</f>
        <v>0.52631578947368418</v>
      </c>
      <c r="V87" s="333"/>
      <c r="W87" s="334">
        <f t="shared" si="46"/>
        <v>10.199999999999999</v>
      </c>
      <c r="X87" s="335">
        <f t="shared" si="46"/>
        <v>0.54274853801169587</v>
      </c>
    </row>
    <row r="88" spans="1:24" s="1" customFormat="1" ht="15" customHeight="1" x14ac:dyDescent="0.2">
      <c r="A88" s="326" t="s">
        <v>116</v>
      </c>
      <c r="B88" s="253">
        <v>5</v>
      </c>
      <c r="C88" s="328">
        <f>B88/C$72</f>
        <v>0.25</v>
      </c>
      <c r="D88" s="253">
        <v>4</v>
      </c>
      <c r="E88" s="329">
        <f>D88/E$72</f>
        <v>0.21052631578947367</v>
      </c>
      <c r="F88" s="254">
        <v>4</v>
      </c>
      <c r="G88" s="329">
        <f>F88/G$72</f>
        <v>0.21052631578947367</v>
      </c>
      <c r="H88" s="254">
        <v>2</v>
      </c>
      <c r="I88" s="329">
        <f>H88/I$72</f>
        <v>0.11764705882352941</v>
      </c>
      <c r="J88" s="254">
        <f>2</f>
        <v>2</v>
      </c>
      <c r="K88" s="329">
        <f>J88/K$72</f>
        <v>0.1111111111111111</v>
      </c>
      <c r="L88" s="254">
        <v>2</v>
      </c>
      <c r="M88" s="329">
        <f>L88/M$72</f>
        <v>0.1</v>
      </c>
      <c r="N88" s="254">
        <v>2</v>
      </c>
      <c r="O88" s="329">
        <f>N88/O$72</f>
        <v>0.10526315789473684</v>
      </c>
      <c r="P88" s="254">
        <v>2</v>
      </c>
      <c r="Q88" s="329">
        <f>P88/Q$72</f>
        <v>0.1111111111111111</v>
      </c>
      <c r="R88" s="254">
        <v>1</v>
      </c>
      <c r="S88" s="329">
        <f>R88/S$72</f>
        <v>5.5555555555555552E-2</v>
      </c>
      <c r="T88" s="342">
        <v>1</v>
      </c>
      <c r="U88" s="332">
        <f>T88/U$72</f>
        <v>5.2631578947368418E-2</v>
      </c>
      <c r="V88" s="333"/>
      <c r="W88" s="334">
        <f t="shared" si="46"/>
        <v>1.6</v>
      </c>
      <c r="X88" s="335">
        <f t="shared" si="46"/>
        <v>8.4912280701754383E-2</v>
      </c>
    </row>
    <row r="89" spans="1:24" s="1" customFormat="1" ht="15" customHeight="1" thickBot="1" x14ac:dyDescent="0.25">
      <c r="A89" s="336" t="s">
        <v>117</v>
      </c>
      <c r="B89" s="1043">
        <v>4</v>
      </c>
      <c r="C89" s="659">
        <f>B89/C$72</f>
        <v>0.2</v>
      </c>
      <c r="D89" s="1043">
        <v>2</v>
      </c>
      <c r="E89" s="660">
        <f>D89/E$72</f>
        <v>0.10526315789473684</v>
      </c>
      <c r="F89" s="1044">
        <v>5</v>
      </c>
      <c r="G89" s="660">
        <f>F89/G$72</f>
        <v>0.26315789473684209</v>
      </c>
      <c r="H89" s="1044">
        <v>5</v>
      </c>
      <c r="I89" s="660">
        <f>H89/I$72</f>
        <v>0.29411764705882354</v>
      </c>
      <c r="J89" s="1044">
        <f>4+2</f>
        <v>6</v>
      </c>
      <c r="K89" s="660">
        <f>J89/K$72</f>
        <v>0.33333333333333331</v>
      </c>
      <c r="L89" s="1044">
        <v>7</v>
      </c>
      <c r="M89" s="660">
        <f>L89/M$72</f>
        <v>0.35</v>
      </c>
      <c r="N89" s="1044">
        <f>1+6</f>
        <v>7</v>
      </c>
      <c r="O89" s="660">
        <f>N89/O$72</f>
        <v>0.36842105263157893</v>
      </c>
      <c r="P89" s="1044">
        <v>6</v>
      </c>
      <c r="Q89" s="660">
        <f>P89/Q$72</f>
        <v>0.33333333333333331</v>
      </c>
      <c r="R89" s="1044">
        <v>7</v>
      </c>
      <c r="S89" s="660">
        <f>R89/S$72</f>
        <v>0.3888888888888889</v>
      </c>
      <c r="T89" s="670">
        <v>8</v>
      </c>
      <c r="U89" s="661">
        <f>T89/U$72</f>
        <v>0.42105263157894735</v>
      </c>
      <c r="V89" s="333"/>
      <c r="W89" s="662">
        <f t="shared" si="46"/>
        <v>7</v>
      </c>
      <c r="X89" s="663">
        <f t="shared" si="46"/>
        <v>0.37233918128654964</v>
      </c>
    </row>
    <row r="90" spans="1:24" s="1" customFormat="1" ht="18" customHeight="1" x14ac:dyDescent="0.2">
      <c r="A90" s="886" t="s">
        <v>118</v>
      </c>
      <c r="B90" s="1047"/>
      <c r="C90" s="654"/>
      <c r="D90" s="1047"/>
      <c r="E90" s="655"/>
      <c r="F90" s="1048"/>
      <c r="G90" s="655"/>
      <c r="H90" s="1048"/>
      <c r="I90" s="655"/>
      <c r="J90" s="1048"/>
      <c r="K90" s="655"/>
      <c r="L90" s="1048"/>
      <c r="M90" s="655"/>
      <c r="N90" s="1048"/>
      <c r="O90" s="655"/>
      <c r="P90" s="1048"/>
      <c r="Q90" s="655"/>
      <c r="R90" s="1048"/>
      <c r="S90" s="655"/>
      <c r="T90" s="672"/>
      <c r="U90" s="656"/>
      <c r="V90" s="333"/>
      <c r="W90" s="657"/>
      <c r="X90" s="658"/>
    </row>
    <row r="91" spans="1:24" s="1" customFormat="1" ht="15" customHeight="1" x14ac:dyDescent="0.2">
      <c r="A91" s="326" t="s">
        <v>119</v>
      </c>
      <c r="B91" s="253">
        <v>17</v>
      </c>
      <c r="C91" s="328">
        <f>B91/C$72</f>
        <v>0.85</v>
      </c>
      <c r="D91" s="253">
        <f>14+1+1</f>
        <v>16</v>
      </c>
      <c r="E91" s="329">
        <f>D91/E$72</f>
        <v>0.84210526315789469</v>
      </c>
      <c r="F91" s="254">
        <v>15</v>
      </c>
      <c r="G91" s="329">
        <f>F91/G$72</f>
        <v>0.78947368421052633</v>
      </c>
      <c r="H91" s="254">
        <v>13</v>
      </c>
      <c r="I91" s="329">
        <f>H91/I$72</f>
        <v>0.76470588235294112</v>
      </c>
      <c r="J91" s="254">
        <f>11+2</f>
        <v>13</v>
      </c>
      <c r="K91" s="329">
        <f>J91/K$72</f>
        <v>0.72222222222222221</v>
      </c>
      <c r="L91" s="254">
        <v>14</v>
      </c>
      <c r="M91" s="329">
        <f>L91/M$72</f>
        <v>0.7</v>
      </c>
      <c r="N91" s="254">
        <f>1+12</f>
        <v>13</v>
      </c>
      <c r="O91" s="329">
        <f>N91/O$72</f>
        <v>0.68421052631578949</v>
      </c>
      <c r="P91" s="254">
        <v>14</v>
      </c>
      <c r="Q91" s="329">
        <f>P91/Q$72</f>
        <v>0.77777777777777779</v>
      </c>
      <c r="R91" s="254">
        <v>13</v>
      </c>
      <c r="S91" s="329">
        <f>R91/S$72</f>
        <v>0.72222222222222221</v>
      </c>
      <c r="T91" s="342">
        <v>14</v>
      </c>
      <c r="U91" s="332">
        <f>T91/U$72</f>
        <v>0.73684210526315785</v>
      </c>
      <c r="V91" s="333"/>
      <c r="W91" s="334">
        <f t="shared" si="46"/>
        <v>13.6</v>
      </c>
      <c r="X91" s="335">
        <f t="shared" si="46"/>
        <v>0.72421052631578953</v>
      </c>
    </row>
    <row r="92" spans="1:24" s="1" customFormat="1" ht="15" customHeight="1" x14ac:dyDescent="0.2">
      <c r="A92" s="326" t="s">
        <v>120</v>
      </c>
      <c r="B92" s="253">
        <v>1</v>
      </c>
      <c r="C92" s="328">
        <f>B92/C$72</f>
        <v>0.05</v>
      </c>
      <c r="D92" s="253">
        <v>1</v>
      </c>
      <c r="E92" s="329">
        <f>D92/E$72</f>
        <v>5.2631578947368418E-2</v>
      </c>
      <c r="F92" s="254">
        <v>2</v>
      </c>
      <c r="G92" s="329">
        <f>F92/G$72</f>
        <v>0.10526315789473684</v>
      </c>
      <c r="H92" s="254">
        <v>2</v>
      </c>
      <c r="I92" s="329">
        <f>H92/I$72</f>
        <v>0.11764705882352941</v>
      </c>
      <c r="J92" s="254">
        <f>2</f>
        <v>2</v>
      </c>
      <c r="K92" s="329">
        <f>J92/K$72</f>
        <v>0.1111111111111111</v>
      </c>
      <c r="L92" s="254">
        <v>3</v>
      </c>
      <c r="M92" s="329">
        <f>L92/M$72</f>
        <v>0.15</v>
      </c>
      <c r="N92" s="254">
        <v>2</v>
      </c>
      <c r="O92" s="329">
        <f>N92/O$72</f>
        <v>0.10526315789473684</v>
      </c>
      <c r="P92" s="254">
        <v>4</v>
      </c>
      <c r="Q92" s="329">
        <f>P92/Q$72</f>
        <v>0.22222222222222221</v>
      </c>
      <c r="R92" s="254">
        <v>1</v>
      </c>
      <c r="S92" s="329">
        <f>R92/S$72</f>
        <v>5.5555555555555552E-2</v>
      </c>
      <c r="T92" s="342">
        <v>0</v>
      </c>
      <c r="U92" s="332">
        <f>T92/U$72</f>
        <v>0</v>
      </c>
      <c r="V92" s="333"/>
      <c r="W92" s="334">
        <f t="shared" si="46"/>
        <v>2</v>
      </c>
      <c r="X92" s="335">
        <f t="shared" si="46"/>
        <v>0.10660818713450293</v>
      </c>
    </row>
    <row r="93" spans="1:24" s="1" customFormat="1" ht="15" customHeight="1" x14ac:dyDescent="0.2">
      <c r="A93" s="326" t="s">
        <v>121</v>
      </c>
      <c r="B93" s="253">
        <v>2</v>
      </c>
      <c r="C93" s="328">
        <f>B93/C$72</f>
        <v>0.1</v>
      </c>
      <c r="D93" s="253">
        <v>2</v>
      </c>
      <c r="E93" s="329">
        <f>D93/E$72</f>
        <v>0.10526315789473684</v>
      </c>
      <c r="F93" s="254">
        <v>2</v>
      </c>
      <c r="G93" s="329">
        <f>F93/G$72</f>
        <v>0.10526315789473684</v>
      </c>
      <c r="H93" s="254">
        <v>2</v>
      </c>
      <c r="I93" s="329">
        <f>H93/I$72</f>
        <v>0.11764705882352941</v>
      </c>
      <c r="J93" s="254">
        <f>2+1</f>
        <v>3</v>
      </c>
      <c r="K93" s="329">
        <f>J93/K$72</f>
        <v>0.16666666666666666</v>
      </c>
      <c r="L93" s="254">
        <v>3</v>
      </c>
      <c r="M93" s="329">
        <f>L93/M$72</f>
        <v>0.15</v>
      </c>
      <c r="N93" s="254">
        <v>4</v>
      </c>
      <c r="O93" s="329">
        <f>N93/O$72</f>
        <v>0.21052631578947367</v>
      </c>
      <c r="P93" s="254">
        <v>0</v>
      </c>
      <c r="Q93" s="329">
        <f>P93/Q$72</f>
        <v>0</v>
      </c>
      <c r="R93" s="254">
        <v>4</v>
      </c>
      <c r="S93" s="329">
        <f>R93/S$72</f>
        <v>0.22222222222222221</v>
      </c>
      <c r="T93" s="342">
        <v>5</v>
      </c>
      <c r="U93" s="332">
        <f>T93/U$72</f>
        <v>0.26315789473684209</v>
      </c>
      <c r="V93" s="320"/>
      <c r="W93" s="334">
        <f t="shared" si="46"/>
        <v>3.2</v>
      </c>
      <c r="X93" s="335">
        <f t="shared" si="46"/>
        <v>0.1691812865497076</v>
      </c>
    </row>
    <row r="94" spans="1:24" s="1" customFormat="1" ht="15" customHeight="1" thickBot="1" x14ac:dyDescent="0.25">
      <c r="A94" s="344" t="s">
        <v>122</v>
      </c>
      <c r="B94" s="255">
        <v>0</v>
      </c>
      <c r="C94" s="346">
        <f>B94/C$72</f>
        <v>0</v>
      </c>
      <c r="D94" s="255">
        <v>0</v>
      </c>
      <c r="E94" s="347">
        <f>D94/E$72</f>
        <v>0</v>
      </c>
      <c r="F94" s="256">
        <v>0</v>
      </c>
      <c r="G94" s="347">
        <f>F94/G$72</f>
        <v>0</v>
      </c>
      <c r="H94" s="256">
        <v>0</v>
      </c>
      <c r="I94" s="347">
        <f>H94/I$72</f>
        <v>0</v>
      </c>
      <c r="J94" s="256">
        <f>0</f>
        <v>0</v>
      </c>
      <c r="K94" s="347">
        <f>J94/K$72</f>
        <v>0</v>
      </c>
      <c r="L94" s="256">
        <v>0</v>
      </c>
      <c r="M94" s="347">
        <f>L94/M$72</f>
        <v>0</v>
      </c>
      <c r="N94" s="256">
        <v>0</v>
      </c>
      <c r="O94" s="347">
        <f>N94/O$72</f>
        <v>0</v>
      </c>
      <c r="P94" s="256">
        <v>0</v>
      </c>
      <c r="Q94" s="347">
        <f>P94/Q$72</f>
        <v>0</v>
      </c>
      <c r="R94" s="256">
        <v>0</v>
      </c>
      <c r="S94" s="347">
        <f>R94/S$72</f>
        <v>0</v>
      </c>
      <c r="T94" s="348">
        <v>0</v>
      </c>
      <c r="U94" s="349">
        <f>T94/U$72</f>
        <v>0</v>
      </c>
      <c r="V94" s="320"/>
      <c r="W94" s="350">
        <f t="shared" si="46"/>
        <v>0</v>
      </c>
      <c r="X94" s="351">
        <f t="shared" si="46"/>
        <v>0</v>
      </c>
    </row>
    <row r="95" spans="1:24" ht="15" customHeight="1" thickTop="1" x14ac:dyDescent="0.2">
      <c r="A95" s="635" t="s">
        <v>251</v>
      </c>
    </row>
    <row r="96" spans="1:24" x14ac:dyDescent="0.2">
      <c r="A96" s="1"/>
      <c r="H96" s="26" t="s">
        <v>16</v>
      </c>
      <c r="J96" s="26" t="s">
        <v>16</v>
      </c>
      <c r="L96" s="26" t="s">
        <v>16</v>
      </c>
      <c r="N96" s="26" t="s">
        <v>16</v>
      </c>
      <c r="P96" s="26" t="s">
        <v>16</v>
      </c>
      <c r="R96" s="26" t="s">
        <v>16</v>
      </c>
      <c r="T96" s="26" t="s">
        <v>16</v>
      </c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</sheetData>
  <mergeCells count="77">
    <mergeCell ref="N60:O60"/>
    <mergeCell ref="P60:Q60"/>
    <mergeCell ref="R60:S60"/>
    <mergeCell ref="W60:X60"/>
    <mergeCell ref="B60:C60"/>
    <mergeCell ref="D60:E60"/>
    <mergeCell ref="F60:G60"/>
    <mergeCell ref="H60:I60"/>
    <mergeCell ref="J60:K60"/>
    <mergeCell ref="L60:M60"/>
    <mergeCell ref="T60:U60"/>
    <mergeCell ref="R9:S9"/>
    <mergeCell ref="W9:X9"/>
    <mergeCell ref="B9:C9"/>
    <mergeCell ref="D9:E9"/>
    <mergeCell ref="F9:G9"/>
    <mergeCell ref="H9:I9"/>
    <mergeCell ref="J9:K9"/>
    <mergeCell ref="L9:M9"/>
    <mergeCell ref="N9:O9"/>
    <mergeCell ref="P9:Q9"/>
    <mergeCell ref="T9:U9"/>
    <mergeCell ref="L51:M51"/>
    <mergeCell ref="N51:O51"/>
    <mergeCell ref="R31:S31"/>
    <mergeCell ref="P40:Q40"/>
    <mergeCell ref="R40:S40"/>
    <mergeCell ref="L40:M40"/>
    <mergeCell ref="N40:O40"/>
    <mergeCell ref="L31:M31"/>
    <mergeCell ref="N31:O31"/>
    <mergeCell ref="P31:Q31"/>
    <mergeCell ref="L44:M44"/>
    <mergeCell ref="N44:O44"/>
    <mergeCell ref="W31:X31"/>
    <mergeCell ref="B31:C31"/>
    <mergeCell ref="D31:E31"/>
    <mergeCell ref="F31:G31"/>
    <mergeCell ref="H31:I31"/>
    <mergeCell ref="J31:K31"/>
    <mergeCell ref="T31:U31"/>
    <mergeCell ref="W40:X40"/>
    <mergeCell ref="P44:Q44"/>
    <mergeCell ref="R44:S44"/>
    <mergeCell ref="W44:X44"/>
    <mergeCell ref="P51:Q51"/>
    <mergeCell ref="R51:S51"/>
    <mergeCell ref="W51:X51"/>
    <mergeCell ref="T40:U40"/>
    <mergeCell ref="T44:U44"/>
    <mergeCell ref="T51:U51"/>
    <mergeCell ref="F40:G40"/>
    <mergeCell ref="H40:I40"/>
    <mergeCell ref="J40:K40"/>
    <mergeCell ref="B51:C51"/>
    <mergeCell ref="D51:E51"/>
    <mergeCell ref="F51:G51"/>
    <mergeCell ref="H51:I51"/>
    <mergeCell ref="J51:K51"/>
    <mergeCell ref="B44:C44"/>
    <mergeCell ref="D44:E44"/>
    <mergeCell ref="F44:G44"/>
    <mergeCell ref="H44:I44"/>
    <mergeCell ref="J44:K44"/>
    <mergeCell ref="B40:C40"/>
    <mergeCell ref="D40:E40"/>
    <mergeCell ref="B54:C54"/>
    <mergeCell ref="D54:E54"/>
    <mergeCell ref="F54:G54"/>
    <mergeCell ref="H54:I54"/>
    <mergeCell ref="J54:K54"/>
    <mergeCell ref="N54:O54"/>
    <mergeCell ref="P54:Q54"/>
    <mergeCell ref="R54:S54"/>
    <mergeCell ref="W54:X54"/>
    <mergeCell ref="L54:M54"/>
    <mergeCell ref="T54:U54"/>
  </mergeCells>
  <pageMargins left="0.7" right="0.7" top="0.5" bottom="0.5" header="0.3" footer="0.3"/>
  <pageSetup scale="64" orientation="landscape" r:id="rId1"/>
  <headerFooter>
    <oddFooter>&amp;LPrepared by Planning and Analysis&amp;C&amp;P of &amp;N&amp;RUpdated &amp;D</oddFooter>
  </headerFooter>
  <rowBreaks count="1" manualBreakCount="1">
    <brk id="58" max="16383" man="1"/>
  </rowBreaks>
  <colBreaks count="1" manualBreakCount="1">
    <brk id="21" max="1048575" man="1"/>
  </colBreaks>
  <ignoredErrors>
    <ignoredError sqref="J75:J9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440"/>
  <sheetViews>
    <sheetView view="pageBreakPreview" topLeftCell="A13" zoomScaleNormal="100" zoomScaleSheetLayoutView="100" workbookViewId="0">
      <pane xSplit="5" topLeftCell="F1" activePane="topRight" state="frozen"/>
      <selection activeCell="U23" sqref="U23"/>
      <selection pane="topRight" activeCell="U23" sqref="U23"/>
    </sheetView>
  </sheetViews>
  <sheetFormatPr defaultColWidth="10.28515625" defaultRowHeight="12.75" x14ac:dyDescent="0.2"/>
  <cols>
    <col min="1" max="1" width="34.285156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4" ht="15.75" x14ac:dyDescent="0.25">
      <c r="A1" s="636" t="s">
        <v>208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</row>
    <row r="2" spans="1:24" ht="15.75" x14ac:dyDescent="0.25">
      <c r="A2" s="636" t="s">
        <v>209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4" x14ac:dyDescent="0.2">
      <c r="A3" s="556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</row>
    <row r="4" spans="1:24" ht="15.75" x14ac:dyDescent="0.25">
      <c r="A4" s="157" t="s">
        <v>211</v>
      </c>
    </row>
    <row r="5" spans="1:24" x14ac:dyDescent="0.2">
      <c r="A5" s="556"/>
      <c r="U5" t="s">
        <v>16</v>
      </c>
    </row>
    <row r="6" spans="1:24" x14ac:dyDescent="0.2">
      <c r="A6" s="2" t="s">
        <v>256</v>
      </c>
    </row>
    <row r="7" spans="1:24" x14ac:dyDescent="0.2">
      <c r="A7" s="966">
        <v>3670010090</v>
      </c>
    </row>
    <row r="8" spans="1:24" ht="13.5" thickBot="1" x14ac:dyDescent="0.25">
      <c r="A8" s="1"/>
    </row>
    <row r="9" spans="1:24" ht="13.5" thickTop="1" x14ac:dyDescent="0.2">
      <c r="A9" s="215"/>
      <c r="B9" s="1304" t="s">
        <v>0</v>
      </c>
      <c r="C9" s="1305"/>
      <c r="D9" s="1304" t="s">
        <v>1</v>
      </c>
      <c r="E9" s="1305"/>
      <c r="F9" s="1304" t="s">
        <v>2</v>
      </c>
      <c r="G9" s="1305"/>
      <c r="H9" s="1304" t="s">
        <v>3</v>
      </c>
      <c r="I9" s="1305"/>
      <c r="J9" s="1304" t="s">
        <v>4</v>
      </c>
      <c r="K9" s="1305"/>
      <c r="L9" s="1304" t="s">
        <v>5</v>
      </c>
      <c r="M9" s="1305"/>
      <c r="N9" s="1304" t="s">
        <v>6</v>
      </c>
      <c r="O9" s="1305"/>
      <c r="P9" s="1304" t="s">
        <v>7</v>
      </c>
      <c r="Q9" s="1305"/>
      <c r="R9" s="1304" t="s">
        <v>8</v>
      </c>
      <c r="S9" s="1305"/>
      <c r="T9" s="1304" t="s">
        <v>254</v>
      </c>
      <c r="U9" s="1306"/>
      <c r="W9" s="1326" t="s">
        <v>9</v>
      </c>
      <c r="X9" s="1327"/>
    </row>
    <row r="10" spans="1:24" x14ac:dyDescent="0.2">
      <c r="A10" s="216"/>
      <c r="B10" s="28" t="s">
        <v>235</v>
      </c>
      <c r="C10" s="5" t="s">
        <v>11</v>
      </c>
      <c r="D10" s="28" t="s">
        <v>235</v>
      </c>
      <c r="E10" s="5" t="s">
        <v>11</v>
      </c>
      <c r="F10" s="28" t="s">
        <v>235</v>
      </c>
      <c r="G10" s="5" t="s">
        <v>11</v>
      </c>
      <c r="H10" s="28" t="s">
        <v>235</v>
      </c>
      <c r="I10" s="5" t="s">
        <v>11</v>
      </c>
      <c r="J10" s="28" t="s">
        <v>235</v>
      </c>
      <c r="K10" s="5" t="s">
        <v>11</v>
      </c>
      <c r="L10" s="28" t="s">
        <v>235</v>
      </c>
      <c r="M10" s="5" t="s">
        <v>11</v>
      </c>
      <c r="N10" s="28" t="s">
        <v>235</v>
      </c>
      <c r="O10" s="5" t="s">
        <v>11</v>
      </c>
      <c r="P10" s="28" t="s">
        <v>235</v>
      </c>
      <c r="Q10" s="5" t="s">
        <v>11</v>
      </c>
      <c r="R10" s="28" t="s">
        <v>235</v>
      </c>
      <c r="S10" s="5" t="s">
        <v>11</v>
      </c>
      <c r="T10" s="28" t="s">
        <v>235</v>
      </c>
      <c r="U10" s="52" t="s">
        <v>11</v>
      </c>
      <c r="W10" s="3" t="s">
        <v>236</v>
      </c>
      <c r="X10" s="4" t="s">
        <v>13</v>
      </c>
    </row>
    <row r="11" spans="1:24" ht="13.5" thickBot="1" x14ac:dyDescent="0.25">
      <c r="A11" s="30" t="s">
        <v>214</v>
      </c>
      <c r="B11" s="29" t="s">
        <v>14</v>
      </c>
      <c r="C11" s="29" t="s">
        <v>15</v>
      </c>
      <c r="D11" s="62" t="s">
        <v>14</v>
      </c>
      <c r="E11" s="63" t="s">
        <v>15</v>
      </c>
      <c r="F11" s="29" t="s">
        <v>14</v>
      </c>
      <c r="G11" s="959" t="s">
        <v>15</v>
      </c>
      <c r="H11" s="29" t="s">
        <v>14</v>
      </c>
      <c r="I11" s="959" t="s">
        <v>15</v>
      </c>
      <c r="J11" s="29" t="s">
        <v>14</v>
      </c>
      <c r="K11" s="959" t="s">
        <v>15</v>
      </c>
      <c r="L11" s="29" t="s">
        <v>14</v>
      </c>
      <c r="M11" s="959" t="s">
        <v>15</v>
      </c>
      <c r="N11" s="29" t="s">
        <v>14</v>
      </c>
      <c r="O11" s="959" t="s">
        <v>15</v>
      </c>
      <c r="P11" s="62" t="s">
        <v>14</v>
      </c>
      <c r="Q11" s="63" t="s">
        <v>15</v>
      </c>
      <c r="R11" s="29" t="s">
        <v>14</v>
      </c>
      <c r="S11" s="959" t="s">
        <v>15</v>
      </c>
      <c r="T11" s="62" t="s">
        <v>14</v>
      </c>
      <c r="U11" s="1213" t="s">
        <v>15</v>
      </c>
      <c r="W11" s="6" t="s">
        <v>14</v>
      </c>
      <c r="X11" s="7" t="s">
        <v>15</v>
      </c>
    </row>
    <row r="12" spans="1:24" x14ac:dyDescent="0.2">
      <c r="A12" s="257" t="s">
        <v>163</v>
      </c>
      <c r="B12" s="597"/>
      <c r="C12" s="687"/>
      <c r="D12" s="594"/>
      <c r="E12" s="688"/>
      <c r="F12" s="597"/>
      <c r="G12" s="688"/>
      <c r="H12" s="597"/>
      <c r="I12" s="688"/>
      <c r="J12" s="597"/>
      <c r="K12" s="688"/>
      <c r="L12" s="597"/>
      <c r="M12" s="688"/>
      <c r="N12" s="597"/>
      <c r="O12" s="688"/>
      <c r="P12" s="597"/>
      <c r="Q12" s="688"/>
      <c r="R12" s="597"/>
      <c r="S12" s="688"/>
      <c r="T12" s="597"/>
      <c r="U12" s="689"/>
      <c r="W12" s="1276"/>
      <c r="X12" s="233"/>
    </row>
    <row r="13" spans="1:24" s="232" customFormat="1" ht="15" x14ac:dyDescent="0.2">
      <c r="A13" s="224" t="s">
        <v>85</v>
      </c>
      <c r="B13" s="225">
        <v>65</v>
      </c>
      <c r="C13" s="226"/>
      <c r="D13" s="227">
        <v>69</v>
      </c>
      <c r="E13" s="228"/>
      <c r="F13" s="225">
        <v>58</v>
      </c>
      <c r="G13" s="228"/>
      <c r="H13" s="225">
        <v>67</v>
      </c>
      <c r="I13" s="228"/>
      <c r="J13" s="225">
        <v>53</v>
      </c>
      <c r="K13" s="228"/>
      <c r="L13" s="225">
        <v>46</v>
      </c>
      <c r="M13" s="228"/>
      <c r="N13" s="225">
        <v>57</v>
      </c>
      <c r="O13" s="228"/>
      <c r="P13" s="225">
        <v>46</v>
      </c>
      <c r="Q13" s="229"/>
      <c r="R13" s="225">
        <f>21+30</f>
        <v>51</v>
      </c>
      <c r="S13" s="228"/>
      <c r="T13" s="230">
        <v>46</v>
      </c>
      <c r="U13" s="231"/>
      <c r="W13" s="222">
        <f>AVERAGE(N13,L13,R13,T13,P13)</f>
        <v>49.2</v>
      </c>
      <c r="X13" s="476"/>
    </row>
    <row r="14" spans="1:24" s="232" customFormat="1" ht="15.75" thickBot="1" x14ac:dyDescent="0.25">
      <c r="A14" s="234" t="s">
        <v>86</v>
      </c>
      <c r="B14" s="235">
        <v>143</v>
      </c>
      <c r="C14" s="236"/>
      <c r="D14" s="237">
        <v>140</v>
      </c>
      <c r="E14" s="238"/>
      <c r="F14" s="235">
        <v>114</v>
      </c>
      <c r="G14" s="238"/>
      <c r="H14" s="235">
        <v>105</v>
      </c>
      <c r="I14" s="238"/>
      <c r="J14" s="235">
        <v>110</v>
      </c>
      <c r="K14" s="238"/>
      <c r="L14" s="235">
        <v>95</v>
      </c>
      <c r="M14" s="238"/>
      <c r="N14" s="235">
        <v>90</v>
      </c>
      <c r="O14" s="238"/>
      <c r="P14" s="235">
        <v>93</v>
      </c>
      <c r="Q14" s="239"/>
      <c r="R14" s="235">
        <f>32+62</f>
        <v>94</v>
      </c>
      <c r="S14" s="238"/>
      <c r="T14" s="235">
        <v>93</v>
      </c>
      <c r="U14" s="240"/>
      <c r="W14" s="449">
        <f t="shared" ref="W14:W29" si="0">AVERAGE(N14,L14,R14,T14,P14)</f>
        <v>93</v>
      </c>
      <c r="X14" s="477"/>
    </row>
    <row r="15" spans="1:24" s="33" customFormat="1" ht="13.5" thickBot="1" x14ac:dyDescent="0.25">
      <c r="A15" s="241" t="s">
        <v>87</v>
      </c>
      <c r="B15" s="242">
        <f t="shared" ref="B15:R15" si="1">SUM(B13:B14)</f>
        <v>208</v>
      </c>
      <c r="C15" s="243">
        <v>50</v>
      </c>
      <c r="D15" s="242">
        <f t="shared" si="1"/>
        <v>209</v>
      </c>
      <c r="E15" s="243">
        <v>50</v>
      </c>
      <c r="F15" s="242">
        <f t="shared" si="1"/>
        <v>172</v>
      </c>
      <c r="G15" s="243">
        <v>41</v>
      </c>
      <c r="H15" s="242">
        <f t="shared" si="1"/>
        <v>172</v>
      </c>
      <c r="I15" s="243">
        <v>40</v>
      </c>
      <c r="J15" s="242">
        <f t="shared" si="1"/>
        <v>163</v>
      </c>
      <c r="K15" s="243">
        <v>36</v>
      </c>
      <c r="L15" s="242">
        <f t="shared" si="1"/>
        <v>141</v>
      </c>
      <c r="M15" s="243">
        <v>35</v>
      </c>
      <c r="N15" s="242">
        <f t="shared" si="1"/>
        <v>147</v>
      </c>
      <c r="O15" s="243">
        <v>31</v>
      </c>
      <c r="P15" s="242">
        <f t="shared" si="1"/>
        <v>139</v>
      </c>
      <c r="Q15" s="1242">
        <v>23</v>
      </c>
      <c r="R15" s="1243">
        <f t="shared" si="1"/>
        <v>145</v>
      </c>
      <c r="S15" s="243">
        <v>28</v>
      </c>
      <c r="T15" s="242">
        <f t="shared" ref="T15:U15" si="2">SUM(T13:T14)</f>
        <v>139</v>
      </c>
      <c r="U15" s="1191">
        <f t="shared" si="2"/>
        <v>0</v>
      </c>
      <c r="W15" s="452">
        <f t="shared" si="0"/>
        <v>142.19999999999999</v>
      </c>
      <c r="X15" s="453">
        <f>AVERAGE(O15,M15,S15,K15,Q15)</f>
        <v>30.6</v>
      </c>
    </row>
    <row r="16" spans="1:24" s="33" customFormat="1" ht="13.5" customHeight="1" x14ac:dyDescent="0.2">
      <c r="A16" s="156" t="s">
        <v>126</v>
      </c>
      <c r="B16" s="260">
        <v>1</v>
      </c>
      <c r="C16" s="261">
        <v>2</v>
      </c>
      <c r="D16" s="260">
        <v>3</v>
      </c>
      <c r="E16" s="262">
        <v>1</v>
      </c>
      <c r="F16" s="263">
        <v>6</v>
      </c>
      <c r="G16" s="262">
        <v>0</v>
      </c>
      <c r="H16" s="263">
        <v>4</v>
      </c>
      <c r="I16" s="262">
        <v>2</v>
      </c>
      <c r="J16" s="263">
        <v>6</v>
      </c>
      <c r="K16" s="262">
        <v>1</v>
      </c>
      <c r="L16" s="263">
        <v>6</v>
      </c>
      <c r="M16" s="262">
        <v>2</v>
      </c>
      <c r="N16" s="263">
        <v>6</v>
      </c>
      <c r="O16" s="262">
        <v>3</v>
      </c>
      <c r="P16" s="263">
        <v>16</v>
      </c>
      <c r="Q16" s="262">
        <v>6</v>
      </c>
      <c r="R16" s="263">
        <v>21</v>
      </c>
      <c r="S16" s="262">
        <v>3</v>
      </c>
      <c r="T16" s="263">
        <v>17</v>
      </c>
      <c r="U16" s="1192"/>
      <c r="W16" s="450">
        <f t="shared" si="0"/>
        <v>13.2</v>
      </c>
      <c r="X16" s="451">
        <f t="shared" ref="X16:X21" si="3">AVERAGE(O16,M16,S16,K16,Q16)</f>
        <v>3</v>
      </c>
    </row>
    <row r="17" spans="1:24" s="33" customFormat="1" x14ac:dyDescent="0.2">
      <c r="A17" s="156" t="s">
        <v>88</v>
      </c>
      <c r="B17" s="260">
        <v>9</v>
      </c>
      <c r="C17" s="261">
        <v>2</v>
      </c>
      <c r="D17" s="260">
        <v>9</v>
      </c>
      <c r="E17" s="262">
        <v>3</v>
      </c>
      <c r="F17" s="263">
        <v>11</v>
      </c>
      <c r="G17" s="262">
        <v>2</v>
      </c>
      <c r="H17" s="263">
        <v>12</v>
      </c>
      <c r="I17" s="262">
        <v>4</v>
      </c>
      <c r="J17" s="263">
        <v>19</v>
      </c>
      <c r="K17" s="262">
        <v>5</v>
      </c>
      <c r="L17" s="263">
        <v>17</v>
      </c>
      <c r="M17" s="262">
        <v>6</v>
      </c>
      <c r="N17" s="263">
        <v>18</v>
      </c>
      <c r="O17" s="262">
        <v>6</v>
      </c>
      <c r="P17" s="263">
        <v>12</v>
      </c>
      <c r="Q17" s="262">
        <v>4</v>
      </c>
      <c r="R17" s="263">
        <v>20</v>
      </c>
      <c r="S17" s="262">
        <v>3</v>
      </c>
      <c r="T17" s="263">
        <v>23</v>
      </c>
      <c r="U17" s="1193"/>
      <c r="W17" s="222">
        <f t="shared" si="0"/>
        <v>18</v>
      </c>
      <c r="X17" s="233">
        <f t="shared" si="3"/>
        <v>4.8</v>
      </c>
    </row>
    <row r="18" spans="1:24" s="33" customFormat="1" x14ac:dyDescent="0.2">
      <c r="A18" s="156" t="s">
        <v>131</v>
      </c>
      <c r="B18" s="219">
        <v>10</v>
      </c>
      <c r="C18" s="218">
        <v>6</v>
      </c>
      <c r="D18" s="219">
        <v>6</v>
      </c>
      <c r="E18" s="220">
        <v>1</v>
      </c>
      <c r="F18" s="217">
        <v>7</v>
      </c>
      <c r="G18" s="220">
        <v>0</v>
      </c>
      <c r="H18" s="217">
        <v>8</v>
      </c>
      <c r="I18" s="220">
        <v>3</v>
      </c>
      <c r="J18" s="217">
        <v>12</v>
      </c>
      <c r="K18" s="220">
        <v>2</v>
      </c>
      <c r="L18" s="217">
        <v>10</v>
      </c>
      <c r="M18" s="220">
        <v>2</v>
      </c>
      <c r="N18" s="217">
        <v>9</v>
      </c>
      <c r="O18" s="220">
        <v>2</v>
      </c>
      <c r="P18" s="217">
        <v>11</v>
      </c>
      <c r="Q18" s="220">
        <v>0</v>
      </c>
      <c r="R18" s="217">
        <v>9</v>
      </c>
      <c r="S18" s="220">
        <v>3</v>
      </c>
      <c r="T18" s="217">
        <v>11</v>
      </c>
      <c r="U18" s="1193"/>
      <c r="W18" s="222">
        <f t="shared" si="0"/>
        <v>10</v>
      </c>
      <c r="X18" s="233">
        <f t="shared" si="3"/>
        <v>1.8</v>
      </c>
    </row>
    <row r="19" spans="1:24" s="33" customFormat="1" x14ac:dyDescent="0.2">
      <c r="A19" s="156" t="s">
        <v>164</v>
      </c>
      <c r="B19" s="282"/>
      <c r="C19" s="281"/>
      <c r="D19" s="282"/>
      <c r="E19" s="283"/>
      <c r="F19" s="280"/>
      <c r="G19" s="283"/>
      <c r="H19" s="280"/>
      <c r="I19" s="283"/>
      <c r="J19" s="280"/>
      <c r="K19" s="283"/>
      <c r="L19" s="217">
        <v>0</v>
      </c>
      <c r="M19" s="220">
        <v>0</v>
      </c>
      <c r="N19" s="217">
        <v>2</v>
      </c>
      <c r="O19" s="220">
        <v>0</v>
      </c>
      <c r="P19" s="217">
        <v>3</v>
      </c>
      <c r="Q19" s="220">
        <v>2</v>
      </c>
      <c r="R19" s="217">
        <v>2</v>
      </c>
      <c r="S19" s="220">
        <v>2</v>
      </c>
      <c r="T19" s="217">
        <v>1</v>
      </c>
      <c r="U19" s="1193"/>
      <c r="W19" s="222">
        <f t="shared" si="0"/>
        <v>1.6</v>
      </c>
      <c r="X19" s="233">
        <f t="shared" si="3"/>
        <v>1</v>
      </c>
    </row>
    <row r="20" spans="1:24" s="33" customFormat="1" x14ac:dyDescent="0.2">
      <c r="A20" s="690" t="s">
        <v>165</v>
      </c>
      <c r="B20" s="1055"/>
      <c r="C20" s="1056"/>
      <c r="D20" s="1057"/>
      <c r="E20" s="1056"/>
      <c r="F20" s="1057"/>
      <c r="G20" s="1056"/>
      <c r="H20" s="1057"/>
      <c r="I20" s="1056"/>
      <c r="J20" s="1057"/>
      <c r="K20" s="1056"/>
      <c r="L20" s="1057"/>
      <c r="M20" s="1056"/>
      <c r="N20" s="1057"/>
      <c r="O20" s="1056"/>
      <c r="P20" s="1057"/>
      <c r="Q20" s="1056"/>
      <c r="R20" s="1057"/>
      <c r="S20" s="1056"/>
      <c r="T20" s="1057"/>
      <c r="U20" s="1193"/>
      <c r="W20" s="478"/>
      <c r="X20" s="592"/>
    </row>
    <row r="21" spans="1:24" s="33" customFormat="1" x14ac:dyDescent="0.2">
      <c r="A21" s="156" t="s">
        <v>166</v>
      </c>
      <c r="B21" s="1058"/>
      <c r="C21" s="1059"/>
      <c r="D21" s="1058"/>
      <c r="E21" s="1060"/>
      <c r="F21" s="1061"/>
      <c r="G21" s="1060"/>
      <c r="H21" s="217">
        <v>1</v>
      </c>
      <c r="I21" s="220">
        <v>0</v>
      </c>
      <c r="J21" s="217">
        <v>0</v>
      </c>
      <c r="K21" s="220">
        <v>0</v>
      </c>
      <c r="L21" s="217">
        <v>4</v>
      </c>
      <c r="M21" s="220">
        <v>0</v>
      </c>
      <c r="N21" s="217">
        <v>5</v>
      </c>
      <c r="O21" s="220">
        <v>2</v>
      </c>
      <c r="P21" s="217">
        <v>2</v>
      </c>
      <c r="Q21" s="220">
        <v>0</v>
      </c>
      <c r="R21" s="217">
        <v>3</v>
      </c>
      <c r="S21" s="220">
        <v>0</v>
      </c>
      <c r="T21" s="217">
        <v>2</v>
      </c>
      <c r="U21" s="1193"/>
      <c r="W21" s="222">
        <f t="shared" si="0"/>
        <v>3.2</v>
      </c>
      <c r="X21" s="233">
        <f t="shared" si="3"/>
        <v>0.4</v>
      </c>
    </row>
    <row r="22" spans="1:24" s="33" customFormat="1" x14ac:dyDescent="0.2">
      <c r="A22" s="257" t="s">
        <v>167</v>
      </c>
      <c r="B22" s="1055"/>
      <c r="C22" s="1062"/>
      <c r="D22" s="1057"/>
      <c r="E22" s="1056"/>
      <c r="F22" s="1057"/>
      <c r="G22" s="1056"/>
      <c r="H22" s="1057"/>
      <c r="I22" s="1056"/>
      <c r="J22" s="1057"/>
      <c r="K22" s="1056"/>
      <c r="L22" s="1057"/>
      <c r="M22" s="1056"/>
      <c r="N22" s="1057"/>
      <c r="O22" s="1056"/>
      <c r="P22" s="1057"/>
      <c r="Q22" s="1056"/>
      <c r="R22" s="1057"/>
      <c r="S22" s="1056"/>
      <c r="T22" s="1057"/>
      <c r="U22" s="1193"/>
      <c r="W22" s="478"/>
      <c r="X22" s="592"/>
    </row>
    <row r="23" spans="1:24" s="232" customFormat="1" ht="15" x14ac:dyDescent="0.2">
      <c r="A23" s="224" t="s">
        <v>85</v>
      </c>
      <c r="B23" s="1050">
        <v>31</v>
      </c>
      <c r="C23" s="1051"/>
      <c r="D23" s="1052">
        <v>25</v>
      </c>
      <c r="E23" s="1053"/>
      <c r="F23" s="1050">
        <v>39</v>
      </c>
      <c r="G23" s="1053"/>
      <c r="H23" s="1050">
        <v>44</v>
      </c>
      <c r="I23" s="1053"/>
      <c r="J23" s="1050">
        <v>38</v>
      </c>
      <c r="K23" s="1053"/>
      <c r="L23" s="1050">
        <v>39</v>
      </c>
      <c r="M23" s="1053"/>
      <c r="N23" s="1050">
        <v>37</v>
      </c>
      <c r="O23" s="1053"/>
      <c r="P23" s="1050">
        <v>46</v>
      </c>
      <c r="Q23" s="1063"/>
      <c r="R23" s="1050">
        <f>16+17</f>
        <v>33</v>
      </c>
      <c r="S23" s="1053"/>
      <c r="T23" s="1054">
        <v>55</v>
      </c>
      <c r="U23" s="231"/>
      <c r="W23" s="222">
        <f t="shared" si="0"/>
        <v>42</v>
      </c>
      <c r="X23" s="476"/>
    </row>
    <row r="24" spans="1:24" s="232" customFormat="1" ht="15.75" thickBot="1" x14ac:dyDescent="0.25">
      <c r="A24" s="234" t="s">
        <v>86</v>
      </c>
      <c r="B24" s="235">
        <v>59</v>
      </c>
      <c r="C24" s="236"/>
      <c r="D24" s="237">
        <v>56</v>
      </c>
      <c r="E24" s="238"/>
      <c r="F24" s="235">
        <v>55</v>
      </c>
      <c r="G24" s="238"/>
      <c r="H24" s="235">
        <v>67</v>
      </c>
      <c r="I24" s="238"/>
      <c r="J24" s="235">
        <v>66</v>
      </c>
      <c r="K24" s="238"/>
      <c r="L24" s="235">
        <v>61</v>
      </c>
      <c r="M24" s="238"/>
      <c r="N24" s="235">
        <v>63</v>
      </c>
      <c r="O24" s="238"/>
      <c r="P24" s="235">
        <v>47</v>
      </c>
      <c r="Q24" s="967"/>
      <c r="R24" s="235">
        <f>27+26</f>
        <v>53</v>
      </c>
      <c r="S24" s="238"/>
      <c r="T24" s="235">
        <v>62</v>
      </c>
      <c r="U24" s="240"/>
      <c r="W24" s="449">
        <f t="shared" si="0"/>
        <v>57.2</v>
      </c>
      <c r="X24" s="477"/>
    </row>
    <row r="25" spans="1:24" s="33" customFormat="1" ht="13.5" thickBot="1" x14ac:dyDescent="0.25">
      <c r="A25" s="241" t="s">
        <v>87</v>
      </c>
      <c r="B25" s="242">
        <f t="shared" ref="B25" si="4">SUM(B23:B24)</f>
        <v>90</v>
      </c>
      <c r="C25" s="243">
        <v>25</v>
      </c>
      <c r="D25" s="242">
        <f t="shared" ref="D25" si="5">SUM(D23:D24)</f>
        <v>81</v>
      </c>
      <c r="E25" s="243">
        <v>24</v>
      </c>
      <c r="F25" s="242">
        <f t="shared" ref="F25" si="6">SUM(F23:F24)</f>
        <v>94</v>
      </c>
      <c r="G25" s="243">
        <v>14</v>
      </c>
      <c r="H25" s="242">
        <f t="shared" ref="H25" si="7">SUM(H23:H24)</f>
        <v>111</v>
      </c>
      <c r="I25" s="243">
        <v>22</v>
      </c>
      <c r="J25" s="242">
        <f t="shared" ref="J25" si="8">SUM(J23:J24)</f>
        <v>104</v>
      </c>
      <c r="K25" s="243">
        <v>17</v>
      </c>
      <c r="L25" s="541">
        <f t="shared" ref="L25" si="9">SUM(L23:L24)</f>
        <v>100</v>
      </c>
      <c r="M25" s="243">
        <v>19</v>
      </c>
      <c r="N25" s="242">
        <f t="shared" ref="N25" si="10">SUM(N23:N24)</f>
        <v>100</v>
      </c>
      <c r="O25" s="243">
        <v>29</v>
      </c>
      <c r="P25" s="242">
        <f t="shared" ref="P25" si="11">SUM(P23:P24)</f>
        <v>93</v>
      </c>
      <c r="Q25" s="243">
        <v>26</v>
      </c>
      <c r="R25" s="242">
        <f t="shared" ref="R25" si="12">SUM(R23:R24)</f>
        <v>86</v>
      </c>
      <c r="S25" s="243">
        <v>12</v>
      </c>
      <c r="T25" s="242">
        <f t="shared" ref="T25:U25" si="13">SUM(T23:T24)</f>
        <v>117</v>
      </c>
      <c r="U25" s="1191">
        <f t="shared" si="13"/>
        <v>0</v>
      </c>
      <c r="W25" s="452">
        <f t="shared" si="0"/>
        <v>99.2</v>
      </c>
      <c r="X25" s="453">
        <f>AVERAGE(O25,M25,S25,K25,Q25)</f>
        <v>20.6</v>
      </c>
    </row>
    <row r="26" spans="1:24" s="33" customFormat="1" ht="24" x14ac:dyDescent="0.2">
      <c r="A26" s="1064" t="s">
        <v>168</v>
      </c>
      <c r="B26" s="691"/>
      <c r="C26" s="693"/>
      <c r="D26" s="691"/>
      <c r="E26" s="692"/>
      <c r="F26" s="691"/>
      <c r="G26" s="692"/>
      <c r="H26" s="691"/>
      <c r="I26" s="692"/>
      <c r="J26" s="691"/>
      <c r="K26" s="692"/>
      <c r="L26" s="691"/>
      <c r="M26" s="692"/>
      <c r="N26" s="691"/>
      <c r="O26" s="692"/>
      <c r="P26" s="691"/>
      <c r="Q26" s="692"/>
      <c r="R26" s="691"/>
      <c r="S26" s="692"/>
      <c r="T26" s="691"/>
      <c r="U26" s="1192"/>
      <c r="W26" s="362"/>
      <c r="X26" s="561"/>
    </row>
    <row r="27" spans="1:24" s="232" customFormat="1" ht="15" x14ac:dyDescent="0.2">
      <c r="A27" s="224" t="s">
        <v>85</v>
      </c>
      <c r="B27" s="443"/>
      <c r="C27" s="444"/>
      <c r="D27" s="445"/>
      <c r="E27" s="228"/>
      <c r="F27" s="225">
        <v>13</v>
      </c>
      <c r="G27" s="228"/>
      <c r="H27" s="225">
        <v>33</v>
      </c>
      <c r="I27" s="228"/>
      <c r="J27" s="225">
        <v>45</v>
      </c>
      <c r="K27" s="228"/>
      <c r="L27" s="225">
        <v>41</v>
      </c>
      <c r="M27" s="228"/>
      <c r="N27" s="225">
        <v>53</v>
      </c>
      <c r="O27" s="228"/>
      <c r="P27" s="225">
        <v>53</v>
      </c>
      <c r="Q27" s="967"/>
      <c r="R27" s="225">
        <v>39</v>
      </c>
      <c r="S27" s="228"/>
      <c r="T27" s="230">
        <v>38</v>
      </c>
      <c r="U27" s="231"/>
      <c r="W27" s="478">
        <f t="shared" si="0"/>
        <v>44.8</v>
      </c>
      <c r="X27" s="476"/>
    </row>
    <row r="28" spans="1:24" s="232" customFormat="1" ht="15.75" thickBot="1" x14ac:dyDescent="0.25">
      <c r="A28" s="234" t="s">
        <v>86</v>
      </c>
      <c r="B28" s="446"/>
      <c r="C28" s="447"/>
      <c r="D28" s="448"/>
      <c r="E28" s="238"/>
      <c r="F28" s="235">
        <v>4</v>
      </c>
      <c r="G28" s="238"/>
      <c r="H28" s="235">
        <v>21</v>
      </c>
      <c r="I28" s="238"/>
      <c r="J28" s="235">
        <v>37</v>
      </c>
      <c r="K28" s="238"/>
      <c r="L28" s="235">
        <v>57</v>
      </c>
      <c r="M28" s="238"/>
      <c r="N28" s="235">
        <v>62</v>
      </c>
      <c r="O28" s="238"/>
      <c r="P28" s="235">
        <v>59</v>
      </c>
      <c r="Q28" s="239"/>
      <c r="R28" s="235">
        <f>28+39</f>
        <v>67</v>
      </c>
      <c r="S28" s="238"/>
      <c r="T28" s="235">
        <v>67</v>
      </c>
      <c r="U28" s="240"/>
      <c r="W28" s="449">
        <f t="shared" si="0"/>
        <v>62.4</v>
      </c>
      <c r="X28" s="477"/>
    </row>
    <row r="29" spans="1:24" s="33" customFormat="1" ht="13.5" thickBot="1" x14ac:dyDescent="0.25">
      <c r="A29" s="241" t="s">
        <v>87</v>
      </c>
      <c r="B29" s="242">
        <f t="shared" ref="B29" si="14">SUM(B27:B28)</f>
        <v>0</v>
      </c>
      <c r="C29" s="243"/>
      <c r="D29" s="242">
        <f t="shared" ref="D29" si="15">SUM(D27:D28)</f>
        <v>0</v>
      </c>
      <c r="E29" s="243"/>
      <c r="F29" s="242">
        <f t="shared" ref="F29" si="16">SUM(F27:F28)</f>
        <v>17</v>
      </c>
      <c r="G29" s="243">
        <v>0</v>
      </c>
      <c r="H29" s="242">
        <f t="shared" ref="H29" si="17">SUM(H27:H28)</f>
        <v>54</v>
      </c>
      <c r="I29" s="243">
        <v>0</v>
      </c>
      <c r="J29" s="242">
        <f t="shared" ref="J29" si="18">SUM(J27:J28)</f>
        <v>82</v>
      </c>
      <c r="K29" s="243">
        <v>0</v>
      </c>
      <c r="L29" s="242">
        <f t="shared" ref="L29" si="19">SUM(L27:L28)</f>
        <v>98</v>
      </c>
      <c r="M29" s="243">
        <v>12</v>
      </c>
      <c r="N29" s="242">
        <f>SUM(N27:N28)</f>
        <v>115</v>
      </c>
      <c r="O29" s="243">
        <v>24</v>
      </c>
      <c r="P29" s="242">
        <f t="shared" ref="P29" si="20">SUM(P27:P28)</f>
        <v>112</v>
      </c>
      <c r="Q29" s="1277">
        <v>21</v>
      </c>
      <c r="R29" s="242">
        <f t="shared" ref="R29" si="21">SUM(R27:R28)</f>
        <v>106</v>
      </c>
      <c r="S29" s="243">
        <v>18</v>
      </c>
      <c r="T29" s="242">
        <f t="shared" ref="T29:U29" si="22">SUM(T27:T28)</f>
        <v>105</v>
      </c>
      <c r="U29" s="1191">
        <f t="shared" si="22"/>
        <v>0</v>
      </c>
      <c r="W29" s="452">
        <f t="shared" si="0"/>
        <v>107.2</v>
      </c>
      <c r="X29" s="453">
        <f>AVERAGE(O29,M29,S29,K29,Q29)</f>
        <v>15</v>
      </c>
    </row>
    <row r="30" spans="1:24" ht="18" customHeight="1" thickTop="1" thickBot="1" x14ac:dyDescent="0.25">
      <c r="A30" s="32" t="s">
        <v>92</v>
      </c>
      <c r="B30" s="1307"/>
      <c r="C30" s="1308"/>
      <c r="D30" s="1307"/>
      <c r="E30" s="1308"/>
      <c r="F30" s="1307"/>
      <c r="G30" s="1308"/>
      <c r="H30" s="1307"/>
      <c r="I30" s="1308"/>
      <c r="J30" s="1307"/>
      <c r="K30" s="1308"/>
      <c r="L30" s="1307"/>
      <c r="M30" s="1308"/>
      <c r="N30" s="1307"/>
      <c r="O30" s="1308"/>
      <c r="P30" s="1307"/>
      <c r="Q30" s="1308"/>
      <c r="R30" s="1307"/>
      <c r="S30" s="1308"/>
      <c r="T30" s="1307"/>
      <c r="U30" s="1310"/>
      <c r="W30" s="1302" t="s">
        <v>9</v>
      </c>
      <c r="X30" s="1303"/>
    </row>
    <row r="31" spans="1:24" x14ac:dyDescent="0.2">
      <c r="A31" s="1078" t="s">
        <v>93</v>
      </c>
      <c r="B31" s="244"/>
      <c r="C31" s="272"/>
      <c r="D31" s="273"/>
      <c r="E31" s="272"/>
      <c r="F31" s="273"/>
      <c r="G31" s="272"/>
      <c r="H31" s="273"/>
      <c r="I31" s="272"/>
      <c r="J31" s="273"/>
      <c r="K31" s="272"/>
      <c r="L31" s="273"/>
      <c r="M31" s="272"/>
      <c r="N31" s="273"/>
      <c r="O31" s="272"/>
      <c r="P31" s="273"/>
      <c r="Q31" s="272"/>
      <c r="R31" s="273"/>
      <c r="S31" s="272"/>
      <c r="T31" s="273"/>
      <c r="U31" s="274"/>
      <c r="V31" s="275"/>
      <c r="W31" s="963"/>
      <c r="X31" s="961" t="e">
        <f t="shared" ref="X31" si="23">AVERAGE(O31,M31,I31,K31,Q31)</f>
        <v>#DIV/0!</v>
      </c>
    </row>
    <row r="32" spans="1:24" x14ac:dyDescent="0.2">
      <c r="A32" s="679" t="s">
        <v>173</v>
      </c>
      <c r="B32" s="468"/>
      <c r="C32" s="469">
        <v>0.9</v>
      </c>
      <c r="D32" s="470"/>
      <c r="E32" s="469">
        <v>0.88</v>
      </c>
      <c r="F32" s="470"/>
      <c r="G32" s="469">
        <v>0.91</v>
      </c>
      <c r="H32" s="470"/>
      <c r="I32" s="469">
        <v>0.89</v>
      </c>
      <c r="J32" s="470"/>
      <c r="K32" s="469">
        <v>0.97</v>
      </c>
      <c r="L32" s="470"/>
      <c r="M32" s="469">
        <v>0.89</v>
      </c>
      <c r="N32" s="470"/>
      <c r="O32" s="469">
        <v>0.96</v>
      </c>
      <c r="P32" s="470"/>
      <c r="Q32" s="471">
        <v>1</v>
      </c>
      <c r="R32" s="470"/>
      <c r="S32" s="469">
        <v>0.87</v>
      </c>
      <c r="T32" s="470"/>
      <c r="U32" s="1262"/>
      <c r="V32" s="275"/>
      <c r="W32" s="964"/>
      <c r="X32" s="961">
        <f>AVERAGE(O32,M32,S32,K32,Q32)</f>
        <v>0.93800000000000006</v>
      </c>
    </row>
    <row r="33" spans="1:24" x14ac:dyDescent="0.2">
      <c r="A33" s="679" t="s">
        <v>174</v>
      </c>
      <c r="B33" s="468"/>
      <c r="C33" s="469">
        <v>0.9</v>
      </c>
      <c r="D33" s="470"/>
      <c r="E33" s="469">
        <v>0.88</v>
      </c>
      <c r="F33" s="470"/>
      <c r="G33" s="469">
        <v>1</v>
      </c>
      <c r="H33" s="470"/>
      <c r="I33" s="469">
        <v>0.86</v>
      </c>
      <c r="J33" s="470"/>
      <c r="K33" s="469">
        <v>0.57999999999999996</v>
      </c>
      <c r="L33" s="470"/>
      <c r="M33" s="469">
        <v>0.75</v>
      </c>
      <c r="N33" s="470"/>
      <c r="O33" s="469">
        <v>0.83</v>
      </c>
      <c r="P33" s="470"/>
      <c r="Q33" s="471">
        <v>0.94</v>
      </c>
      <c r="R33" s="470"/>
      <c r="S33" s="469">
        <v>0.78</v>
      </c>
      <c r="T33" s="470"/>
      <c r="U33" s="1262"/>
      <c r="V33" s="275"/>
      <c r="W33" s="964"/>
      <c r="X33" s="961">
        <f t="shared" ref="X33:X37" si="24">AVERAGE(O33,M33,S33,K33,Q33)</f>
        <v>0.77600000000000002</v>
      </c>
    </row>
    <row r="34" spans="1:24" x14ac:dyDescent="0.2">
      <c r="A34" s="679" t="s">
        <v>175</v>
      </c>
      <c r="B34" s="472"/>
      <c r="C34" s="473"/>
      <c r="D34" s="474"/>
      <c r="E34" s="473"/>
      <c r="F34" s="474"/>
      <c r="G34" s="473"/>
      <c r="H34" s="474"/>
      <c r="I34" s="473"/>
      <c r="J34" s="474"/>
      <c r="K34" s="473"/>
      <c r="L34" s="470"/>
      <c r="M34" s="469">
        <v>0.8</v>
      </c>
      <c r="N34" s="470"/>
      <c r="O34" s="469">
        <v>0.89</v>
      </c>
      <c r="P34" s="470"/>
      <c r="Q34" s="471">
        <v>0.86</v>
      </c>
      <c r="R34" s="470"/>
      <c r="S34" s="469">
        <v>0.92</v>
      </c>
      <c r="T34" s="470"/>
      <c r="U34" s="1262"/>
      <c r="V34" s="275"/>
      <c r="W34" s="964"/>
      <c r="X34" s="961">
        <f t="shared" si="24"/>
        <v>0.86749999999999994</v>
      </c>
    </row>
    <row r="35" spans="1:24" ht="24" x14ac:dyDescent="0.2">
      <c r="A35" s="685" t="s">
        <v>176</v>
      </c>
      <c r="B35" s="468"/>
      <c r="C35" s="469">
        <v>7.0000000000000007E-2</v>
      </c>
      <c r="D35" s="470"/>
      <c r="E35" s="469">
        <v>0.05</v>
      </c>
      <c r="F35" s="470"/>
      <c r="G35" s="469">
        <v>0</v>
      </c>
      <c r="H35" s="470"/>
      <c r="I35" s="469">
        <v>0.06</v>
      </c>
      <c r="J35" s="470"/>
      <c r="K35" s="469">
        <v>0</v>
      </c>
      <c r="L35" s="470"/>
      <c r="M35" s="469">
        <v>7.0000000000000007E-2</v>
      </c>
      <c r="N35" s="470"/>
      <c r="O35" s="469">
        <v>0.04</v>
      </c>
      <c r="P35" s="470"/>
      <c r="Q35" s="471">
        <v>0</v>
      </c>
      <c r="R35" s="470"/>
      <c r="S35" s="469">
        <v>0.09</v>
      </c>
      <c r="T35" s="470"/>
      <c r="U35" s="1262"/>
      <c r="V35" s="275"/>
      <c r="W35" s="964"/>
      <c r="X35" s="961">
        <f t="shared" si="24"/>
        <v>0.04</v>
      </c>
    </row>
    <row r="36" spans="1:24" ht="24" x14ac:dyDescent="0.2">
      <c r="A36" s="685" t="s">
        <v>177</v>
      </c>
      <c r="B36" s="468"/>
      <c r="C36" s="469">
        <v>0.1</v>
      </c>
      <c r="D36" s="470"/>
      <c r="E36" s="469">
        <v>0.06</v>
      </c>
      <c r="F36" s="470"/>
      <c r="G36" s="469">
        <v>0</v>
      </c>
      <c r="H36" s="470"/>
      <c r="I36" s="469">
        <v>0.08</v>
      </c>
      <c r="J36" s="470"/>
      <c r="K36" s="469">
        <v>0.08</v>
      </c>
      <c r="L36" s="470"/>
      <c r="M36" s="469">
        <v>0.17</v>
      </c>
      <c r="N36" s="470"/>
      <c r="O36" s="469">
        <v>0</v>
      </c>
      <c r="P36" s="470"/>
      <c r="Q36" s="471">
        <v>0.06</v>
      </c>
      <c r="R36" s="470"/>
      <c r="S36" s="469">
        <v>0.22</v>
      </c>
      <c r="T36" s="470"/>
      <c r="U36" s="1262"/>
      <c r="V36" s="275"/>
      <c r="W36" s="964"/>
      <c r="X36" s="961">
        <f>AVERAGE(O36,M36,S36,K36,Q36)</f>
        <v>0.10600000000000001</v>
      </c>
    </row>
    <row r="37" spans="1:24" ht="24" x14ac:dyDescent="0.2">
      <c r="A37" s="685" t="s">
        <v>178</v>
      </c>
      <c r="B37" s="472"/>
      <c r="C37" s="473"/>
      <c r="D37" s="474"/>
      <c r="E37" s="473"/>
      <c r="F37" s="474"/>
      <c r="G37" s="473"/>
      <c r="H37" s="474"/>
      <c r="I37" s="473"/>
      <c r="J37" s="474"/>
      <c r="K37" s="473"/>
      <c r="L37" s="470"/>
      <c r="M37" s="469">
        <v>0.1</v>
      </c>
      <c r="N37" s="470"/>
      <c r="O37" s="469">
        <v>0</v>
      </c>
      <c r="P37" s="470"/>
      <c r="Q37" s="471">
        <v>0.14000000000000001</v>
      </c>
      <c r="R37" s="470"/>
      <c r="S37" s="469">
        <v>0</v>
      </c>
      <c r="T37" s="470"/>
      <c r="U37" s="1262"/>
      <c r="V37" s="275"/>
      <c r="W37" s="964"/>
      <c r="X37" s="961">
        <f t="shared" si="24"/>
        <v>6.0000000000000005E-2</v>
      </c>
    </row>
    <row r="38" spans="1:24" ht="13.5" thickBot="1" x14ac:dyDescent="0.25">
      <c r="A38" s="681" t="s">
        <v>96</v>
      </c>
      <c r="B38" s="246"/>
      <c r="C38" s="247"/>
      <c r="D38" s="246"/>
      <c r="E38" s="247"/>
      <c r="F38" s="246"/>
      <c r="G38" s="247"/>
      <c r="H38" s="246"/>
      <c r="I38" s="247"/>
      <c r="J38" s="246"/>
      <c r="K38" s="247"/>
      <c r="L38" s="246"/>
      <c r="M38" s="247"/>
      <c r="N38" s="246"/>
      <c r="O38" s="247"/>
      <c r="P38" s="246"/>
      <c r="Q38" s="247"/>
      <c r="R38" s="246"/>
      <c r="S38" s="247"/>
      <c r="T38" s="246"/>
      <c r="U38" s="248"/>
      <c r="W38" s="965"/>
      <c r="X38" s="962" t="e">
        <f t="shared" ref="X38" si="25">AVERAGE(O38,M38,I38,K38,Q38)</f>
        <v>#DIV/0!</v>
      </c>
    </row>
    <row r="39" spans="1:24" ht="18" customHeight="1" thickTop="1" thickBot="1" x14ac:dyDescent="0.25">
      <c r="A39" s="399" t="s">
        <v>39</v>
      </c>
      <c r="B39" s="1322"/>
      <c r="C39" s="1323"/>
      <c r="D39" s="1322"/>
      <c r="E39" s="1323"/>
      <c r="F39" s="1322"/>
      <c r="G39" s="1323"/>
      <c r="H39" s="1322"/>
      <c r="I39" s="1323"/>
      <c r="J39" s="1322"/>
      <c r="K39" s="1323"/>
      <c r="L39" s="1322"/>
      <c r="M39" s="1323"/>
      <c r="N39" s="1322"/>
      <c r="O39" s="1323"/>
      <c r="P39" s="1322"/>
      <c r="Q39" s="1323"/>
      <c r="R39" s="1322"/>
      <c r="S39" s="1323"/>
      <c r="T39" s="1322"/>
      <c r="U39" s="1299"/>
      <c r="V39" s="372"/>
      <c r="W39" s="1298" t="s">
        <v>9</v>
      </c>
      <c r="X39" s="1299"/>
    </row>
    <row r="40" spans="1:24" x14ac:dyDescent="0.2">
      <c r="A40" s="682" t="s">
        <v>170</v>
      </c>
      <c r="B40" s="457"/>
      <c r="C40" s="458">
        <v>22.3</v>
      </c>
      <c r="D40" s="457"/>
      <c r="E40" s="458">
        <v>22.5</v>
      </c>
      <c r="F40" s="457"/>
      <c r="G40" s="458">
        <v>22.3</v>
      </c>
      <c r="H40" s="457"/>
      <c r="I40" s="458">
        <v>22.8</v>
      </c>
      <c r="J40" s="457"/>
      <c r="K40" s="458">
        <v>23</v>
      </c>
      <c r="L40" s="457"/>
      <c r="M40" s="458">
        <v>23.2</v>
      </c>
      <c r="N40" s="457"/>
      <c r="O40" s="458">
        <v>22.6</v>
      </c>
      <c r="P40" s="457"/>
      <c r="Q40" s="458">
        <v>22.7</v>
      </c>
      <c r="R40" s="457"/>
      <c r="S40" s="458">
        <v>22.9</v>
      </c>
      <c r="T40" s="457"/>
      <c r="U40" s="459">
        <v>22.8</v>
      </c>
      <c r="V40" s="372"/>
      <c r="W40" s="454"/>
      <c r="X40" s="1065">
        <f>AVERAGE(O40,M40,S40,U40,Q40)</f>
        <v>22.839999999999996</v>
      </c>
    </row>
    <row r="41" spans="1:24" x14ac:dyDescent="0.2">
      <c r="A41" s="683" t="s">
        <v>171</v>
      </c>
      <c r="B41" s="463"/>
      <c r="C41" s="464">
        <v>21</v>
      </c>
      <c r="D41" s="463"/>
      <c r="E41" s="464">
        <v>20.8</v>
      </c>
      <c r="F41" s="463"/>
      <c r="G41" s="464">
        <v>21.3</v>
      </c>
      <c r="H41" s="463"/>
      <c r="I41" s="464">
        <v>21.8</v>
      </c>
      <c r="J41" s="463"/>
      <c r="K41" s="464">
        <v>22.5</v>
      </c>
      <c r="L41" s="463"/>
      <c r="M41" s="464">
        <v>22.4</v>
      </c>
      <c r="N41" s="463"/>
      <c r="O41" s="464">
        <v>22.4</v>
      </c>
      <c r="P41" s="463"/>
      <c r="Q41" s="464">
        <v>22.3</v>
      </c>
      <c r="R41" s="463"/>
      <c r="S41" s="464">
        <v>22.8</v>
      </c>
      <c r="T41" s="463"/>
      <c r="U41" s="465">
        <v>22.8</v>
      </c>
      <c r="V41" s="372"/>
      <c r="W41" s="456"/>
      <c r="X41" s="1066">
        <f t="shared" ref="X41" si="26">AVERAGE(O41,M41,S41,U41,Q41)</f>
        <v>22.54</v>
      </c>
    </row>
    <row r="42" spans="1:24" ht="13.5" thickBot="1" x14ac:dyDescent="0.25">
      <c r="A42" s="684" t="s">
        <v>172</v>
      </c>
      <c r="B42" s="466"/>
      <c r="C42" s="467"/>
      <c r="D42" s="466"/>
      <c r="E42" s="467"/>
      <c r="F42" s="460"/>
      <c r="G42" s="461">
        <v>17</v>
      </c>
      <c r="H42" s="460"/>
      <c r="I42" s="461">
        <v>21.6</v>
      </c>
      <c r="J42" s="460"/>
      <c r="K42" s="461">
        <v>21.4</v>
      </c>
      <c r="L42" s="460"/>
      <c r="M42" s="461">
        <v>22.1</v>
      </c>
      <c r="N42" s="460"/>
      <c r="O42" s="461">
        <v>22.6</v>
      </c>
      <c r="P42" s="460"/>
      <c r="Q42" s="461">
        <v>22.4</v>
      </c>
      <c r="R42" s="460"/>
      <c r="S42" s="461">
        <v>22.6</v>
      </c>
      <c r="T42" s="460"/>
      <c r="U42" s="462">
        <v>22.3</v>
      </c>
      <c r="V42" s="372"/>
      <c r="W42" s="455"/>
      <c r="X42" s="833">
        <f>AVERAGE(O42,M42,S42,U42,Q42)</f>
        <v>22.4</v>
      </c>
    </row>
    <row r="43" spans="1:24" ht="18" customHeight="1" thickTop="1" thickBot="1" x14ac:dyDescent="0.25">
      <c r="A43" s="39" t="s">
        <v>17</v>
      </c>
      <c r="B43" s="1307"/>
      <c r="C43" s="1308"/>
      <c r="D43" s="1307"/>
      <c r="E43" s="1308"/>
      <c r="F43" s="1307"/>
      <c r="G43" s="1308"/>
      <c r="H43" s="1307"/>
      <c r="I43" s="1308"/>
      <c r="J43" s="1307"/>
      <c r="K43" s="1308"/>
      <c r="L43" s="1307"/>
      <c r="M43" s="1308"/>
      <c r="N43" s="1307"/>
      <c r="O43" s="1308"/>
      <c r="P43" s="1307"/>
      <c r="Q43" s="1308"/>
      <c r="R43" s="1307"/>
      <c r="S43" s="1308"/>
      <c r="T43" s="1307"/>
      <c r="U43" s="1310"/>
      <c r="W43" s="1302" t="s">
        <v>9</v>
      </c>
      <c r="X43" s="1303"/>
    </row>
    <row r="44" spans="1:24" x14ac:dyDescent="0.2">
      <c r="A44" s="680" t="s">
        <v>18</v>
      </c>
      <c r="B44" s="16"/>
      <c r="C44" s="18">
        <f>1699+817</f>
        <v>2516</v>
      </c>
      <c r="D44" s="15"/>
      <c r="E44" s="17">
        <v>2703</v>
      </c>
      <c r="F44" s="16"/>
      <c r="G44" s="17">
        <v>2848</v>
      </c>
      <c r="H44" s="16"/>
      <c r="I44" s="17">
        <v>3555</v>
      </c>
      <c r="J44" s="16"/>
      <c r="K44" s="17">
        <v>3489</v>
      </c>
      <c r="L44" s="16"/>
      <c r="M44" s="17">
        <v>2615</v>
      </c>
      <c r="N44" s="16"/>
      <c r="O44" s="17">
        <v>2514</v>
      </c>
      <c r="P44" s="16"/>
      <c r="Q44" s="17">
        <v>2270</v>
      </c>
      <c r="R44" s="16"/>
      <c r="S44" s="17">
        <v>2828</v>
      </c>
      <c r="T44" s="16"/>
      <c r="U44" s="19">
        <v>2649</v>
      </c>
      <c r="W44" s="20"/>
      <c r="X44" s="21">
        <f>AVERAGE(O44,M44,S44,K44,Q44)</f>
        <v>2743.2</v>
      </c>
    </row>
    <row r="45" spans="1:24" x14ac:dyDescent="0.2">
      <c r="A45" s="680" t="s">
        <v>19</v>
      </c>
      <c r="B45" s="16"/>
      <c r="C45" s="18">
        <f>2125+1150</f>
        <v>3275</v>
      </c>
      <c r="D45" s="15"/>
      <c r="E45" s="17">
        <v>2726</v>
      </c>
      <c r="F45" s="16"/>
      <c r="G45" s="17">
        <v>2642</v>
      </c>
      <c r="H45" s="16"/>
      <c r="I45" s="17">
        <v>2623</v>
      </c>
      <c r="J45" s="16"/>
      <c r="K45" s="17">
        <v>3364</v>
      </c>
      <c r="L45" s="16"/>
      <c r="M45" s="17">
        <v>3179</v>
      </c>
      <c r="N45" s="16"/>
      <c r="O45" s="17">
        <v>3202</v>
      </c>
      <c r="P45" s="16"/>
      <c r="Q45" s="17">
        <v>3006</v>
      </c>
      <c r="R45" s="16"/>
      <c r="S45" s="17">
        <v>2559</v>
      </c>
      <c r="T45" s="16"/>
      <c r="U45" s="19">
        <v>2722</v>
      </c>
      <c r="W45" s="22"/>
      <c r="X45" s="21">
        <f t="shared" ref="X45:X48" si="27">AVERAGE(O45,M45,S45,K45,Q45)</f>
        <v>3062</v>
      </c>
    </row>
    <row r="46" spans="1:24" x14ac:dyDescent="0.2">
      <c r="A46" s="680" t="s">
        <v>20</v>
      </c>
      <c r="B46" s="16"/>
      <c r="C46" s="18">
        <v>116</v>
      </c>
      <c r="D46" s="15"/>
      <c r="E46" s="17">
        <v>106</v>
      </c>
      <c r="F46" s="16"/>
      <c r="G46" s="17">
        <v>169</v>
      </c>
      <c r="H46" s="16"/>
      <c r="I46" s="17">
        <v>151</v>
      </c>
      <c r="J46" s="16"/>
      <c r="K46" s="17">
        <v>174</v>
      </c>
      <c r="L46" s="16"/>
      <c r="M46" s="17">
        <v>193</v>
      </c>
      <c r="N46" s="16"/>
      <c r="O46" s="17">
        <v>235</v>
      </c>
      <c r="P46" s="16"/>
      <c r="Q46" s="17">
        <v>253</v>
      </c>
      <c r="R46" s="16"/>
      <c r="S46" s="17">
        <v>400</v>
      </c>
      <c r="T46" s="16"/>
      <c r="U46" s="19">
        <v>393</v>
      </c>
      <c r="W46" s="22"/>
      <c r="X46" s="21">
        <f t="shared" si="27"/>
        <v>251</v>
      </c>
    </row>
    <row r="47" spans="1:24" ht="13.5" thickBot="1" x14ac:dyDescent="0.25">
      <c r="A47" s="1217" t="s">
        <v>21</v>
      </c>
      <c r="B47" s="44"/>
      <c r="C47" s="251">
        <v>126</v>
      </c>
      <c r="D47" s="15"/>
      <c r="E47" s="249">
        <v>69</v>
      </c>
      <c r="F47" s="16"/>
      <c r="G47" s="249">
        <v>91</v>
      </c>
      <c r="H47" s="16"/>
      <c r="I47" s="249">
        <v>99</v>
      </c>
      <c r="J47" s="16"/>
      <c r="K47" s="249">
        <v>105</v>
      </c>
      <c r="L47" s="16"/>
      <c r="M47" s="249">
        <v>148</v>
      </c>
      <c r="N47" s="16"/>
      <c r="O47" s="249">
        <v>115</v>
      </c>
      <c r="P47" s="16"/>
      <c r="Q47" s="249">
        <v>86</v>
      </c>
      <c r="R47" s="16"/>
      <c r="S47" s="249">
        <v>87</v>
      </c>
      <c r="T47" s="44"/>
      <c r="U47" s="46">
        <v>122</v>
      </c>
      <c r="W47" s="250"/>
      <c r="X47" s="203">
        <f t="shared" si="27"/>
        <v>108.2</v>
      </c>
    </row>
    <row r="48" spans="1:24" ht="13.5" thickBot="1" x14ac:dyDescent="0.25">
      <c r="A48" s="162" t="s">
        <v>22</v>
      </c>
      <c r="B48" s="49"/>
      <c r="C48" s="50">
        <f>SUM(C44:C47)</f>
        <v>6033</v>
      </c>
      <c r="D48" s="48"/>
      <c r="E48" s="47">
        <f>SUM(E44:E47)</f>
        <v>5604</v>
      </c>
      <c r="F48" s="49"/>
      <c r="G48" s="47">
        <f>SUM(G44:G47)</f>
        <v>5750</v>
      </c>
      <c r="H48" s="49"/>
      <c r="I48" s="47">
        <f>SUM(I44:I47)</f>
        <v>6428</v>
      </c>
      <c r="J48" s="49"/>
      <c r="K48" s="47">
        <f>SUM(K44:K47)</f>
        <v>7132</v>
      </c>
      <c r="L48" s="49"/>
      <c r="M48" s="47">
        <f>SUM(M44:M47)</f>
        <v>6135</v>
      </c>
      <c r="N48" s="49"/>
      <c r="O48" s="47">
        <f>SUM(O44:O47)</f>
        <v>6066</v>
      </c>
      <c r="P48" s="49"/>
      <c r="Q48" s="47">
        <f>SUM(Q44:Q47)</f>
        <v>5615</v>
      </c>
      <c r="R48" s="49"/>
      <c r="S48" s="47">
        <f>SUM(S44:S47)</f>
        <v>5874</v>
      </c>
      <c r="T48" s="49"/>
      <c r="U48" s="51">
        <f>SUM(U44:U47)</f>
        <v>5886</v>
      </c>
      <c r="W48" s="475"/>
      <c r="X48" s="204">
        <f t="shared" si="27"/>
        <v>6164.4</v>
      </c>
    </row>
    <row r="49" spans="1:27" s="41" customFormat="1" ht="14.25" thickTop="1" thickBot="1" x14ac:dyDescent="0.25">
      <c r="A49" s="24"/>
      <c r="B49" s="36"/>
      <c r="C49" s="23"/>
      <c r="D49" s="36"/>
      <c r="E49" s="23"/>
      <c r="F49" s="36"/>
      <c r="G49" s="23"/>
      <c r="H49" s="36"/>
      <c r="I49" s="23"/>
      <c r="J49" s="36"/>
      <c r="K49" s="23"/>
      <c r="L49" s="36"/>
      <c r="M49" s="23"/>
      <c r="N49" s="36"/>
      <c r="O49" s="23"/>
      <c r="P49" s="36"/>
      <c r="Q49" s="23"/>
      <c r="R49" s="36"/>
      <c r="S49" s="23"/>
      <c r="T49" s="36"/>
      <c r="U49" s="23"/>
      <c r="W49" s="556"/>
      <c r="X49" s="686"/>
    </row>
    <row r="50" spans="1:27" ht="18" customHeight="1" thickTop="1" thickBot="1" x14ac:dyDescent="0.25">
      <c r="A50" s="352" t="s">
        <v>23</v>
      </c>
      <c r="B50" s="1296" t="s">
        <v>24</v>
      </c>
      <c r="C50" s="1301"/>
      <c r="D50" s="1296" t="s">
        <v>25</v>
      </c>
      <c r="E50" s="1297"/>
      <c r="F50" s="1296" t="s">
        <v>26</v>
      </c>
      <c r="G50" s="1297"/>
      <c r="H50" s="1296" t="s">
        <v>27</v>
      </c>
      <c r="I50" s="1297"/>
      <c r="J50" s="1296" t="s">
        <v>28</v>
      </c>
      <c r="K50" s="1297"/>
      <c r="L50" s="1296" t="s">
        <v>29</v>
      </c>
      <c r="M50" s="1297"/>
      <c r="N50" s="1296" t="s">
        <v>30</v>
      </c>
      <c r="O50" s="1297"/>
      <c r="P50" s="1296" t="s">
        <v>31</v>
      </c>
      <c r="Q50" s="1297"/>
      <c r="R50" s="1296" t="s">
        <v>32</v>
      </c>
      <c r="S50" s="1297"/>
      <c r="T50" s="1296" t="s">
        <v>255</v>
      </c>
      <c r="U50" s="1300"/>
      <c r="V50" s="353"/>
      <c r="W50" s="1298" t="s">
        <v>9</v>
      </c>
      <c r="X50" s="1299"/>
      <c r="Y50" s="23"/>
      <c r="Z50" s="23"/>
      <c r="AA50" s="24"/>
    </row>
    <row r="51" spans="1:27" ht="12" customHeight="1" x14ac:dyDescent="0.2">
      <c r="A51" s="354" t="s">
        <v>215</v>
      </c>
      <c r="B51" s="355"/>
      <c r="C51" s="356">
        <v>0.60599999999999998</v>
      </c>
      <c r="D51" s="357"/>
      <c r="E51" s="358">
        <v>0.57499999999999996</v>
      </c>
      <c r="F51" s="359"/>
      <c r="G51" s="358">
        <v>0.36299999999999999</v>
      </c>
      <c r="H51" s="359"/>
      <c r="I51" s="358">
        <v>0.58599999999999997</v>
      </c>
      <c r="J51" s="359"/>
      <c r="K51" s="358">
        <v>0.58899999999999997</v>
      </c>
      <c r="L51" s="359"/>
      <c r="M51" s="358">
        <v>0.622</v>
      </c>
      <c r="N51" s="359"/>
      <c r="O51" s="358">
        <v>0.64800000000000002</v>
      </c>
      <c r="P51" s="359"/>
      <c r="Q51" s="358">
        <v>0.66400000000000003</v>
      </c>
      <c r="R51" s="359"/>
      <c r="S51" s="358">
        <v>0.64500000000000002</v>
      </c>
      <c r="T51" s="359"/>
      <c r="U51" s="360">
        <v>0.65700000000000003</v>
      </c>
      <c r="V51" s="361"/>
      <c r="W51" s="362"/>
      <c r="X51" s="563">
        <f>AVERAGE(O51,M51,SK51,S51,Q51,U51)</f>
        <v>0.6472</v>
      </c>
      <c r="Y51" s="23"/>
      <c r="Z51" s="23"/>
      <c r="AA51" s="24"/>
    </row>
    <row r="52" spans="1:27" ht="12" customHeight="1" x14ac:dyDescent="0.2">
      <c r="A52" s="364" t="s">
        <v>216</v>
      </c>
      <c r="B52" s="365"/>
      <c r="C52" s="366">
        <v>0.03</v>
      </c>
      <c r="D52" s="365"/>
      <c r="E52" s="366">
        <v>1.7999999999999999E-2</v>
      </c>
      <c r="F52" s="367"/>
      <c r="G52" s="366">
        <v>2.4E-2</v>
      </c>
      <c r="H52" s="367"/>
      <c r="I52" s="366">
        <v>2.5999999999999999E-2</v>
      </c>
      <c r="J52" s="367"/>
      <c r="K52" s="366">
        <v>3.2000000000000001E-2</v>
      </c>
      <c r="L52" s="367"/>
      <c r="M52" s="366">
        <v>3.9E-2</v>
      </c>
      <c r="N52" s="367"/>
      <c r="O52" s="366">
        <v>2.9000000000000001E-2</v>
      </c>
      <c r="P52" s="367"/>
      <c r="Q52" s="366">
        <v>2.4E-2</v>
      </c>
      <c r="R52" s="367"/>
      <c r="S52" s="366">
        <v>3.4000000000000002E-2</v>
      </c>
      <c r="T52" s="367"/>
      <c r="U52" s="368">
        <v>4.7E-2</v>
      </c>
      <c r="V52" s="361"/>
      <c r="W52" s="369"/>
      <c r="X52" s="563">
        <f>AVERAGE(O52,M52,SK52,S52,Q52,U52)</f>
        <v>3.4599999999999999E-2</v>
      </c>
      <c r="Y52" s="23"/>
      <c r="Z52" s="23"/>
      <c r="AA52" s="24"/>
    </row>
    <row r="53" spans="1:27" ht="12" customHeight="1" thickBot="1" x14ac:dyDescent="0.25">
      <c r="A53" s="371" t="s">
        <v>217</v>
      </c>
      <c r="B53" s="1320">
        <f>1-C51-C52</f>
        <v>0.36399999999999999</v>
      </c>
      <c r="C53" s="1321"/>
      <c r="D53" s="1320">
        <f>1-E51-E52</f>
        <v>0.40700000000000003</v>
      </c>
      <c r="E53" s="1321"/>
      <c r="F53" s="1320">
        <f>1-G51-G52</f>
        <v>0.61299999999999999</v>
      </c>
      <c r="G53" s="1321"/>
      <c r="H53" s="1320">
        <f>1-I51-I52</f>
        <v>0.38800000000000001</v>
      </c>
      <c r="I53" s="1321"/>
      <c r="J53" s="1320">
        <f>1-K51-K52</f>
        <v>0.379</v>
      </c>
      <c r="K53" s="1321"/>
      <c r="L53" s="1320">
        <f>1-M51-M52</f>
        <v>0.33900000000000002</v>
      </c>
      <c r="M53" s="1321"/>
      <c r="N53" s="1320">
        <f>1-O51-O52</f>
        <v>0.32299999999999995</v>
      </c>
      <c r="O53" s="1321"/>
      <c r="P53" s="1320">
        <f>1-Q51-Q52</f>
        <v>0.31199999999999994</v>
      </c>
      <c r="Q53" s="1321"/>
      <c r="R53" s="1320">
        <f>1-S51-S52</f>
        <v>0.32099999999999995</v>
      </c>
      <c r="S53" s="1321"/>
      <c r="T53" s="1320">
        <f>1-U51-U52</f>
        <v>0.29599999999999999</v>
      </c>
      <c r="U53" s="1324"/>
      <c r="V53" s="361"/>
      <c r="W53" s="1325">
        <f>1-X51-X52</f>
        <v>0.31819999999999998</v>
      </c>
      <c r="X53" s="1324"/>
      <c r="Y53" s="25"/>
      <c r="Z53" s="23"/>
      <c r="AA53" s="24"/>
    </row>
    <row r="54" spans="1:27" s="2" customFormat="1" ht="18" customHeight="1" thickTop="1" thickBot="1" x14ac:dyDescent="0.25">
      <c r="A54" s="319" t="s">
        <v>37</v>
      </c>
      <c r="B54" s="846" t="s">
        <v>36</v>
      </c>
      <c r="C54" s="845" t="s">
        <v>38</v>
      </c>
      <c r="D54" s="846" t="s">
        <v>36</v>
      </c>
      <c r="E54" s="845" t="s">
        <v>38</v>
      </c>
      <c r="F54" s="846" t="s">
        <v>36</v>
      </c>
      <c r="G54" s="845" t="s">
        <v>38</v>
      </c>
      <c r="H54" s="846" t="s">
        <v>36</v>
      </c>
      <c r="I54" s="845" t="s">
        <v>38</v>
      </c>
      <c r="J54" s="846" t="s">
        <v>36</v>
      </c>
      <c r="K54" s="845" t="s">
        <v>38</v>
      </c>
      <c r="L54" s="846" t="s">
        <v>36</v>
      </c>
      <c r="M54" s="845" t="s">
        <v>38</v>
      </c>
      <c r="N54" s="846" t="s">
        <v>36</v>
      </c>
      <c r="O54" s="845" t="s">
        <v>38</v>
      </c>
      <c r="P54" s="846" t="s">
        <v>36</v>
      </c>
      <c r="Q54" s="845" t="s">
        <v>38</v>
      </c>
      <c r="R54" s="846" t="s">
        <v>36</v>
      </c>
      <c r="S54" s="845" t="s">
        <v>38</v>
      </c>
      <c r="T54" s="846" t="s">
        <v>36</v>
      </c>
      <c r="U54" s="847" t="s">
        <v>38</v>
      </c>
      <c r="V54" s="376"/>
      <c r="W54" s="761" t="s">
        <v>36</v>
      </c>
      <c r="X54" s="847" t="s">
        <v>38</v>
      </c>
    </row>
    <row r="55" spans="1:27" x14ac:dyDescent="0.2">
      <c r="A55" s="378" t="s">
        <v>90</v>
      </c>
      <c r="B55" s="379"/>
      <c r="C55" s="380">
        <f>B55/B17</f>
        <v>0</v>
      </c>
      <c r="D55" s="379"/>
      <c r="E55" s="380">
        <f>D55/D17</f>
        <v>0</v>
      </c>
      <c r="F55" s="379"/>
      <c r="G55" s="380">
        <f>F55/F17</f>
        <v>0</v>
      </c>
      <c r="H55" s="379">
        <v>7</v>
      </c>
      <c r="I55" s="380">
        <f>H55/H17</f>
        <v>0.58333333333333337</v>
      </c>
      <c r="J55" s="379">
        <v>15</v>
      </c>
      <c r="K55" s="380">
        <f>J55/J17</f>
        <v>0.78947368421052633</v>
      </c>
      <c r="L55" s="379">
        <v>15</v>
      </c>
      <c r="M55" s="380">
        <f>L55/L17</f>
        <v>0.88235294117647056</v>
      </c>
      <c r="N55" s="379">
        <v>13</v>
      </c>
      <c r="O55" s="380">
        <f>N55/N17</f>
        <v>0.72222222222222221</v>
      </c>
      <c r="P55" s="379">
        <v>8</v>
      </c>
      <c r="Q55" s="380">
        <f>P55/P17</f>
        <v>0.66666666666666663</v>
      </c>
      <c r="R55" s="379">
        <v>10</v>
      </c>
      <c r="S55" s="380">
        <f>R55/R17</f>
        <v>0.5</v>
      </c>
      <c r="T55" s="379">
        <v>17</v>
      </c>
      <c r="U55" s="380">
        <f>T55/T17</f>
        <v>0.73913043478260865</v>
      </c>
      <c r="V55" s="372"/>
      <c r="W55" s="382">
        <f>AVERAGE(N55,L55,R55,T55,P55)</f>
        <v>12.6</v>
      </c>
      <c r="X55" s="407">
        <f>W55/W17</f>
        <v>0.7</v>
      </c>
    </row>
    <row r="56" spans="1:27" ht="13.5" thickBot="1" x14ac:dyDescent="0.25">
      <c r="A56" s="383" t="s">
        <v>91</v>
      </c>
      <c r="B56" s="384"/>
      <c r="C56" s="385">
        <f>B56/B18</f>
        <v>0</v>
      </c>
      <c r="D56" s="384"/>
      <c r="E56" s="385">
        <f>D56/D18</f>
        <v>0</v>
      </c>
      <c r="F56" s="384"/>
      <c r="G56" s="385">
        <f>F56/F18</f>
        <v>0</v>
      </c>
      <c r="H56" s="384">
        <v>7</v>
      </c>
      <c r="I56" s="385">
        <f>H56/H18</f>
        <v>0.875</v>
      </c>
      <c r="J56" s="384">
        <v>9</v>
      </c>
      <c r="K56" s="139">
        <f>J56/J18</f>
        <v>0.75</v>
      </c>
      <c r="L56" s="384">
        <v>9</v>
      </c>
      <c r="M56" s="385">
        <f>L56/L18</f>
        <v>0.9</v>
      </c>
      <c r="N56" s="384">
        <v>8</v>
      </c>
      <c r="O56" s="385">
        <f>N56/N18</f>
        <v>0.88888888888888884</v>
      </c>
      <c r="P56" s="384">
        <v>10</v>
      </c>
      <c r="Q56" s="385">
        <f>P56/P18</f>
        <v>0.90909090909090906</v>
      </c>
      <c r="R56" s="384">
        <v>6</v>
      </c>
      <c r="S56" s="385">
        <f>R56/R18</f>
        <v>0.66666666666666663</v>
      </c>
      <c r="T56" s="384">
        <v>9</v>
      </c>
      <c r="U56" s="385">
        <f>T56/T18</f>
        <v>0.81818181818181823</v>
      </c>
      <c r="V56" s="372"/>
      <c r="W56" s="387">
        <f>AVERAGE(N56,L56,R56,T56,P56)</f>
        <v>8.4</v>
      </c>
      <c r="X56" s="386">
        <f>W56/W18</f>
        <v>0.84000000000000008</v>
      </c>
    </row>
    <row r="57" spans="1:27" ht="13.5" thickTop="1" x14ac:dyDescent="0.2">
      <c r="A57" s="8"/>
      <c r="B57" s="10"/>
      <c r="C57" s="11"/>
      <c r="D57" s="10"/>
      <c r="E57" s="11"/>
      <c r="F57" s="10"/>
      <c r="G57" s="11"/>
      <c r="H57" s="10"/>
      <c r="I57" s="11"/>
      <c r="J57" s="10"/>
      <c r="K57" s="11"/>
      <c r="L57" s="10"/>
      <c r="M57" s="11"/>
      <c r="N57" s="10"/>
      <c r="O57" s="11"/>
      <c r="P57" s="10"/>
      <c r="Q57" s="11"/>
      <c r="R57" s="10"/>
      <c r="S57" s="11"/>
      <c r="T57" s="10"/>
      <c r="U57" s="11"/>
      <c r="W57" s="389"/>
      <c r="X57" s="13"/>
    </row>
    <row r="58" spans="1:27" s="41" customFormat="1" ht="12" customHeight="1" thickBot="1" x14ac:dyDescent="0.25">
      <c r="A58" s="552"/>
      <c r="B58" s="553"/>
      <c r="C58" s="553"/>
      <c r="D58" s="553"/>
      <c r="E58" s="553"/>
      <c r="F58" s="553"/>
      <c r="G58" s="553"/>
      <c r="H58" s="553"/>
      <c r="I58" s="553"/>
      <c r="J58" s="553"/>
      <c r="K58" s="553"/>
      <c r="L58" s="553"/>
      <c r="M58" s="553"/>
      <c r="N58" s="553"/>
      <c r="O58" s="553"/>
      <c r="P58" s="553"/>
      <c r="Q58" s="553"/>
      <c r="R58" s="553"/>
      <c r="S58" s="553"/>
      <c r="T58" s="553"/>
      <c r="U58" s="553"/>
      <c r="V58" s="554"/>
      <c r="W58" s="553"/>
      <c r="X58" s="553"/>
      <c r="Y58" s="23"/>
      <c r="Z58" s="23"/>
      <c r="AA58" s="24"/>
    </row>
    <row r="59" spans="1:27" s="1" customFormat="1" ht="18.75" customHeight="1" thickTop="1" thickBot="1" x14ac:dyDescent="0.25">
      <c r="A59" s="352" t="s">
        <v>207</v>
      </c>
      <c r="B59" s="1296" t="s">
        <v>24</v>
      </c>
      <c r="C59" s="1301"/>
      <c r="D59" s="1296" t="s">
        <v>25</v>
      </c>
      <c r="E59" s="1297"/>
      <c r="F59" s="1296" t="s">
        <v>26</v>
      </c>
      <c r="G59" s="1297"/>
      <c r="H59" s="1296" t="s">
        <v>27</v>
      </c>
      <c r="I59" s="1297"/>
      <c r="J59" s="1296" t="s">
        <v>28</v>
      </c>
      <c r="K59" s="1297"/>
      <c r="L59" s="1296" t="s">
        <v>29</v>
      </c>
      <c r="M59" s="1297"/>
      <c r="N59" s="1296" t="s">
        <v>30</v>
      </c>
      <c r="O59" s="1297"/>
      <c r="P59" s="1296" t="s">
        <v>31</v>
      </c>
      <c r="Q59" s="1297"/>
      <c r="R59" s="1296" t="s">
        <v>32</v>
      </c>
      <c r="S59" s="1297"/>
      <c r="T59" s="1296" t="s">
        <v>255</v>
      </c>
      <c r="U59" s="1300"/>
      <c r="V59" s="320"/>
      <c r="W59" s="1298" t="s">
        <v>9</v>
      </c>
      <c r="X59" s="1299"/>
    </row>
    <row r="60" spans="1:27" s="1" customFormat="1" ht="24" x14ac:dyDescent="0.2">
      <c r="A60" s="985" t="s">
        <v>219</v>
      </c>
      <c r="B60" s="701"/>
      <c r="C60" s="508"/>
      <c r="D60" s="699"/>
      <c r="E60" s="700"/>
      <c r="F60" s="699"/>
      <c r="G60" s="700"/>
      <c r="H60" s="699"/>
      <c r="I60" s="700"/>
      <c r="J60" s="699"/>
      <c r="K60" s="700"/>
      <c r="L60" s="699"/>
      <c r="M60" s="700"/>
      <c r="N60" s="699"/>
      <c r="O60" s="700"/>
      <c r="P60" s="699"/>
      <c r="Q60" s="700"/>
      <c r="R60" s="699"/>
      <c r="S60" s="700"/>
      <c r="T60" s="701"/>
      <c r="U60" s="702"/>
      <c r="V60" s="320"/>
      <c r="W60" s="940"/>
      <c r="X60" s="941"/>
    </row>
    <row r="61" spans="1:27" s="1" customFormat="1" ht="24" x14ac:dyDescent="0.2">
      <c r="A61" s="685" t="s">
        <v>195</v>
      </c>
      <c r="B61" s="365"/>
      <c r="C61" s="550">
        <v>12</v>
      </c>
      <c r="D61" s="367"/>
      <c r="E61" s="550">
        <v>12</v>
      </c>
      <c r="F61" s="367"/>
      <c r="G61" s="550">
        <v>12</v>
      </c>
      <c r="H61" s="367"/>
      <c r="I61" s="550">
        <v>14</v>
      </c>
      <c r="J61" s="367"/>
      <c r="K61" s="550">
        <v>14</v>
      </c>
      <c r="L61" s="367"/>
      <c r="M61" s="550">
        <v>15</v>
      </c>
      <c r="N61" s="367"/>
      <c r="O61" s="550">
        <v>16</v>
      </c>
      <c r="P61" s="367"/>
      <c r="Q61" s="550">
        <v>15</v>
      </c>
      <c r="R61" s="367"/>
      <c r="S61" s="550">
        <v>14</v>
      </c>
      <c r="T61" s="551"/>
      <c r="U61" s="441">
        <v>13</v>
      </c>
      <c r="V61" s="320"/>
      <c r="W61" s="478"/>
      <c r="X61" s="441">
        <f>AVERAGE(O61,M61,S61,U61,Q61)</f>
        <v>14.6</v>
      </c>
    </row>
    <row r="62" spans="1:27" s="1" customFormat="1" ht="24" x14ac:dyDescent="0.2">
      <c r="A62" s="685" t="s">
        <v>197</v>
      </c>
      <c r="B62" s="551"/>
      <c r="C62" s="590">
        <v>12</v>
      </c>
      <c r="D62" s="551"/>
      <c r="E62" s="590">
        <v>12</v>
      </c>
      <c r="F62" s="551"/>
      <c r="G62" s="590">
        <v>12</v>
      </c>
      <c r="H62" s="551"/>
      <c r="I62" s="590">
        <v>14</v>
      </c>
      <c r="J62" s="551"/>
      <c r="K62" s="590">
        <v>14</v>
      </c>
      <c r="L62" s="551"/>
      <c r="M62" s="590">
        <v>15</v>
      </c>
      <c r="N62" s="551"/>
      <c r="O62" s="590">
        <v>16</v>
      </c>
      <c r="P62" s="551"/>
      <c r="Q62" s="590">
        <v>15</v>
      </c>
      <c r="R62" s="551"/>
      <c r="S62" s="590">
        <v>14</v>
      </c>
      <c r="T62" s="551"/>
      <c r="U62" s="441">
        <v>13</v>
      </c>
      <c r="V62" s="320"/>
      <c r="W62" s="953"/>
      <c r="X62" s="560">
        <f t="shared" ref="X62:X63" si="28">AVERAGE(O62,M62,S62,U62,Q62)</f>
        <v>14.6</v>
      </c>
    </row>
    <row r="63" spans="1:27" s="1" customFormat="1" thickBot="1" x14ac:dyDescent="0.25">
      <c r="A63" s="1038" t="s">
        <v>196</v>
      </c>
      <c r="B63" s="1067"/>
      <c r="C63" s="1002">
        <v>14.73</v>
      </c>
      <c r="D63" s="1001"/>
      <c r="E63" s="1002">
        <f>10.01+1.06</f>
        <v>11.07</v>
      </c>
      <c r="F63" s="1001"/>
      <c r="G63" s="1002">
        <v>11.07</v>
      </c>
      <c r="H63" s="1001"/>
      <c r="I63" s="1002">
        <v>10.87</v>
      </c>
      <c r="J63" s="1001"/>
      <c r="K63" s="1002">
        <f>12.38+1.32</f>
        <v>13.700000000000001</v>
      </c>
      <c r="L63" s="1001"/>
      <c r="M63" s="1002">
        <v>14.02</v>
      </c>
      <c r="N63" s="1001"/>
      <c r="O63" s="1002">
        <v>15.37</v>
      </c>
      <c r="P63" s="1001"/>
      <c r="Q63" s="1002">
        <v>14.2</v>
      </c>
      <c r="R63" s="1001"/>
      <c r="S63" s="1002">
        <f>11.35+1.37</f>
        <v>12.719999999999999</v>
      </c>
      <c r="T63" s="1003"/>
      <c r="U63" s="1068">
        <f>10.38+1.97</f>
        <v>12.350000000000001</v>
      </c>
      <c r="V63" s="320"/>
      <c r="W63" s="954"/>
      <c r="X63" s="562">
        <f t="shared" si="28"/>
        <v>13.731999999999999</v>
      </c>
    </row>
    <row r="64" spans="1:27" s="1" customFormat="1" ht="18" customHeight="1" thickBot="1" x14ac:dyDescent="0.25">
      <c r="A64" s="796" t="s">
        <v>231</v>
      </c>
      <c r="B64" s="1069" t="s">
        <v>89</v>
      </c>
      <c r="C64" s="1070" t="s">
        <v>97</v>
      </c>
      <c r="D64" s="1069" t="s">
        <v>89</v>
      </c>
      <c r="E64" s="1070" t="s">
        <v>97</v>
      </c>
      <c r="F64" s="1069" t="s">
        <v>89</v>
      </c>
      <c r="G64" s="1070" t="s">
        <v>97</v>
      </c>
      <c r="H64" s="1069" t="s">
        <v>89</v>
      </c>
      <c r="I64" s="1070" t="s">
        <v>97</v>
      </c>
      <c r="J64" s="1069" t="s">
        <v>89</v>
      </c>
      <c r="K64" s="1070" t="s">
        <v>97</v>
      </c>
      <c r="L64" s="1069" t="s">
        <v>89</v>
      </c>
      <c r="M64" s="1070" t="s">
        <v>97</v>
      </c>
      <c r="N64" s="1069" t="s">
        <v>89</v>
      </c>
      <c r="O64" s="1070" t="s">
        <v>97</v>
      </c>
      <c r="P64" s="1069" t="s">
        <v>89</v>
      </c>
      <c r="Q64" s="1070" t="s">
        <v>97</v>
      </c>
      <c r="R64" s="1069" t="s">
        <v>89</v>
      </c>
      <c r="S64" s="1070" t="s">
        <v>97</v>
      </c>
      <c r="T64" s="1069" t="s">
        <v>89</v>
      </c>
      <c r="U64" s="1071" t="s">
        <v>97</v>
      </c>
      <c r="W64" s="1073" t="s">
        <v>89</v>
      </c>
      <c r="X64" s="780" t="s">
        <v>97</v>
      </c>
    </row>
    <row r="65" spans="1:24" s="1" customFormat="1" ht="12" x14ac:dyDescent="0.2">
      <c r="A65" s="999" t="s">
        <v>98</v>
      </c>
      <c r="B65" s="263"/>
      <c r="C65" s="1011"/>
      <c r="D65" s="260"/>
      <c r="E65" s="1016"/>
      <c r="F65" s="263"/>
      <c r="G65" s="1016"/>
      <c r="H65" s="263"/>
      <c r="I65" s="1016"/>
      <c r="J65" s="263"/>
      <c r="K65" s="1016"/>
      <c r="L65" s="263"/>
      <c r="M65" s="1016"/>
      <c r="N65" s="263"/>
      <c r="O65" s="1016"/>
      <c r="P65" s="263"/>
      <c r="Q65" s="1016"/>
      <c r="R65" s="263"/>
      <c r="S65" s="1016"/>
      <c r="T65" s="263"/>
      <c r="U65" s="1024"/>
      <c r="W65" s="1029"/>
      <c r="X65" s="1030"/>
    </row>
    <row r="66" spans="1:24" s="1" customFormat="1" ht="12" x14ac:dyDescent="0.2">
      <c r="A66" s="578" t="s">
        <v>99</v>
      </c>
      <c r="B66" s="280"/>
      <c r="C66" s="1012">
        <v>12</v>
      </c>
      <c r="D66" s="282"/>
      <c r="E66" s="1017">
        <v>12</v>
      </c>
      <c r="F66" s="280"/>
      <c r="G66" s="1017">
        <v>12</v>
      </c>
      <c r="H66" s="280"/>
      <c r="I66" s="1017">
        <v>14</v>
      </c>
      <c r="J66" s="1021">
        <v>14</v>
      </c>
      <c r="K66" s="1017">
        <v>14</v>
      </c>
      <c r="L66" s="1021">
        <v>15</v>
      </c>
      <c r="M66" s="1017">
        <v>15</v>
      </c>
      <c r="N66" s="1021">
        <v>16</v>
      </c>
      <c r="O66" s="1017">
        <v>16</v>
      </c>
      <c r="P66" s="1021">
        <v>15</v>
      </c>
      <c r="Q66" s="1017">
        <v>15</v>
      </c>
      <c r="R66" s="1021">
        <v>15</v>
      </c>
      <c r="S66" s="1017">
        <v>15</v>
      </c>
      <c r="T66" s="1021">
        <v>13</v>
      </c>
      <c r="U66" s="1025">
        <v>13</v>
      </c>
      <c r="W66" s="951">
        <f>AVERAGE(T66,L66,N66,P66,R66)</f>
        <v>14.8</v>
      </c>
      <c r="X66" s="1031">
        <f t="shared" ref="X66:X71" si="29">AVERAGE(O66,M66,S66,U66,Q66)</f>
        <v>14.8</v>
      </c>
    </row>
    <row r="67" spans="1:24" s="1" customFormat="1" ht="12" x14ac:dyDescent="0.2">
      <c r="A67" s="578" t="s">
        <v>100</v>
      </c>
      <c r="B67" s="280"/>
      <c r="C67" s="1012">
        <v>0</v>
      </c>
      <c r="D67" s="282"/>
      <c r="E67" s="1017">
        <v>0</v>
      </c>
      <c r="F67" s="280"/>
      <c r="G67" s="1017">
        <v>0</v>
      </c>
      <c r="H67" s="280"/>
      <c r="I67" s="1017">
        <v>0</v>
      </c>
      <c r="J67" s="217">
        <v>0.8</v>
      </c>
      <c r="K67" s="1017">
        <v>1</v>
      </c>
      <c r="L67" s="217">
        <v>1.3</v>
      </c>
      <c r="M67" s="1017">
        <v>2</v>
      </c>
      <c r="N67" s="1021">
        <v>0</v>
      </c>
      <c r="O67" s="1017">
        <v>0</v>
      </c>
      <c r="P67" s="1021">
        <v>0</v>
      </c>
      <c r="Q67" s="1017">
        <v>0</v>
      </c>
      <c r="R67" s="1021">
        <v>0</v>
      </c>
      <c r="S67" s="1017">
        <v>0</v>
      </c>
      <c r="T67" s="1021">
        <v>0.9</v>
      </c>
      <c r="U67" s="1025">
        <v>2</v>
      </c>
      <c r="W67" s="951">
        <f t="shared" ref="W67:W71" si="30">AVERAGE(T67,L67,N67,P67,R67)</f>
        <v>0.44000000000000006</v>
      </c>
      <c r="X67" s="1031">
        <f t="shared" si="29"/>
        <v>0.8</v>
      </c>
    </row>
    <row r="68" spans="1:24" s="1" customFormat="1" ht="12" x14ac:dyDescent="0.2">
      <c r="A68" s="957" t="s">
        <v>101</v>
      </c>
      <c r="B68" s="217"/>
      <c r="C68" s="1013"/>
      <c r="D68" s="219"/>
      <c r="E68" s="1018"/>
      <c r="F68" s="217"/>
      <c r="G68" s="1018"/>
      <c r="H68" s="217"/>
      <c r="I68" s="1018"/>
      <c r="J68" s="217"/>
      <c r="K68" s="1018"/>
      <c r="L68" s="217"/>
      <c r="M68" s="1018"/>
      <c r="N68" s="1021"/>
      <c r="O68" s="1018"/>
      <c r="P68" s="1021"/>
      <c r="Q68" s="1018"/>
      <c r="R68" s="1021"/>
      <c r="S68" s="1018"/>
      <c r="T68" s="1021"/>
      <c r="U68" s="1026"/>
      <c r="W68" s="951"/>
      <c r="X68" s="1031"/>
    </row>
    <row r="69" spans="1:24" s="1" customFormat="1" ht="12" x14ac:dyDescent="0.2">
      <c r="A69" s="578" t="s">
        <v>99</v>
      </c>
      <c r="B69" s="280"/>
      <c r="C69" s="1013">
        <v>13</v>
      </c>
      <c r="D69" s="282"/>
      <c r="E69" s="1018">
        <v>14</v>
      </c>
      <c r="F69" s="280"/>
      <c r="G69" s="1018">
        <v>15</v>
      </c>
      <c r="H69" s="280"/>
      <c r="I69" s="1018">
        <v>10</v>
      </c>
      <c r="J69" s="1021">
        <v>11</v>
      </c>
      <c r="K69" s="1018">
        <v>11</v>
      </c>
      <c r="L69" s="1021">
        <v>10</v>
      </c>
      <c r="M69" s="1018">
        <v>10</v>
      </c>
      <c r="N69" s="1021">
        <v>12</v>
      </c>
      <c r="O69" s="1018">
        <v>12</v>
      </c>
      <c r="P69" s="1021">
        <v>10</v>
      </c>
      <c r="Q69" s="1018">
        <v>10</v>
      </c>
      <c r="R69" s="1021">
        <v>9</v>
      </c>
      <c r="S69" s="1018">
        <v>9</v>
      </c>
      <c r="T69" s="1021">
        <v>12</v>
      </c>
      <c r="U69" s="1026">
        <v>12</v>
      </c>
      <c r="W69" s="951">
        <f t="shared" si="30"/>
        <v>10.6</v>
      </c>
      <c r="X69" s="1031">
        <f t="shared" si="29"/>
        <v>10.6</v>
      </c>
    </row>
    <row r="70" spans="1:24" s="1" customFormat="1" thickBot="1" x14ac:dyDescent="0.25">
      <c r="A70" s="890" t="s">
        <v>100</v>
      </c>
      <c r="B70" s="947"/>
      <c r="C70" s="1013">
        <v>0</v>
      </c>
      <c r="D70" s="282"/>
      <c r="E70" s="1018">
        <v>0</v>
      </c>
      <c r="F70" s="280"/>
      <c r="G70" s="1018">
        <v>0</v>
      </c>
      <c r="H70" s="280"/>
      <c r="I70" s="1018">
        <v>0</v>
      </c>
      <c r="J70" s="1021">
        <v>0</v>
      </c>
      <c r="K70" s="1018">
        <v>0</v>
      </c>
      <c r="L70" s="1021">
        <v>0</v>
      </c>
      <c r="M70" s="1018">
        <v>0</v>
      </c>
      <c r="N70" s="1021">
        <v>0</v>
      </c>
      <c r="O70" s="1018">
        <v>0</v>
      </c>
      <c r="P70" s="217">
        <v>0.8</v>
      </c>
      <c r="Q70" s="1018">
        <v>1</v>
      </c>
      <c r="R70" s="1021">
        <v>1.7</v>
      </c>
      <c r="S70" s="1018">
        <v>3</v>
      </c>
      <c r="T70" s="1072">
        <v>0</v>
      </c>
      <c r="U70" s="1027">
        <v>0</v>
      </c>
      <c r="W70" s="952">
        <f t="shared" si="30"/>
        <v>0.5</v>
      </c>
      <c r="X70" s="1032">
        <f t="shared" si="29"/>
        <v>0.8</v>
      </c>
    </row>
    <row r="71" spans="1:24" s="1" customFormat="1" thickBot="1" x14ac:dyDescent="0.25">
      <c r="A71" s="647" t="s">
        <v>22</v>
      </c>
      <c r="B71" s="1014"/>
      <c r="C71" s="1015">
        <f>SUM(C66:C70)</f>
        <v>25</v>
      </c>
      <c r="D71" s="1019"/>
      <c r="E71" s="1020">
        <f>SUM(E66:E70)</f>
        <v>26</v>
      </c>
      <c r="F71" s="1014"/>
      <c r="G71" s="1020">
        <f>SUM(G66:G70)</f>
        <v>27</v>
      </c>
      <c r="H71" s="1014"/>
      <c r="I71" s="1020">
        <f>SUM(I66:I70)</f>
        <v>24</v>
      </c>
      <c r="J71" s="1014">
        <f t="shared" ref="J71:S71" si="31">SUM(J66:J70)</f>
        <v>25.8</v>
      </c>
      <c r="K71" s="1020">
        <f t="shared" si="31"/>
        <v>26</v>
      </c>
      <c r="L71" s="1014">
        <f t="shared" si="31"/>
        <v>26.3</v>
      </c>
      <c r="M71" s="1020">
        <f t="shared" si="31"/>
        <v>27</v>
      </c>
      <c r="N71" s="1014">
        <f t="shared" si="31"/>
        <v>28</v>
      </c>
      <c r="O71" s="1020">
        <f t="shared" si="31"/>
        <v>28</v>
      </c>
      <c r="P71" s="1014">
        <f t="shared" si="31"/>
        <v>25.8</v>
      </c>
      <c r="Q71" s="1020">
        <f t="shared" si="31"/>
        <v>26</v>
      </c>
      <c r="R71" s="1014">
        <f t="shared" si="31"/>
        <v>25.7</v>
      </c>
      <c r="S71" s="1020">
        <f t="shared" si="31"/>
        <v>27</v>
      </c>
      <c r="T71" s="1014">
        <f t="shared" ref="T71:U71" si="32">SUM(T66:T70)</f>
        <v>25.9</v>
      </c>
      <c r="U71" s="1028">
        <f t="shared" si="32"/>
        <v>27</v>
      </c>
      <c r="W71" s="990">
        <f t="shared" si="30"/>
        <v>26.339999999999996</v>
      </c>
      <c r="X71" s="1033">
        <f t="shared" si="29"/>
        <v>27</v>
      </c>
    </row>
    <row r="72" spans="1:24" s="1" customFormat="1" ht="18" customHeight="1" thickBot="1" x14ac:dyDescent="0.25">
      <c r="A72" s="796" t="s">
        <v>232</v>
      </c>
      <c r="B72" s="793" t="s">
        <v>36</v>
      </c>
      <c r="C72" s="989" t="s">
        <v>102</v>
      </c>
      <c r="D72" s="793" t="s">
        <v>36</v>
      </c>
      <c r="E72" s="810" t="s">
        <v>102</v>
      </c>
      <c r="F72" s="811" t="s">
        <v>36</v>
      </c>
      <c r="G72" s="810" t="s">
        <v>102</v>
      </c>
      <c r="H72" s="811" t="s">
        <v>36</v>
      </c>
      <c r="I72" s="810" t="s">
        <v>102</v>
      </c>
      <c r="J72" s="811" t="s">
        <v>36</v>
      </c>
      <c r="K72" s="810" t="s">
        <v>102</v>
      </c>
      <c r="L72" s="811" t="s">
        <v>36</v>
      </c>
      <c r="M72" s="810" t="s">
        <v>102</v>
      </c>
      <c r="N72" s="811" t="s">
        <v>36</v>
      </c>
      <c r="O72" s="810" t="s">
        <v>102</v>
      </c>
      <c r="P72" s="811" t="s">
        <v>36</v>
      </c>
      <c r="Q72" s="810" t="s">
        <v>102</v>
      </c>
      <c r="R72" s="811" t="s">
        <v>36</v>
      </c>
      <c r="S72" s="810" t="s">
        <v>102</v>
      </c>
      <c r="T72" s="811" t="s">
        <v>36</v>
      </c>
      <c r="U72" s="780" t="s">
        <v>102</v>
      </c>
      <c r="V72" s="320"/>
      <c r="W72" s="946" t="s">
        <v>36</v>
      </c>
      <c r="X72" s="780" t="s">
        <v>102</v>
      </c>
    </row>
    <row r="73" spans="1:24" s="1" customFormat="1" ht="18" customHeight="1" x14ac:dyDescent="0.2">
      <c r="A73" s="703" t="s">
        <v>233</v>
      </c>
      <c r="B73" s="481"/>
      <c r="C73" s="322"/>
      <c r="D73" s="321"/>
      <c r="E73" s="323"/>
      <c r="F73" s="324"/>
      <c r="G73" s="323"/>
      <c r="H73" s="324"/>
      <c r="I73" s="323"/>
      <c r="J73" s="324"/>
      <c r="K73" s="323"/>
      <c r="L73" s="324"/>
      <c r="M73" s="323"/>
      <c r="N73" s="324"/>
      <c r="O73" s="323"/>
      <c r="P73" s="324"/>
      <c r="Q73" s="323"/>
      <c r="R73" s="324"/>
      <c r="S73" s="323"/>
      <c r="T73" s="324"/>
      <c r="U73" s="325"/>
      <c r="V73" s="320"/>
      <c r="W73" s="991"/>
      <c r="X73" s="325"/>
    </row>
    <row r="74" spans="1:24" s="1" customFormat="1" ht="12" x14ac:dyDescent="0.2">
      <c r="A74" s="326" t="s">
        <v>103</v>
      </c>
      <c r="B74" s="463">
        <v>23</v>
      </c>
      <c r="C74" s="328">
        <f t="shared" ref="C74:C81" si="33">B74/C$71</f>
        <v>0.92</v>
      </c>
      <c r="D74" s="327">
        <v>24</v>
      </c>
      <c r="E74" s="329">
        <f t="shared" ref="E74:K81" si="34">D74/E$71</f>
        <v>0.92307692307692313</v>
      </c>
      <c r="F74" s="330">
        <v>24</v>
      </c>
      <c r="G74" s="329">
        <f t="shared" si="34"/>
        <v>0.88888888888888884</v>
      </c>
      <c r="H74" s="330">
        <f>22</f>
        <v>22</v>
      </c>
      <c r="I74" s="329">
        <f t="shared" ref="I74:I81" si="35">H74/I$71</f>
        <v>0.91666666666666663</v>
      </c>
      <c r="J74" s="330">
        <f>22</f>
        <v>22</v>
      </c>
      <c r="K74" s="329">
        <f t="shared" si="34"/>
        <v>0.84615384615384615</v>
      </c>
      <c r="L74" s="330">
        <v>22</v>
      </c>
      <c r="M74" s="329">
        <f t="shared" ref="M74:M79" si="36">L74/M$71</f>
        <v>0.81481481481481477</v>
      </c>
      <c r="N74" s="330">
        <v>24</v>
      </c>
      <c r="O74" s="329">
        <f t="shared" ref="O74:Q79" si="37">N74/O$71</f>
        <v>0.8571428571428571</v>
      </c>
      <c r="P74" s="330">
        <v>24</v>
      </c>
      <c r="Q74" s="329">
        <f t="shared" si="37"/>
        <v>0.92307692307692313</v>
      </c>
      <c r="R74" s="330">
        <v>24</v>
      </c>
      <c r="S74" s="329">
        <f t="shared" ref="S74:S79" si="38">R74/S$71</f>
        <v>0.88888888888888884</v>
      </c>
      <c r="T74" s="331">
        <v>24</v>
      </c>
      <c r="U74" s="332">
        <f t="shared" ref="U74:U79" si="39">T74/U$71</f>
        <v>0.88888888888888884</v>
      </c>
      <c r="V74" s="333"/>
      <c r="W74" s="334">
        <f>AVERAGE(N74,L74,R74,T74,P74)</f>
        <v>23.6</v>
      </c>
      <c r="X74" s="335">
        <f>AVERAGE(O74,M74,S74,U74,Q74)</f>
        <v>0.87456247456247449</v>
      </c>
    </row>
    <row r="75" spans="1:24" s="1" customFormat="1" ht="12" x14ac:dyDescent="0.2">
      <c r="A75" s="336" t="s">
        <v>104</v>
      </c>
      <c r="B75" s="327">
        <v>0</v>
      </c>
      <c r="C75" s="328">
        <f t="shared" si="33"/>
        <v>0</v>
      </c>
      <c r="D75" s="327">
        <v>0</v>
      </c>
      <c r="E75" s="329">
        <f t="shared" si="34"/>
        <v>0</v>
      </c>
      <c r="F75" s="330">
        <v>0</v>
      </c>
      <c r="G75" s="329">
        <f t="shared" si="34"/>
        <v>0</v>
      </c>
      <c r="H75" s="330">
        <v>0</v>
      </c>
      <c r="I75" s="329">
        <f t="shared" si="35"/>
        <v>0</v>
      </c>
      <c r="J75" s="330">
        <f>0</f>
        <v>0</v>
      </c>
      <c r="K75" s="329">
        <f t="shared" si="34"/>
        <v>0</v>
      </c>
      <c r="L75" s="330">
        <v>0</v>
      </c>
      <c r="M75" s="329">
        <f t="shared" si="36"/>
        <v>0</v>
      </c>
      <c r="N75" s="330">
        <v>0</v>
      </c>
      <c r="O75" s="329">
        <f t="shared" si="37"/>
        <v>0</v>
      </c>
      <c r="P75" s="330">
        <v>0</v>
      </c>
      <c r="Q75" s="329">
        <f t="shared" si="37"/>
        <v>0</v>
      </c>
      <c r="R75" s="330">
        <v>0</v>
      </c>
      <c r="S75" s="329">
        <f t="shared" si="38"/>
        <v>0</v>
      </c>
      <c r="T75" s="331">
        <v>0</v>
      </c>
      <c r="U75" s="332">
        <f t="shared" si="39"/>
        <v>0</v>
      </c>
      <c r="V75" s="333"/>
      <c r="W75" s="334">
        <f t="shared" ref="W75:X93" si="40">AVERAGE(N75,L75,R75,T75,P75)</f>
        <v>0</v>
      </c>
      <c r="X75" s="335">
        <f t="shared" si="40"/>
        <v>0</v>
      </c>
    </row>
    <row r="76" spans="1:24" s="1" customFormat="1" ht="12" x14ac:dyDescent="0.2">
      <c r="A76" s="336" t="s">
        <v>105</v>
      </c>
      <c r="B76" s="327">
        <v>0</v>
      </c>
      <c r="C76" s="328">
        <f t="shared" si="33"/>
        <v>0</v>
      </c>
      <c r="D76" s="327">
        <v>0</v>
      </c>
      <c r="E76" s="329">
        <f t="shared" si="34"/>
        <v>0</v>
      </c>
      <c r="F76" s="330">
        <v>0</v>
      </c>
      <c r="G76" s="329">
        <f t="shared" si="34"/>
        <v>0</v>
      </c>
      <c r="H76" s="330">
        <v>0</v>
      </c>
      <c r="I76" s="329">
        <f t="shared" si="35"/>
        <v>0</v>
      </c>
      <c r="J76" s="330">
        <f>0</f>
        <v>0</v>
      </c>
      <c r="K76" s="329">
        <f t="shared" si="34"/>
        <v>0</v>
      </c>
      <c r="L76" s="330">
        <v>0</v>
      </c>
      <c r="M76" s="329">
        <f t="shared" si="36"/>
        <v>0</v>
      </c>
      <c r="N76" s="330">
        <v>0</v>
      </c>
      <c r="O76" s="329">
        <f t="shared" si="37"/>
        <v>0</v>
      </c>
      <c r="P76" s="330">
        <v>0</v>
      </c>
      <c r="Q76" s="329">
        <f t="shared" si="37"/>
        <v>0</v>
      </c>
      <c r="R76" s="330">
        <v>0</v>
      </c>
      <c r="S76" s="329">
        <f t="shared" si="38"/>
        <v>0</v>
      </c>
      <c r="T76" s="331">
        <v>0</v>
      </c>
      <c r="U76" s="332">
        <f t="shared" si="39"/>
        <v>0</v>
      </c>
      <c r="V76" s="333"/>
      <c r="W76" s="334">
        <f t="shared" si="40"/>
        <v>0</v>
      </c>
      <c r="X76" s="335">
        <f t="shared" si="40"/>
        <v>0</v>
      </c>
    </row>
    <row r="77" spans="1:24" s="1" customFormat="1" ht="12" x14ac:dyDescent="0.2">
      <c r="A77" s="336" t="s">
        <v>106</v>
      </c>
      <c r="B77" s="327">
        <v>0</v>
      </c>
      <c r="C77" s="328">
        <f t="shared" si="33"/>
        <v>0</v>
      </c>
      <c r="D77" s="327">
        <v>0</v>
      </c>
      <c r="E77" s="329">
        <f t="shared" si="34"/>
        <v>0</v>
      </c>
      <c r="F77" s="330">
        <v>0</v>
      </c>
      <c r="G77" s="329">
        <f t="shared" si="34"/>
        <v>0</v>
      </c>
      <c r="H77" s="330">
        <v>0</v>
      </c>
      <c r="I77" s="329">
        <f t="shared" si="35"/>
        <v>0</v>
      </c>
      <c r="J77" s="330">
        <f>0</f>
        <v>0</v>
      </c>
      <c r="K77" s="329">
        <f t="shared" si="34"/>
        <v>0</v>
      </c>
      <c r="L77" s="330">
        <v>0</v>
      </c>
      <c r="M77" s="329">
        <f t="shared" si="36"/>
        <v>0</v>
      </c>
      <c r="N77" s="330">
        <v>0</v>
      </c>
      <c r="O77" s="329">
        <f t="shared" si="37"/>
        <v>0</v>
      </c>
      <c r="P77" s="330">
        <v>0</v>
      </c>
      <c r="Q77" s="329">
        <f t="shared" si="37"/>
        <v>0</v>
      </c>
      <c r="R77" s="330">
        <v>0</v>
      </c>
      <c r="S77" s="329">
        <f t="shared" si="38"/>
        <v>0</v>
      </c>
      <c r="T77" s="331">
        <v>0</v>
      </c>
      <c r="U77" s="332">
        <f t="shared" si="39"/>
        <v>0</v>
      </c>
      <c r="V77" s="333"/>
      <c r="W77" s="334">
        <f t="shared" si="40"/>
        <v>0</v>
      </c>
      <c r="X77" s="335">
        <f t="shared" si="40"/>
        <v>0</v>
      </c>
    </row>
    <row r="78" spans="1:24" s="1" customFormat="1" ht="12" x14ac:dyDescent="0.2">
      <c r="A78" s="336" t="s">
        <v>107</v>
      </c>
      <c r="B78" s="327">
        <v>2</v>
      </c>
      <c r="C78" s="328">
        <f t="shared" si="33"/>
        <v>0.08</v>
      </c>
      <c r="D78" s="327">
        <v>2</v>
      </c>
      <c r="E78" s="329">
        <f t="shared" si="34"/>
        <v>7.6923076923076927E-2</v>
      </c>
      <c r="F78" s="330">
        <v>2</v>
      </c>
      <c r="G78" s="329">
        <f t="shared" si="34"/>
        <v>7.407407407407407E-2</v>
      </c>
      <c r="H78" s="330">
        <v>2</v>
      </c>
      <c r="I78" s="329">
        <f t="shared" si="35"/>
        <v>8.3333333333333329E-2</v>
      </c>
      <c r="J78" s="330">
        <f>2</f>
        <v>2</v>
      </c>
      <c r="K78" s="329">
        <f t="shared" si="34"/>
        <v>7.6923076923076927E-2</v>
      </c>
      <c r="L78" s="330">
        <v>2</v>
      </c>
      <c r="M78" s="329">
        <f t="shared" si="36"/>
        <v>7.407407407407407E-2</v>
      </c>
      <c r="N78" s="330">
        <v>2</v>
      </c>
      <c r="O78" s="329">
        <f t="shared" si="37"/>
        <v>7.1428571428571425E-2</v>
      </c>
      <c r="P78" s="330">
        <v>1</v>
      </c>
      <c r="Q78" s="329">
        <f t="shared" si="37"/>
        <v>3.8461538461538464E-2</v>
      </c>
      <c r="R78" s="330">
        <v>2</v>
      </c>
      <c r="S78" s="329">
        <f t="shared" si="38"/>
        <v>7.407407407407407E-2</v>
      </c>
      <c r="T78" s="331">
        <v>2</v>
      </c>
      <c r="U78" s="332">
        <f t="shared" si="39"/>
        <v>7.407407407407407E-2</v>
      </c>
      <c r="V78" s="333"/>
      <c r="W78" s="334">
        <f t="shared" si="40"/>
        <v>1.8</v>
      </c>
      <c r="X78" s="335">
        <f t="shared" si="40"/>
        <v>6.6422466422466409E-2</v>
      </c>
    </row>
    <row r="79" spans="1:24" s="1" customFormat="1" ht="12" x14ac:dyDescent="0.2">
      <c r="A79" s="336" t="s">
        <v>108</v>
      </c>
      <c r="B79" s="327">
        <v>0</v>
      </c>
      <c r="C79" s="328">
        <f t="shared" si="33"/>
        <v>0</v>
      </c>
      <c r="D79" s="327">
        <v>0</v>
      </c>
      <c r="E79" s="329">
        <f t="shared" si="34"/>
        <v>0</v>
      </c>
      <c r="F79" s="330">
        <v>1</v>
      </c>
      <c r="G79" s="329">
        <f t="shared" si="34"/>
        <v>3.7037037037037035E-2</v>
      </c>
      <c r="H79" s="330">
        <v>0</v>
      </c>
      <c r="I79" s="329">
        <f t="shared" si="35"/>
        <v>0</v>
      </c>
      <c r="J79" s="330">
        <f>0</f>
        <v>0</v>
      </c>
      <c r="K79" s="329">
        <f t="shared" si="34"/>
        <v>0</v>
      </c>
      <c r="L79" s="330">
        <v>0</v>
      </c>
      <c r="M79" s="329">
        <f t="shared" si="36"/>
        <v>0</v>
      </c>
      <c r="N79" s="330">
        <v>1</v>
      </c>
      <c r="O79" s="329">
        <f t="shared" si="37"/>
        <v>3.5714285714285712E-2</v>
      </c>
      <c r="P79" s="330">
        <v>1</v>
      </c>
      <c r="Q79" s="329">
        <f t="shared" si="37"/>
        <v>3.8461538461538464E-2</v>
      </c>
      <c r="R79" s="330">
        <v>1</v>
      </c>
      <c r="S79" s="329">
        <f t="shared" si="38"/>
        <v>3.7037037037037035E-2</v>
      </c>
      <c r="T79" s="331">
        <v>0</v>
      </c>
      <c r="U79" s="332">
        <f t="shared" si="39"/>
        <v>0</v>
      </c>
      <c r="V79" s="333"/>
      <c r="W79" s="334">
        <f t="shared" si="40"/>
        <v>0.6</v>
      </c>
      <c r="X79" s="335">
        <f t="shared" si="40"/>
        <v>2.2242572242572242E-2</v>
      </c>
    </row>
    <row r="80" spans="1:24" s="1" customFormat="1" ht="12" x14ac:dyDescent="0.2">
      <c r="A80" s="336" t="s">
        <v>109</v>
      </c>
      <c r="B80" s="337"/>
      <c r="C80" s="328"/>
      <c r="D80" s="337"/>
      <c r="E80" s="329"/>
      <c r="F80" s="338"/>
      <c r="G80" s="329"/>
      <c r="H80" s="338">
        <f>0</f>
        <v>0</v>
      </c>
      <c r="I80" s="329">
        <f t="shared" si="35"/>
        <v>0</v>
      </c>
      <c r="J80" s="338">
        <f>0</f>
        <v>0</v>
      </c>
      <c r="K80" s="329">
        <f>J80/K$71</f>
        <v>0</v>
      </c>
      <c r="L80" s="338">
        <v>1</v>
      </c>
      <c r="M80" s="329">
        <f>L80/M$71</f>
        <v>3.7037037037037035E-2</v>
      </c>
      <c r="N80" s="338">
        <v>0</v>
      </c>
      <c r="O80" s="329">
        <f>N80/O$71</f>
        <v>0</v>
      </c>
      <c r="P80" s="338">
        <v>0</v>
      </c>
      <c r="Q80" s="329">
        <f>P80/Q$71</f>
        <v>0</v>
      </c>
      <c r="R80" s="338">
        <v>0</v>
      </c>
      <c r="S80" s="329">
        <f>R80/S$71</f>
        <v>0</v>
      </c>
      <c r="T80" s="331">
        <v>0</v>
      </c>
      <c r="U80" s="332">
        <f>T80/U$71</f>
        <v>0</v>
      </c>
      <c r="V80" s="333"/>
      <c r="W80" s="334">
        <f t="shared" si="40"/>
        <v>0.2</v>
      </c>
      <c r="X80" s="335">
        <f t="shared" si="40"/>
        <v>7.4074074074074068E-3</v>
      </c>
    </row>
    <row r="81" spans="1:24" s="1" customFormat="1" thickBot="1" x14ac:dyDescent="0.25">
      <c r="A81" s="336" t="s">
        <v>110</v>
      </c>
      <c r="B81" s="337">
        <v>0</v>
      </c>
      <c r="C81" s="659">
        <f t="shared" si="33"/>
        <v>0</v>
      </c>
      <c r="D81" s="337">
        <v>0</v>
      </c>
      <c r="E81" s="660">
        <f t="shared" si="34"/>
        <v>0</v>
      </c>
      <c r="F81" s="338">
        <v>0</v>
      </c>
      <c r="G81" s="660">
        <f t="shared" si="34"/>
        <v>0</v>
      </c>
      <c r="H81" s="338">
        <f>1+1</f>
        <v>2</v>
      </c>
      <c r="I81" s="660">
        <f t="shared" si="35"/>
        <v>8.3333333333333329E-2</v>
      </c>
      <c r="J81" s="338">
        <f>1+1</f>
        <v>2</v>
      </c>
      <c r="K81" s="660">
        <f t="shared" si="34"/>
        <v>7.6923076923076927E-2</v>
      </c>
      <c r="L81" s="338">
        <v>2</v>
      </c>
      <c r="M81" s="660">
        <f>L81/M$71</f>
        <v>7.407407407407407E-2</v>
      </c>
      <c r="N81" s="338">
        <v>1</v>
      </c>
      <c r="O81" s="660">
        <f>N81/O$71</f>
        <v>3.5714285714285712E-2</v>
      </c>
      <c r="P81" s="338">
        <v>0</v>
      </c>
      <c r="Q81" s="660">
        <f>P81/Q$71</f>
        <v>0</v>
      </c>
      <c r="R81" s="338">
        <v>0</v>
      </c>
      <c r="S81" s="660">
        <f>R81/S$71</f>
        <v>0</v>
      </c>
      <c r="T81" s="339">
        <v>1</v>
      </c>
      <c r="U81" s="661">
        <f>T81/U$71</f>
        <v>3.7037037037037035E-2</v>
      </c>
      <c r="V81" s="333"/>
      <c r="W81" s="662">
        <f t="shared" si="40"/>
        <v>0.8</v>
      </c>
      <c r="X81" s="663">
        <f t="shared" si="40"/>
        <v>2.9365079365079361E-2</v>
      </c>
    </row>
    <row r="82" spans="1:24" s="1" customFormat="1" ht="18" customHeight="1" x14ac:dyDescent="0.2">
      <c r="A82" s="886" t="s">
        <v>111</v>
      </c>
      <c r="B82" s="664"/>
      <c r="C82" s="665"/>
      <c r="D82" s="664"/>
      <c r="E82" s="666"/>
      <c r="F82" s="667"/>
      <c r="G82" s="666"/>
      <c r="H82" s="667"/>
      <c r="I82" s="666"/>
      <c r="J82" s="667"/>
      <c r="K82" s="666"/>
      <c r="L82" s="667"/>
      <c r="M82" s="666"/>
      <c r="N82" s="667"/>
      <c r="O82" s="666"/>
      <c r="P82" s="667"/>
      <c r="Q82" s="666"/>
      <c r="R82" s="667"/>
      <c r="S82" s="666"/>
      <c r="T82" s="667"/>
      <c r="U82" s="668"/>
      <c r="V82" s="333"/>
      <c r="W82" s="657"/>
      <c r="X82" s="658"/>
    </row>
    <row r="83" spans="1:24" s="1" customFormat="1" ht="12" x14ac:dyDescent="0.2">
      <c r="A83" s="326" t="s">
        <v>112</v>
      </c>
      <c r="B83" s="341">
        <v>21</v>
      </c>
      <c r="C83" s="328">
        <f>B83/C$71</f>
        <v>0.84</v>
      </c>
      <c r="D83" s="341">
        <f>9+12</f>
        <v>21</v>
      </c>
      <c r="E83" s="329">
        <f>D83/E$71</f>
        <v>0.80769230769230771</v>
      </c>
      <c r="F83" s="342">
        <v>21</v>
      </c>
      <c r="G83" s="329">
        <f>F83/G$71</f>
        <v>0.77777777777777779</v>
      </c>
      <c r="H83" s="342">
        <f>20+1</f>
        <v>21</v>
      </c>
      <c r="I83" s="329">
        <f>H83/I$71</f>
        <v>0.875</v>
      </c>
      <c r="J83" s="342">
        <f>1+20</f>
        <v>21</v>
      </c>
      <c r="K83" s="329">
        <f>J83/K$71</f>
        <v>0.80769230769230771</v>
      </c>
      <c r="L83" s="342">
        <v>20</v>
      </c>
      <c r="M83" s="329">
        <f>L83/M$71</f>
        <v>0.7407407407407407</v>
      </c>
      <c r="N83" s="342">
        <v>20</v>
      </c>
      <c r="O83" s="329">
        <f>N83/O$71</f>
        <v>0.7142857142857143</v>
      </c>
      <c r="P83" s="342">
        <v>18</v>
      </c>
      <c r="Q83" s="329">
        <f>P83/Q$71</f>
        <v>0.69230769230769229</v>
      </c>
      <c r="R83" s="342">
        <v>17</v>
      </c>
      <c r="S83" s="329">
        <f>R83/S$71</f>
        <v>0.62962962962962965</v>
      </c>
      <c r="T83" s="343">
        <v>19</v>
      </c>
      <c r="U83" s="332">
        <f>T83/U$71</f>
        <v>0.70370370370370372</v>
      </c>
      <c r="V83" s="333"/>
      <c r="W83" s="334">
        <f t="shared" si="40"/>
        <v>18.8</v>
      </c>
      <c r="X83" s="335">
        <f t="shared" si="40"/>
        <v>0.69613349613349607</v>
      </c>
    </row>
    <row r="84" spans="1:24" s="1" customFormat="1" thickBot="1" x14ac:dyDescent="0.25">
      <c r="A84" s="336" t="s">
        <v>113</v>
      </c>
      <c r="B84" s="669">
        <v>4</v>
      </c>
      <c r="C84" s="659">
        <f>B84/C$71</f>
        <v>0.16</v>
      </c>
      <c r="D84" s="669">
        <f>3+2</f>
        <v>5</v>
      </c>
      <c r="E84" s="660">
        <f>D84/E$71</f>
        <v>0.19230769230769232</v>
      </c>
      <c r="F84" s="670">
        <v>6</v>
      </c>
      <c r="G84" s="660">
        <f>F84/G$71</f>
        <v>0.22222222222222221</v>
      </c>
      <c r="H84" s="670">
        <v>5</v>
      </c>
      <c r="I84" s="660">
        <f>H84/I$71</f>
        <v>0.20833333333333334</v>
      </c>
      <c r="J84" s="670">
        <f>5</f>
        <v>5</v>
      </c>
      <c r="K84" s="660">
        <f>J84/K$71</f>
        <v>0.19230769230769232</v>
      </c>
      <c r="L84" s="670">
        <v>7</v>
      </c>
      <c r="M84" s="660">
        <f>L84/M$71</f>
        <v>0.25925925925925924</v>
      </c>
      <c r="N84" s="670">
        <v>8</v>
      </c>
      <c r="O84" s="660">
        <f>N84/O$71</f>
        <v>0.2857142857142857</v>
      </c>
      <c r="P84" s="670">
        <v>8</v>
      </c>
      <c r="Q84" s="660">
        <f>P84/Q$71</f>
        <v>0.30769230769230771</v>
      </c>
      <c r="R84" s="670">
        <v>10</v>
      </c>
      <c r="S84" s="660">
        <f>R84/S$71</f>
        <v>0.37037037037037035</v>
      </c>
      <c r="T84" s="670">
        <v>8</v>
      </c>
      <c r="U84" s="661">
        <f>T84/U$71</f>
        <v>0.29629629629629628</v>
      </c>
      <c r="V84" s="333"/>
      <c r="W84" s="662">
        <f t="shared" si="40"/>
        <v>8.1999999999999993</v>
      </c>
      <c r="X84" s="663">
        <f t="shared" si="40"/>
        <v>0.30386650386650388</v>
      </c>
    </row>
    <row r="85" spans="1:24" s="1" customFormat="1" ht="18" customHeight="1" x14ac:dyDescent="0.2">
      <c r="A85" s="886" t="s">
        <v>114</v>
      </c>
      <c r="B85" s="671"/>
      <c r="C85" s="654"/>
      <c r="D85" s="671"/>
      <c r="E85" s="655"/>
      <c r="F85" s="672"/>
      <c r="G85" s="655"/>
      <c r="H85" s="672"/>
      <c r="I85" s="655"/>
      <c r="J85" s="672"/>
      <c r="K85" s="655"/>
      <c r="L85" s="672"/>
      <c r="M85" s="655"/>
      <c r="N85" s="672"/>
      <c r="O85" s="655"/>
      <c r="P85" s="672"/>
      <c r="Q85" s="655"/>
      <c r="R85" s="672"/>
      <c r="S85" s="655"/>
      <c r="T85" s="672"/>
      <c r="U85" s="656"/>
      <c r="V85" s="333"/>
      <c r="W85" s="657"/>
      <c r="X85" s="658"/>
    </row>
    <row r="86" spans="1:24" s="1" customFormat="1" ht="12" x14ac:dyDescent="0.2">
      <c r="A86" s="326" t="s">
        <v>115</v>
      </c>
      <c r="B86" s="341">
        <v>20</v>
      </c>
      <c r="C86" s="328">
        <f>B86/C$71</f>
        <v>0.8</v>
      </c>
      <c r="D86" s="341">
        <v>21</v>
      </c>
      <c r="E86" s="329">
        <f>D86/E$71</f>
        <v>0.80769230769230771</v>
      </c>
      <c r="F86" s="342">
        <v>21</v>
      </c>
      <c r="G86" s="329">
        <f>F86/G$71</f>
        <v>0.77777777777777779</v>
      </c>
      <c r="H86" s="342">
        <f>19+1</f>
        <v>20</v>
      </c>
      <c r="I86" s="329">
        <f>H86/I$71</f>
        <v>0.83333333333333337</v>
      </c>
      <c r="J86" s="342">
        <f>1+19</f>
        <v>20</v>
      </c>
      <c r="K86" s="329">
        <f>J86/K$71</f>
        <v>0.76923076923076927</v>
      </c>
      <c r="L86" s="342">
        <v>21</v>
      </c>
      <c r="M86" s="329">
        <f>L86/M$71</f>
        <v>0.77777777777777779</v>
      </c>
      <c r="N86" s="342">
        <v>20</v>
      </c>
      <c r="O86" s="329">
        <f>N86/O$71</f>
        <v>0.7142857142857143</v>
      </c>
      <c r="P86" s="342">
        <v>18</v>
      </c>
      <c r="Q86" s="329">
        <f>P86/Q$71</f>
        <v>0.69230769230769229</v>
      </c>
      <c r="R86" s="342">
        <v>15</v>
      </c>
      <c r="S86" s="329">
        <f>R86/S$71</f>
        <v>0.55555555555555558</v>
      </c>
      <c r="T86" s="342">
        <v>15</v>
      </c>
      <c r="U86" s="332">
        <f>T86/U$71</f>
        <v>0.55555555555555558</v>
      </c>
      <c r="V86" s="333"/>
      <c r="W86" s="334">
        <f t="shared" si="40"/>
        <v>17.8</v>
      </c>
      <c r="X86" s="335">
        <f t="shared" si="40"/>
        <v>0.65909645909645909</v>
      </c>
    </row>
    <row r="87" spans="1:24" s="1" customFormat="1" ht="12" x14ac:dyDescent="0.2">
      <c r="A87" s="326" t="s">
        <v>116</v>
      </c>
      <c r="B87" s="341">
        <v>4</v>
      </c>
      <c r="C87" s="328">
        <f>B87/C$71</f>
        <v>0.16</v>
      </c>
      <c r="D87" s="341">
        <v>4</v>
      </c>
      <c r="E87" s="329">
        <f>D87/E$71</f>
        <v>0.15384615384615385</v>
      </c>
      <c r="F87" s="342">
        <v>4</v>
      </c>
      <c r="G87" s="329">
        <f>F87/G$71</f>
        <v>0.14814814814814814</v>
      </c>
      <c r="H87" s="342">
        <f>5</f>
        <v>5</v>
      </c>
      <c r="I87" s="329">
        <f>H87/I$71</f>
        <v>0.20833333333333334</v>
      </c>
      <c r="J87" s="342">
        <f>5</f>
        <v>5</v>
      </c>
      <c r="K87" s="329">
        <f>J87/K$71</f>
        <v>0.19230769230769232</v>
      </c>
      <c r="L87" s="342">
        <v>4</v>
      </c>
      <c r="M87" s="329">
        <f>L87/M$71</f>
        <v>0.14814814814814814</v>
      </c>
      <c r="N87" s="342">
        <v>6</v>
      </c>
      <c r="O87" s="329">
        <f>N87/O$71</f>
        <v>0.21428571428571427</v>
      </c>
      <c r="P87" s="342">
        <v>6</v>
      </c>
      <c r="Q87" s="329">
        <f>P87/Q$71</f>
        <v>0.23076923076923078</v>
      </c>
      <c r="R87" s="342">
        <v>8</v>
      </c>
      <c r="S87" s="329">
        <f>R87/S$71</f>
        <v>0.29629629629629628</v>
      </c>
      <c r="T87" s="342">
        <v>8</v>
      </c>
      <c r="U87" s="332">
        <f>T87/U$71</f>
        <v>0.29629629629629628</v>
      </c>
      <c r="V87" s="333"/>
      <c r="W87" s="334">
        <f t="shared" si="40"/>
        <v>6.4</v>
      </c>
      <c r="X87" s="335">
        <f t="shared" si="40"/>
        <v>0.23715913715913714</v>
      </c>
    </row>
    <row r="88" spans="1:24" s="1" customFormat="1" thickBot="1" x14ac:dyDescent="0.25">
      <c r="A88" s="336" t="s">
        <v>117</v>
      </c>
      <c r="B88" s="669">
        <v>1</v>
      </c>
      <c r="C88" s="659">
        <f>B88/C$71</f>
        <v>0.04</v>
      </c>
      <c r="D88" s="669">
        <v>1</v>
      </c>
      <c r="E88" s="660">
        <f>D88/E$71</f>
        <v>3.8461538461538464E-2</v>
      </c>
      <c r="F88" s="670">
        <v>2</v>
      </c>
      <c r="G88" s="660">
        <f>F88/G$71</f>
        <v>7.407407407407407E-2</v>
      </c>
      <c r="H88" s="670">
        <f>1</f>
        <v>1</v>
      </c>
      <c r="I88" s="660">
        <f>H88/I$71</f>
        <v>4.1666666666666664E-2</v>
      </c>
      <c r="J88" s="670">
        <f>1</f>
        <v>1</v>
      </c>
      <c r="K88" s="660">
        <f>J88/K$71</f>
        <v>3.8461538461538464E-2</v>
      </c>
      <c r="L88" s="670">
        <v>2</v>
      </c>
      <c r="M88" s="660">
        <f>L88/M$71</f>
        <v>7.407407407407407E-2</v>
      </c>
      <c r="N88" s="670">
        <v>2</v>
      </c>
      <c r="O88" s="660">
        <f>N88/O$71</f>
        <v>7.1428571428571425E-2</v>
      </c>
      <c r="P88" s="670">
        <v>2</v>
      </c>
      <c r="Q88" s="660">
        <f>P88/Q$71</f>
        <v>7.6923076923076927E-2</v>
      </c>
      <c r="R88" s="670">
        <v>4</v>
      </c>
      <c r="S88" s="660">
        <f>R88/S$71</f>
        <v>0.14814814814814814</v>
      </c>
      <c r="T88" s="670">
        <v>4</v>
      </c>
      <c r="U88" s="661">
        <f>T88/U$71</f>
        <v>0.14814814814814814</v>
      </c>
      <c r="V88" s="333"/>
      <c r="W88" s="662">
        <f t="shared" si="40"/>
        <v>2.8</v>
      </c>
      <c r="X88" s="663">
        <f t="shared" si="40"/>
        <v>0.10374440374440375</v>
      </c>
    </row>
    <row r="89" spans="1:24" s="1" customFormat="1" ht="18" customHeight="1" x14ac:dyDescent="0.2">
      <c r="A89" s="886" t="s">
        <v>118</v>
      </c>
      <c r="B89" s="671"/>
      <c r="C89" s="654"/>
      <c r="D89" s="671"/>
      <c r="E89" s="655"/>
      <c r="F89" s="672"/>
      <c r="G89" s="655"/>
      <c r="H89" s="672"/>
      <c r="I89" s="655"/>
      <c r="J89" s="672"/>
      <c r="K89" s="655"/>
      <c r="L89" s="672"/>
      <c r="M89" s="655"/>
      <c r="N89" s="672"/>
      <c r="O89" s="655"/>
      <c r="P89" s="672"/>
      <c r="Q89" s="655"/>
      <c r="R89" s="672"/>
      <c r="S89" s="655"/>
      <c r="T89" s="672"/>
      <c r="U89" s="656"/>
      <c r="V89" s="333"/>
      <c r="W89" s="657"/>
      <c r="X89" s="658"/>
    </row>
    <row r="90" spans="1:24" s="1" customFormat="1" ht="12" x14ac:dyDescent="0.2">
      <c r="A90" s="326" t="s">
        <v>119</v>
      </c>
      <c r="B90" s="341">
        <v>24</v>
      </c>
      <c r="C90" s="328">
        <f>B90/C$71</f>
        <v>0.96</v>
      </c>
      <c r="D90" s="341">
        <v>25</v>
      </c>
      <c r="E90" s="329">
        <f>D90/E$71</f>
        <v>0.96153846153846156</v>
      </c>
      <c r="F90" s="342">
        <v>26</v>
      </c>
      <c r="G90" s="329">
        <f>F90/G$71</f>
        <v>0.96296296296296291</v>
      </c>
      <c r="H90" s="342">
        <f>24+1</f>
        <v>25</v>
      </c>
      <c r="I90" s="329">
        <f>H90/I$71</f>
        <v>1.0416666666666667</v>
      </c>
      <c r="J90" s="342">
        <f>1+24</f>
        <v>25</v>
      </c>
      <c r="K90" s="329">
        <f>J90/K$71</f>
        <v>0.96153846153846156</v>
      </c>
      <c r="L90" s="342">
        <v>26</v>
      </c>
      <c r="M90" s="329">
        <f>L90/M$71</f>
        <v>0.96296296296296291</v>
      </c>
      <c r="N90" s="342">
        <v>27</v>
      </c>
      <c r="O90" s="329">
        <f>N90/O$71</f>
        <v>0.9642857142857143</v>
      </c>
      <c r="P90" s="342">
        <v>25</v>
      </c>
      <c r="Q90" s="329">
        <f>P90/Q$71</f>
        <v>0.96153846153846156</v>
      </c>
      <c r="R90" s="342">
        <v>25</v>
      </c>
      <c r="S90" s="329">
        <f>R90/S$71</f>
        <v>0.92592592592592593</v>
      </c>
      <c r="T90" s="342">
        <v>25</v>
      </c>
      <c r="U90" s="332">
        <f>T90/U$71</f>
        <v>0.92592592592592593</v>
      </c>
      <c r="V90" s="333"/>
      <c r="W90" s="334">
        <f t="shared" si="40"/>
        <v>25.6</v>
      </c>
      <c r="X90" s="335">
        <f t="shared" si="40"/>
        <v>0.94812779812779824</v>
      </c>
    </row>
    <row r="91" spans="1:24" s="1" customFormat="1" ht="12" x14ac:dyDescent="0.2">
      <c r="A91" s="326" t="s">
        <v>120</v>
      </c>
      <c r="B91" s="341">
        <v>1</v>
      </c>
      <c r="C91" s="328">
        <f>B91/C$71</f>
        <v>0.04</v>
      </c>
      <c r="D91" s="341">
        <v>1</v>
      </c>
      <c r="E91" s="329">
        <f>D91/E$71</f>
        <v>3.8461538461538464E-2</v>
      </c>
      <c r="F91" s="342">
        <v>1</v>
      </c>
      <c r="G91" s="329">
        <f>F91/G$71</f>
        <v>3.7037037037037035E-2</v>
      </c>
      <c r="H91" s="342">
        <v>1</v>
      </c>
      <c r="I91" s="329">
        <f>H91/I$71</f>
        <v>4.1666666666666664E-2</v>
      </c>
      <c r="J91" s="342">
        <f>1</f>
        <v>1</v>
      </c>
      <c r="K91" s="329">
        <f>J91/K$71</f>
        <v>3.8461538461538464E-2</v>
      </c>
      <c r="L91" s="342">
        <v>1</v>
      </c>
      <c r="M91" s="329">
        <f>L91/M$71</f>
        <v>3.7037037037037035E-2</v>
      </c>
      <c r="N91" s="342">
        <v>1</v>
      </c>
      <c r="O91" s="329">
        <f>N91/O$71</f>
        <v>3.5714285714285712E-2</v>
      </c>
      <c r="P91" s="342">
        <v>1</v>
      </c>
      <c r="Q91" s="329">
        <f>P91/Q$71</f>
        <v>3.8461538461538464E-2</v>
      </c>
      <c r="R91" s="342">
        <v>1</v>
      </c>
      <c r="S91" s="329">
        <f>R91/S$71</f>
        <v>3.7037037037037035E-2</v>
      </c>
      <c r="T91" s="342">
        <v>1</v>
      </c>
      <c r="U91" s="332">
        <f>T91/U$71</f>
        <v>3.7037037037037035E-2</v>
      </c>
      <c r="V91" s="333"/>
      <c r="W91" s="334">
        <f t="shared" si="40"/>
        <v>1</v>
      </c>
      <c r="X91" s="335">
        <f t="shared" si="40"/>
        <v>3.7057387057387051E-2</v>
      </c>
    </row>
    <row r="92" spans="1:24" s="1" customFormat="1" ht="12" x14ac:dyDescent="0.2">
      <c r="A92" s="326" t="s">
        <v>121</v>
      </c>
      <c r="B92" s="341">
        <v>0</v>
      </c>
      <c r="C92" s="328">
        <f>B92/C$71</f>
        <v>0</v>
      </c>
      <c r="D92" s="341">
        <v>0</v>
      </c>
      <c r="E92" s="329">
        <f>D92/E$71</f>
        <v>0</v>
      </c>
      <c r="F92" s="342">
        <v>0</v>
      </c>
      <c r="G92" s="329">
        <f>F92/G$71</f>
        <v>0</v>
      </c>
      <c r="H92" s="342">
        <v>0</v>
      </c>
      <c r="I92" s="329">
        <f>H92/I$71</f>
        <v>0</v>
      </c>
      <c r="J92" s="342">
        <f>0</f>
        <v>0</v>
      </c>
      <c r="K92" s="329">
        <f>J92/K$71</f>
        <v>0</v>
      </c>
      <c r="L92" s="342">
        <v>0</v>
      </c>
      <c r="M92" s="329">
        <f>L92/M$71</f>
        <v>0</v>
      </c>
      <c r="N92" s="342">
        <v>0</v>
      </c>
      <c r="O92" s="329">
        <f>N92/O$71</f>
        <v>0</v>
      </c>
      <c r="P92" s="342">
        <v>0</v>
      </c>
      <c r="Q92" s="329">
        <f>P92/Q$71</f>
        <v>0</v>
      </c>
      <c r="R92" s="342">
        <v>1</v>
      </c>
      <c r="S92" s="329">
        <f>R92/S$71</f>
        <v>3.7037037037037035E-2</v>
      </c>
      <c r="T92" s="342">
        <v>1</v>
      </c>
      <c r="U92" s="332">
        <f>T92/U$71</f>
        <v>3.7037037037037035E-2</v>
      </c>
      <c r="V92" s="320"/>
      <c r="W92" s="334">
        <f t="shared" si="40"/>
        <v>0.4</v>
      </c>
      <c r="X92" s="335">
        <f t="shared" si="40"/>
        <v>1.4814814814814814E-2</v>
      </c>
    </row>
    <row r="93" spans="1:24" s="1" customFormat="1" thickBot="1" x14ac:dyDescent="0.25">
      <c r="A93" s="344" t="s">
        <v>122</v>
      </c>
      <c r="B93" s="345">
        <v>0</v>
      </c>
      <c r="C93" s="346">
        <f>B93/C$71</f>
        <v>0</v>
      </c>
      <c r="D93" s="345">
        <v>0</v>
      </c>
      <c r="E93" s="347">
        <f>D93/E$71</f>
        <v>0</v>
      </c>
      <c r="F93" s="348">
        <v>0</v>
      </c>
      <c r="G93" s="347">
        <f>F93/G$71</f>
        <v>0</v>
      </c>
      <c r="H93" s="348">
        <v>0</v>
      </c>
      <c r="I93" s="347">
        <f>H93/I$71</f>
        <v>0</v>
      </c>
      <c r="J93" s="348">
        <f>0</f>
        <v>0</v>
      </c>
      <c r="K93" s="347">
        <f>J93/K$71</f>
        <v>0</v>
      </c>
      <c r="L93" s="348">
        <v>0</v>
      </c>
      <c r="M93" s="347">
        <f>L93/M$71</f>
        <v>0</v>
      </c>
      <c r="N93" s="348">
        <v>0</v>
      </c>
      <c r="O93" s="347">
        <f>N93/O$71</f>
        <v>0</v>
      </c>
      <c r="P93" s="348">
        <v>0</v>
      </c>
      <c r="Q93" s="347">
        <f>P93/Q$71</f>
        <v>0</v>
      </c>
      <c r="R93" s="348">
        <v>0</v>
      </c>
      <c r="S93" s="347">
        <f>R93/S$71</f>
        <v>0</v>
      </c>
      <c r="T93" s="348">
        <v>0</v>
      </c>
      <c r="U93" s="349">
        <f>T93/U$71</f>
        <v>0</v>
      </c>
      <c r="V93" s="320"/>
      <c r="W93" s="350">
        <f t="shared" si="40"/>
        <v>0</v>
      </c>
      <c r="X93" s="351">
        <f t="shared" si="40"/>
        <v>0</v>
      </c>
    </row>
    <row r="94" spans="1:24" ht="13.5" thickTop="1" x14ac:dyDescent="0.2">
      <c r="A94" s="635" t="s">
        <v>251</v>
      </c>
    </row>
    <row r="95" spans="1:24" x14ac:dyDescent="0.2">
      <c r="A95" s="1"/>
      <c r="H95" s="26" t="s">
        <v>16</v>
      </c>
      <c r="J95" s="26" t="s">
        <v>16</v>
      </c>
      <c r="L95" s="26" t="s">
        <v>16</v>
      </c>
      <c r="N95" s="26" t="s">
        <v>16</v>
      </c>
      <c r="P95" s="26" t="s">
        <v>16</v>
      </c>
      <c r="R95" s="26" t="s">
        <v>16</v>
      </c>
      <c r="T95" s="26" t="s">
        <v>16</v>
      </c>
    </row>
    <row r="96" spans="1:24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</sheetData>
  <mergeCells count="77">
    <mergeCell ref="N59:O59"/>
    <mergeCell ref="P59:Q59"/>
    <mergeCell ref="R59:S59"/>
    <mergeCell ref="W59:X59"/>
    <mergeCell ref="B59:C59"/>
    <mergeCell ref="D59:E59"/>
    <mergeCell ref="F59:G59"/>
    <mergeCell ref="H59:I59"/>
    <mergeCell ref="J59:K59"/>
    <mergeCell ref="L59:M59"/>
    <mergeCell ref="T59:U59"/>
    <mergeCell ref="N9:O9"/>
    <mergeCell ref="P9:Q9"/>
    <mergeCell ref="R9:S9"/>
    <mergeCell ref="W9:X9"/>
    <mergeCell ref="B9:C9"/>
    <mergeCell ref="D9:E9"/>
    <mergeCell ref="F9:G9"/>
    <mergeCell ref="H9:I9"/>
    <mergeCell ref="J9:K9"/>
    <mergeCell ref="L9:M9"/>
    <mergeCell ref="T9:U9"/>
    <mergeCell ref="L30:M30"/>
    <mergeCell ref="N30:O30"/>
    <mergeCell ref="P30:Q30"/>
    <mergeCell ref="R30:S30"/>
    <mergeCell ref="W30:X30"/>
    <mergeCell ref="T30:U30"/>
    <mergeCell ref="B30:C30"/>
    <mergeCell ref="D30:E30"/>
    <mergeCell ref="F30:G30"/>
    <mergeCell ref="H30:I30"/>
    <mergeCell ref="J30:K30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W39:X39"/>
    <mergeCell ref="T39:U39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W43:X43"/>
    <mergeCell ref="T43:U43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W50:X50"/>
    <mergeCell ref="T50:U50"/>
    <mergeCell ref="B53:C53"/>
    <mergeCell ref="D53:E53"/>
    <mergeCell ref="F53:G53"/>
    <mergeCell ref="H53:I53"/>
    <mergeCell ref="J53:K53"/>
    <mergeCell ref="N53:O53"/>
    <mergeCell ref="P53:Q53"/>
    <mergeCell ref="R53:S53"/>
    <mergeCell ref="W53:X53"/>
    <mergeCell ref="L53:M53"/>
    <mergeCell ref="T53:U53"/>
  </mergeCells>
  <pageMargins left="0.7" right="0.7" top="0.5" bottom="0.5" header="0.3" footer="0.3"/>
  <pageSetup scale="67" orientation="landscape" r:id="rId1"/>
  <headerFooter>
    <oddFooter>&amp;LPrepared by Planning and Analysis&amp;C&amp;P of &amp;N&amp;RUpdated &amp;D</oddFooter>
  </headerFooter>
  <rowBreaks count="1" manualBreakCount="1">
    <brk id="57" max="21" man="1"/>
  </rowBreaks>
  <colBreaks count="1" manualBreakCount="1">
    <brk id="21" min="8" max="93" man="1"/>
  </colBreaks>
  <ignoredErrors>
    <ignoredError sqref="H74:J9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415"/>
  <sheetViews>
    <sheetView topLeftCell="A4" zoomScaleNormal="100" zoomScaleSheetLayoutView="85" workbookViewId="0">
      <pane xSplit="5" topLeftCell="K1" activePane="topRight" state="frozen"/>
      <selection activeCell="U23" sqref="U23"/>
      <selection pane="topRight" activeCell="U23" sqref="U23"/>
    </sheetView>
  </sheetViews>
  <sheetFormatPr defaultColWidth="10.28515625" defaultRowHeight="12.75" x14ac:dyDescent="0.2"/>
  <cols>
    <col min="1" max="1" width="35.57031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4" ht="15.75" x14ac:dyDescent="0.25">
      <c r="A1" s="636" t="s">
        <v>208</v>
      </c>
    </row>
    <row r="2" spans="1:24" ht="15.75" x14ac:dyDescent="0.25">
      <c r="A2" s="636" t="s">
        <v>209</v>
      </c>
    </row>
    <row r="3" spans="1:24" ht="6" customHeight="1" x14ac:dyDescent="0.25">
      <c r="A3" s="636"/>
    </row>
    <row r="4" spans="1:24" ht="15.75" x14ac:dyDescent="0.25">
      <c r="A4" s="157" t="s">
        <v>211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</row>
    <row r="5" spans="1:24" ht="5.25" customHeight="1" x14ac:dyDescent="0.25">
      <c r="A5" s="157"/>
    </row>
    <row r="6" spans="1:24" x14ac:dyDescent="0.2">
      <c r="A6" s="2" t="s">
        <v>210</v>
      </c>
    </row>
    <row r="7" spans="1:24" x14ac:dyDescent="0.2">
      <c r="A7" s="637">
        <v>3670010110</v>
      </c>
    </row>
    <row r="8" spans="1:24" ht="10.5" customHeight="1" thickBot="1" x14ac:dyDescent="0.25">
      <c r="A8" s="1"/>
    </row>
    <row r="9" spans="1:24" ht="18" customHeight="1" thickTop="1" thickBot="1" x14ac:dyDescent="0.25">
      <c r="A9" s="215"/>
      <c r="B9" s="1337" t="s">
        <v>0</v>
      </c>
      <c r="C9" s="1305"/>
      <c r="D9" s="1304" t="s">
        <v>1</v>
      </c>
      <c r="E9" s="1305"/>
      <c r="F9" s="1304" t="s">
        <v>2</v>
      </c>
      <c r="G9" s="1305"/>
      <c r="H9" s="1304" t="s">
        <v>3</v>
      </c>
      <c r="I9" s="1305"/>
      <c r="J9" s="1304" t="s">
        <v>4</v>
      </c>
      <c r="K9" s="1305"/>
      <c r="L9" s="1304" t="s">
        <v>5</v>
      </c>
      <c r="M9" s="1305"/>
      <c r="N9" s="1304" t="s">
        <v>6</v>
      </c>
      <c r="O9" s="1305"/>
      <c r="P9" s="1304" t="s">
        <v>7</v>
      </c>
      <c r="Q9" s="1305"/>
      <c r="R9" s="1304" t="s">
        <v>8</v>
      </c>
      <c r="S9" s="1305"/>
      <c r="T9" s="1304" t="s">
        <v>254</v>
      </c>
      <c r="U9" s="1306"/>
      <c r="W9" s="1302" t="s">
        <v>9</v>
      </c>
      <c r="X9" s="1303"/>
    </row>
    <row r="10" spans="1:24" ht="30.75" customHeight="1" thickBot="1" x14ac:dyDescent="0.25">
      <c r="A10" s="30" t="s">
        <v>205</v>
      </c>
      <c r="B10" s="927" t="s">
        <v>213</v>
      </c>
      <c r="C10" s="568" t="s">
        <v>198</v>
      </c>
      <c r="D10" s="676" t="s">
        <v>213</v>
      </c>
      <c r="E10" s="568" t="s">
        <v>198</v>
      </c>
      <c r="F10" s="677" t="s">
        <v>213</v>
      </c>
      <c r="G10" s="568" t="s">
        <v>198</v>
      </c>
      <c r="H10" s="677" t="s">
        <v>213</v>
      </c>
      <c r="I10" s="568" t="s">
        <v>198</v>
      </c>
      <c r="J10" s="677" t="s">
        <v>213</v>
      </c>
      <c r="K10" s="568" t="s">
        <v>198</v>
      </c>
      <c r="L10" s="677" t="s">
        <v>213</v>
      </c>
      <c r="M10" s="568" t="s">
        <v>198</v>
      </c>
      <c r="N10" s="677" t="s">
        <v>213</v>
      </c>
      <c r="O10" s="568" t="s">
        <v>198</v>
      </c>
      <c r="P10" s="677" t="s">
        <v>213</v>
      </c>
      <c r="Q10" s="568" t="s">
        <v>198</v>
      </c>
      <c r="R10" s="677" t="s">
        <v>213</v>
      </c>
      <c r="S10" s="568" t="s">
        <v>198</v>
      </c>
      <c r="T10" s="677" t="s">
        <v>213</v>
      </c>
      <c r="U10" s="646" t="s">
        <v>198</v>
      </c>
      <c r="W10" s="678" t="s">
        <v>213</v>
      </c>
      <c r="X10" s="645" t="s">
        <v>198</v>
      </c>
    </row>
    <row r="11" spans="1:24" ht="15" customHeight="1" x14ac:dyDescent="0.2">
      <c r="A11" s="257" t="s">
        <v>194</v>
      </c>
      <c r="B11" s="217"/>
      <c r="C11" s="218"/>
      <c r="D11" s="219"/>
      <c r="E11" s="220"/>
      <c r="F11" s="217"/>
      <c r="G11" s="220"/>
      <c r="H11" s="217"/>
      <c r="I11" s="220"/>
      <c r="J11" s="217"/>
      <c r="K11" s="220"/>
      <c r="L11" s="217"/>
      <c r="M11" s="220"/>
      <c r="N11" s="217"/>
      <c r="O11" s="220"/>
      <c r="P11" s="217"/>
      <c r="Q11" s="220"/>
      <c r="R11" s="217"/>
      <c r="S11" s="220"/>
      <c r="T11" s="217"/>
      <c r="U11" s="221"/>
      <c r="W11" s="222"/>
      <c r="X11" s="781"/>
    </row>
    <row r="12" spans="1:24" s="232" customFormat="1" ht="15" customHeight="1" x14ac:dyDescent="0.2">
      <c r="A12" s="224" t="s">
        <v>126</v>
      </c>
      <c r="B12" s="263">
        <v>2</v>
      </c>
      <c r="C12" s="261">
        <v>2</v>
      </c>
      <c r="D12" s="260">
        <v>2</v>
      </c>
      <c r="E12" s="262">
        <v>0</v>
      </c>
      <c r="F12" s="263">
        <v>2</v>
      </c>
      <c r="G12" s="262">
        <v>0</v>
      </c>
      <c r="H12" s="263">
        <v>2</v>
      </c>
      <c r="I12" s="262">
        <v>1</v>
      </c>
      <c r="J12" s="263">
        <v>3</v>
      </c>
      <c r="K12" s="262">
        <v>2</v>
      </c>
      <c r="L12" s="263">
        <v>7</v>
      </c>
      <c r="M12" s="262">
        <v>3</v>
      </c>
      <c r="N12" s="263">
        <v>3</v>
      </c>
      <c r="O12" s="262">
        <v>2</v>
      </c>
      <c r="P12" s="263">
        <v>7</v>
      </c>
      <c r="Q12" s="262">
        <v>6</v>
      </c>
      <c r="R12" s="263">
        <v>8</v>
      </c>
      <c r="S12" s="262">
        <v>6</v>
      </c>
      <c r="T12" s="263">
        <v>5</v>
      </c>
      <c r="U12" s="231"/>
      <c r="W12" s="222">
        <f>AVERAGE(N12,L12,R12,T12,P12)</f>
        <v>6</v>
      </c>
      <c r="X12" s="519">
        <f>AVERAGE(O12,M12,S12,K12,Q12)</f>
        <v>3.8</v>
      </c>
    </row>
    <row r="13" spans="1:24" s="232" customFormat="1" ht="15" customHeight="1" x14ac:dyDescent="0.2">
      <c r="A13" s="224" t="s">
        <v>88</v>
      </c>
      <c r="B13" s="263">
        <v>5</v>
      </c>
      <c r="C13" s="261">
        <v>2</v>
      </c>
      <c r="D13" s="260">
        <v>9</v>
      </c>
      <c r="E13" s="262">
        <v>1</v>
      </c>
      <c r="F13" s="263">
        <v>6</v>
      </c>
      <c r="G13" s="262">
        <v>3</v>
      </c>
      <c r="H13" s="263">
        <v>5</v>
      </c>
      <c r="I13" s="262">
        <v>0</v>
      </c>
      <c r="J13" s="263">
        <v>7</v>
      </c>
      <c r="K13" s="262">
        <v>4</v>
      </c>
      <c r="L13" s="263">
        <v>4</v>
      </c>
      <c r="M13" s="262">
        <v>0</v>
      </c>
      <c r="N13" s="263">
        <v>7</v>
      </c>
      <c r="O13" s="262">
        <v>4</v>
      </c>
      <c r="P13" s="263">
        <v>6</v>
      </c>
      <c r="Q13" s="262">
        <v>0</v>
      </c>
      <c r="R13" s="263">
        <v>4</v>
      </c>
      <c r="S13" s="262">
        <v>1</v>
      </c>
      <c r="T13" s="263">
        <v>2</v>
      </c>
      <c r="U13" s="231"/>
      <c r="W13" s="222">
        <f t="shared" ref="W13:W14" si="0">AVERAGE(N13,L13,R13,T13,P13)</f>
        <v>4.5999999999999996</v>
      </c>
      <c r="X13" s="519">
        <f t="shared" ref="X13:X14" si="1">AVERAGE(O13,M13,S13,K13,Q13)</f>
        <v>1.8</v>
      </c>
    </row>
    <row r="14" spans="1:24" s="232" customFormat="1" ht="15" customHeight="1" thickBot="1" x14ac:dyDescent="0.25">
      <c r="A14" s="572" t="s">
        <v>169</v>
      </c>
      <c r="B14" s="573">
        <v>14</v>
      </c>
      <c r="C14" s="574">
        <v>4</v>
      </c>
      <c r="D14" s="575">
        <v>13</v>
      </c>
      <c r="E14" s="576">
        <v>0</v>
      </c>
      <c r="F14" s="573">
        <v>19</v>
      </c>
      <c r="G14" s="576">
        <v>2</v>
      </c>
      <c r="H14" s="573">
        <v>15</v>
      </c>
      <c r="I14" s="576">
        <v>3</v>
      </c>
      <c r="J14" s="573">
        <v>15</v>
      </c>
      <c r="K14" s="576">
        <v>1</v>
      </c>
      <c r="L14" s="573">
        <v>16</v>
      </c>
      <c r="M14" s="576">
        <v>1</v>
      </c>
      <c r="N14" s="573">
        <v>15</v>
      </c>
      <c r="O14" s="576">
        <v>2</v>
      </c>
      <c r="P14" s="573">
        <v>15</v>
      </c>
      <c r="Q14" s="576">
        <v>2</v>
      </c>
      <c r="R14" s="573">
        <v>12</v>
      </c>
      <c r="S14" s="576">
        <v>3</v>
      </c>
      <c r="T14" s="573">
        <v>9</v>
      </c>
      <c r="U14" s="851"/>
      <c r="W14" s="222">
        <f t="shared" si="0"/>
        <v>13.4</v>
      </c>
      <c r="X14" s="519">
        <f t="shared" si="1"/>
        <v>1.8</v>
      </c>
    </row>
    <row r="15" spans="1:24" ht="18" customHeight="1" thickTop="1" thickBot="1" x14ac:dyDescent="0.25">
      <c r="A15" s="32" t="s">
        <v>206</v>
      </c>
      <c r="B15" s="928"/>
      <c r="C15" s="565"/>
      <c r="D15" s="564"/>
      <c r="E15" s="565"/>
      <c r="F15" s="564"/>
      <c r="G15" s="565"/>
      <c r="H15" s="564"/>
      <c r="I15" s="565"/>
      <c r="J15" s="564"/>
      <c r="K15" s="565"/>
      <c r="L15" s="564"/>
      <c r="M15" s="565"/>
      <c r="N15" s="564"/>
      <c r="O15" s="565"/>
      <c r="P15" s="564"/>
      <c r="Q15" s="565"/>
      <c r="R15" s="1226"/>
      <c r="S15" s="1227"/>
      <c r="T15" s="1209"/>
      <c r="U15" s="1210"/>
      <c r="V15" s="199"/>
      <c r="W15" s="566"/>
      <c r="X15" s="567"/>
    </row>
    <row r="16" spans="1:24" x14ac:dyDescent="0.2">
      <c r="A16" s="625" t="s">
        <v>230</v>
      </c>
      <c r="B16" s="929"/>
      <c r="C16" s="626"/>
      <c r="D16" s="627"/>
      <c r="E16" s="626"/>
      <c r="F16" s="627"/>
      <c r="G16" s="626"/>
      <c r="H16" s="627"/>
      <c r="I16" s="626"/>
      <c r="J16" s="627"/>
      <c r="K16" s="626"/>
      <c r="L16" s="627"/>
      <c r="M16" s="626"/>
      <c r="N16" s="627"/>
      <c r="O16" s="626"/>
      <c r="P16" s="627"/>
      <c r="Q16" s="626"/>
      <c r="R16" s="627"/>
      <c r="S16" s="626"/>
      <c r="T16" s="627"/>
      <c r="U16" s="628"/>
      <c r="V16" s="917"/>
      <c r="W16" s="629"/>
      <c r="X16" s="630" t="e">
        <f t="shared" ref="X16" si="2">AVERAGE(O16,M16,I16,K16,Q16)</f>
        <v>#DIV/0!</v>
      </c>
    </row>
    <row r="17" spans="1:27" s="232" customFormat="1" ht="15" customHeight="1" thickBot="1" x14ac:dyDescent="0.25">
      <c r="A17" s="631" t="s">
        <v>96</v>
      </c>
      <c r="B17" s="930"/>
      <c r="C17" s="397"/>
      <c r="D17" s="396"/>
      <c r="E17" s="397"/>
      <c r="F17" s="396"/>
      <c r="G17" s="397"/>
      <c r="H17" s="396"/>
      <c r="I17" s="397"/>
      <c r="J17" s="396"/>
      <c r="K17" s="397"/>
      <c r="L17" s="396"/>
      <c r="M17" s="397"/>
      <c r="N17" s="396"/>
      <c r="O17" s="397"/>
      <c r="P17" s="396"/>
      <c r="Q17" s="397"/>
      <c r="R17" s="396"/>
      <c r="S17" s="397"/>
      <c r="T17" s="396"/>
      <c r="U17" s="398"/>
      <c r="V17" s="435"/>
      <c r="W17" s="387"/>
      <c r="X17" s="388" t="e">
        <f>AVERAGE(O17,M17,I17,K17,Q17)</f>
        <v>#DIV/0!</v>
      </c>
    </row>
    <row r="18" spans="1:27" ht="18" customHeight="1" thickTop="1" thickBot="1" x14ac:dyDescent="0.25">
      <c r="A18" s="415" t="s">
        <v>17</v>
      </c>
      <c r="B18" s="1335"/>
      <c r="C18" s="1323"/>
      <c r="D18" s="1322"/>
      <c r="E18" s="1323"/>
      <c r="F18" s="1322"/>
      <c r="G18" s="1323"/>
      <c r="H18" s="1322"/>
      <c r="I18" s="1323"/>
      <c r="J18" s="1322"/>
      <c r="K18" s="1323"/>
      <c r="L18" s="1322"/>
      <c r="M18" s="1323"/>
      <c r="N18" s="1322"/>
      <c r="O18" s="1323"/>
      <c r="P18" s="1322"/>
      <c r="Q18" s="1323"/>
      <c r="R18" s="1322"/>
      <c r="S18" s="1323"/>
      <c r="T18" s="1322"/>
      <c r="U18" s="1299"/>
      <c r="V18" s="435"/>
      <c r="W18" s="1298"/>
      <c r="X18" s="1299"/>
    </row>
    <row r="19" spans="1:27" ht="15" customHeight="1" x14ac:dyDescent="0.2">
      <c r="A19" s="578" t="s">
        <v>18</v>
      </c>
      <c r="B19" s="416"/>
      <c r="C19" s="343"/>
      <c r="D19" s="417"/>
      <c r="E19" s="418"/>
      <c r="F19" s="416"/>
      <c r="G19" s="418"/>
      <c r="H19" s="416"/>
      <c r="I19" s="418"/>
      <c r="J19" s="416"/>
      <c r="K19" s="418"/>
      <c r="L19" s="416"/>
      <c r="M19" s="418"/>
      <c r="N19" s="416"/>
      <c r="O19" s="418"/>
      <c r="P19" s="416"/>
      <c r="Q19" s="418"/>
      <c r="R19" s="416"/>
      <c r="S19" s="418"/>
      <c r="T19" s="416"/>
      <c r="U19" s="419"/>
      <c r="V19" s="435"/>
      <c r="W19" s="420"/>
      <c r="X19" s="421"/>
    </row>
    <row r="20" spans="1:27" ht="15" customHeight="1" x14ac:dyDescent="0.2">
      <c r="A20" s="578" t="s">
        <v>19</v>
      </c>
      <c r="B20" s="416"/>
      <c r="C20" s="343">
        <v>322</v>
      </c>
      <c r="D20" s="417"/>
      <c r="E20" s="418">
        <v>282</v>
      </c>
      <c r="F20" s="416"/>
      <c r="G20" s="418">
        <v>329</v>
      </c>
      <c r="H20" s="416"/>
      <c r="I20" s="418">
        <v>405</v>
      </c>
      <c r="J20" s="416"/>
      <c r="K20" s="418">
        <v>378</v>
      </c>
      <c r="L20" s="416"/>
      <c r="M20" s="418">
        <v>431</v>
      </c>
      <c r="N20" s="416"/>
      <c r="O20" s="418">
        <v>512</v>
      </c>
      <c r="P20" s="416"/>
      <c r="Q20" s="418">
        <v>536</v>
      </c>
      <c r="R20" s="416"/>
      <c r="S20" s="418">
        <v>411</v>
      </c>
      <c r="T20" s="416"/>
      <c r="U20" s="19">
        <v>384</v>
      </c>
      <c r="V20" s="435"/>
      <c r="W20" s="422"/>
      <c r="X20" s="233">
        <f>AVERAGE(O20,M20,S20,K20,Q20)</f>
        <v>453.6</v>
      </c>
    </row>
    <row r="21" spans="1:27" ht="15" customHeight="1" x14ac:dyDescent="0.2">
      <c r="A21" s="578" t="s">
        <v>20</v>
      </c>
      <c r="B21" s="416"/>
      <c r="C21" s="343">
        <v>74</v>
      </c>
      <c r="D21" s="417"/>
      <c r="E21" s="418">
        <v>171</v>
      </c>
      <c r="F21" s="416"/>
      <c r="G21" s="418">
        <v>98</v>
      </c>
      <c r="H21" s="416"/>
      <c r="I21" s="418">
        <v>202</v>
      </c>
      <c r="J21" s="416"/>
      <c r="K21" s="418">
        <v>135</v>
      </c>
      <c r="L21" s="416"/>
      <c r="M21" s="418">
        <v>192</v>
      </c>
      <c r="N21" s="416"/>
      <c r="O21" s="418">
        <v>121</v>
      </c>
      <c r="P21" s="416"/>
      <c r="Q21" s="418">
        <v>246</v>
      </c>
      <c r="R21" s="416"/>
      <c r="S21" s="418">
        <v>86</v>
      </c>
      <c r="T21" s="416"/>
      <c r="U21" s="19">
        <v>157</v>
      </c>
      <c r="V21" s="435"/>
      <c r="W21" s="422"/>
      <c r="X21" s="233">
        <f t="shared" ref="X21:X23" si="3">AVERAGE(O21,M21,S21,K21,Q21)</f>
        <v>156</v>
      </c>
    </row>
    <row r="22" spans="1:27" ht="15" customHeight="1" thickBot="1" x14ac:dyDescent="0.25">
      <c r="A22" s="834" t="s">
        <v>21</v>
      </c>
      <c r="B22" s="252"/>
      <c r="C22" s="423">
        <v>167</v>
      </c>
      <c r="D22" s="417"/>
      <c r="E22" s="424">
        <v>148</v>
      </c>
      <c r="F22" s="416"/>
      <c r="G22" s="424">
        <v>198</v>
      </c>
      <c r="H22" s="416"/>
      <c r="I22" s="424">
        <v>179</v>
      </c>
      <c r="J22" s="416"/>
      <c r="K22" s="424">
        <v>246</v>
      </c>
      <c r="L22" s="416"/>
      <c r="M22" s="424">
        <v>211</v>
      </c>
      <c r="N22" s="416"/>
      <c r="O22" s="424">
        <v>287</v>
      </c>
      <c r="P22" s="416"/>
      <c r="Q22" s="424">
        <v>289</v>
      </c>
      <c r="R22" s="416"/>
      <c r="S22" s="424">
        <v>300</v>
      </c>
      <c r="T22" s="252"/>
      <c r="U22" s="46">
        <v>215</v>
      </c>
      <c r="V22" s="435"/>
      <c r="W22" s="1220"/>
      <c r="X22" s="1221">
        <f t="shared" si="3"/>
        <v>266.60000000000002</v>
      </c>
    </row>
    <row r="23" spans="1:27" ht="15" customHeight="1" thickBot="1" x14ac:dyDescent="0.25">
      <c r="A23" s="835" t="s">
        <v>22</v>
      </c>
      <c r="B23" s="426"/>
      <c r="C23" s="427">
        <f>SUM(C19:C22)</f>
        <v>563</v>
      </c>
      <c r="D23" s="428"/>
      <c r="E23" s="429">
        <f>SUM(E19:E22)</f>
        <v>601</v>
      </c>
      <c r="F23" s="426"/>
      <c r="G23" s="429">
        <f>SUM(G19:G22)</f>
        <v>625</v>
      </c>
      <c r="H23" s="426"/>
      <c r="I23" s="429">
        <f>SUM(I19:I22)</f>
        <v>786</v>
      </c>
      <c r="J23" s="426"/>
      <c r="K23" s="429">
        <f>SUM(K19:K22)</f>
        <v>759</v>
      </c>
      <c r="L23" s="426"/>
      <c r="M23" s="429">
        <f>SUM(M19:M22)</f>
        <v>834</v>
      </c>
      <c r="N23" s="426"/>
      <c r="O23" s="429">
        <f>SUM(O19:O22)</f>
        <v>920</v>
      </c>
      <c r="P23" s="426"/>
      <c r="Q23" s="429">
        <f>SUM(Q19:Q22)</f>
        <v>1071</v>
      </c>
      <c r="R23" s="426"/>
      <c r="S23" s="429">
        <f>SUM(S19:S22)</f>
        <v>797</v>
      </c>
      <c r="T23" s="426"/>
      <c r="U23" s="51">
        <f>SUM(U19:U22)</f>
        <v>756</v>
      </c>
      <c r="V23" s="435"/>
      <c r="W23" s="502"/>
      <c r="X23" s="430">
        <f t="shared" si="3"/>
        <v>876.2</v>
      </c>
    </row>
    <row r="24" spans="1:27" s="41" customFormat="1" ht="15" customHeight="1" thickTop="1" thickBot="1" x14ac:dyDescent="0.25">
      <c r="A24" s="935"/>
      <c r="B24" s="433"/>
      <c r="C24" s="549"/>
      <c r="D24" s="433"/>
      <c r="E24" s="549"/>
      <c r="F24" s="433"/>
      <c r="G24" s="549"/>
      <c r="H24" s="433"/>
      <c r="I24" s="549"/>
      <c r="J24" s="433"/>
      <c r="K24" s="549"/>
      <c r="L24" s="433"/>
      <c r="M24" s="549"/>
      <c r="N24" s="433"/>
      <c r="O24" s="549"/>
      <c r="P24" s="433"/>
      <c r="Q24" s="549"/>
      <c r="R24" s="433"/>
      <c r="S24" s="549"/>
      <c r="T24" s="433"/>
      <c r="U24" s="919"/>
      <c r="V24" s="435"/>
      <c r="W24" s="555"/>
      <c r="X24" s="549"/>
    </row>
    <row r="25" spans="1:27" ht="18" customHeight="1" thickTop="1" thickBot="1" x14ac:dyDescent="0.25">
      <c r="A25" s="352" t="s">
        <v>23</v>
      </c>
      <c r="B25" s="1334" t="s">
        <v>24</v>
      </c>
      <c r="C25" s="1301"/>
      <c r="D25" s="1296" t="s">
        <v>25</v>
      </c>
      <c r="E25" s="1297"/>
      <c r="F25" s="1296" t="s">
        <v>26</v>
      </c>
      <c r="G25" s="1297"/>
      <c r="H25" s="1296" t="s">
        <v>27</v>
      </c>
      <c r="I25" s="1297"/>
      <c r="J25" s="1296" t="s">
        <v>28</v>
      </c>
      <c r="K25" s="1297"/>
      <c r="L25" s="1296" t="s">
        <v>29</v>
      </c>
      <c r="M25" s="1297"/>
      <c r="N25" s="1296" t="s">
        <v>30</v>
      </c>
      <c r="O25" s="1297"/>
      <c r="P25" s="1296" t="s">
        <v>31</v>
      </c>
      <c r="Q25" s="1297"/>
      <c r="R25" s="1296" t="s">
        <v>32</v>
      </c>
      <c r="S25" s="1297"/>
      <c r="T25" s="1296" t="s">
        <v>32</v>
      </c>
      <c r="U25" s="1300"/>
      <c r="V25" s="918"/>
      <c r="W25" s="1298" t="s">
        <v>9</v>
      </c>
      <c r="X25" s="1299"/>
      <c r="Y25" s="23"/>
      <c r="Z25" s="23"/>
      <c r="AA25" s="24"/>
    </row>
    <row r="26" spans="1:27" ht="15" customHeight="1" x14ac:dyDescent="0.2">
      <c r="A26" s="632" t="s">
        <v>202</v>
      </c>
      <c r="B26" s="931"/>
      <c r="C26" s="356">
        <v>0</v>
      </c>
      <c r="D26" s="357"/>
      <c r="E26" s="358">
        <v>0</v>
      </c>
      <c r="F26" s="359"/>
      <c r="G26" s="358">
        <v>0</v>
      </c>
      <c r="H26" s="359"/>
      <c r="I26" s="358">
        <v>0</v>
      </c>
      <c r="J26" s="359"/>
      <c r="K26" s="358">
        <v>0</v>
      </c>
      <c r="L26" s="359"/>
      <c r="M26" s="358">
        <v>0</v>
      </c>
      <c r="N26" s="359"/>
      <c r="O26" s="358">
        <v>0</v>
      </c>
      <c r="P26" s="359"/>
      <c r="Q26" s="358">
        <v>0</v>
      </c>
      <c r="R26" s="359"/>
      <c r="S26" s="358">
        <v>0</v>
      </c>
      <c r="T26" s="359"/>
      <c r="U26" s="360">
        <v>0</v>
      </c>
      <c r="V26" s="554"/>
      <c r="W26" s="362"/>
      <c r="X26" s="363">
        <f>AVERAGE(O26,M26,S26,U26,Q26)</f>
        <v>0</v>
      </c>
      <c r="Y26" s="23"/>
      <c r="Z26" s="23"/>
      <c r="AA26" s="24"/>
    </row>
    <row r="27" spans="1:27" ht="15" customHeight="1" x14ac:dyDescent="0.2">
      <c r="A27" s="633" t="s">
        <v>203</v>
      </c>
      <c r="B27" s="367"/>
      <c r="C27" s="366">
        <v>0.69099999999999995</v>
      </c>
      <c r="D27" s="365"/>
      <c r="E27" s="366">
        <v>0.54500000000000004</v>
      </c>
      <c r="F27" s="367"/>
      <c r="G27" s="366">
        <v>0.54</v>
      </c>
      <c r="H27" s="367"/>
      <c r="I27" s="366">
        <v>0.51900000000000002</v>
      </c>
      <c r="J27" s="367"/>
      <c r="K27" s="366">
        <v>0.43</v>
      </c>
      <c r="L27" s="367"/>
      <c r="M27" s="366">
        <v>0.38500000000000001</v>
      </c>
      <c r="N27" s="367"/>
      <c r="O27" s="366">
        <v>0.34699999999999998</v>
      </c>
      <c r="P27" s="367"/>
      <c r="Q27" s="366">
        <v>0.35799999999999998</v>
      </c>
      <c r="R27" s="367"/>
      <c r="S27" s="366">
        <v>0.308</v>
      </c>
      <c r="T27" s="367"/>
      <c r="U27" s="368">
        <v>0.22500000000000001</v>
      </c>
      <c r="V27" s="554"/>
      <c r="W27" s="369"/>
      <c r="X27" s="370">
        <f>AVERAGE(O27,M27,S27,U27,Q27)</f>
        <v>0.32460000000000006</v>
      </c>
      <c r="Y27" s="23"/>
      <c r="Z27" s="23"/>
      <c r="AA27" s="24"/>
    </row>
    <row r="28" spans="1:27" ht="15" customHeight="1" thickBot="1" x14ac:dyDescent="0.25">
      <c r="A28" s="634" t="s">
        <v>204</v>
      </c>
      <c r="B28" s="1336">
        <f>1-C26-C27</f>
        <v>0.30900000000000005</v>
      </c>
      <c r="C28" s="1321"/>
      <c r="D28" s="1320">
        <f>1-E26-E27</f>
        <v>0.45499999999999996</v>
      </c>
      <c r="E28" s="1321"/>
      <c r="F28" s="1320">
        <f>1-G26-G27</f>
        <v>0.45999999999999996</v>
      </c>
      <c r="G28" s="1321"/>
      <c r="H28" s="1320">
        <f>1-I26-I27</f>
        <v>0.48099999999999998</v>
      </c>
      <c r="I28" s="1321"/>
      <c r="J28" s="1320">
        <f>1-K26-K27</f>
        <v>0.57000000000000006</v>
      </c>
      <c r="K28" s="1321"/>
      <c r="L28" s="1320">
        <f>1-M26-M27</f>
        <v>0.61499999999999999</v>
      </c>
      <c r="M28" s="1321"/>
      <c r="N28" s="1320">
        <f>1-O26-O27</f>
        <v>0.65300000000000002</v>
      </c>
      <c r="O28" s="1321"/>
      <c r="P28" s="1320">
        <f>1-Q26-Q27</f>
        <v>0.64200000000000002</v>
      </c>
      <c r="Q28" s="1321"/>
      <c r="R28" s="1320">
        <f>1-S26-S27</f>
        <v>0.69199999999999995</v>
      </c>
      <c r="S28" s="1321"/>
      <c r="T28" s="1320">
        <f>1-U26-U27</f>
        <v>0.77500000000000002</v>
      </c>
      <c r="U28" s="1324"/>
      <c r="V28" s="554"/>
      <c r="W28" s="1325">
        <f>AVERAGE(N28,L28,R28,T28,P28)</f>
        <v>0.6754</v>
      </c>
      <c r="X28" s="1324" t="e">
        <f>AVERAGE(O28,M28,I28,K28,Q28)</f>
        <v>#DIV/0!</v>
      </c>
      <c r="Y28" s="25"/>
      <c r="Z28" s="23"/>
      <c r="AA28" s="24"/>
    </row>
    <row r="29" spans="1:27" s="2" customFormat="1" ht="18" customHeight="1" thickTop="1" thickBot="1" x14ac:dyDescent="0.25">
      <c r="A29" s="319" t="s">
        <v>199</v>
      </c>
      <c r="B29" s="932" t="s">
        <v>36</v>
      </c>
      <c r="C29" s="569" t="s">
        <v>38</v>
      </c>
      <c r="D29" s="570" t="s">
        <v>36</v>
      </c>
      <c r="E29" s="374" t="s">
        <v>38</v>
      </c>
      <c r="F29" s="373" t="s">
        <v>36</v>
      </c>
      <c r="G29" s="569" t="s">
        <v>38</v>
      </c>
      <c r="H29" s="570" t="s">
        <v>36</v>
      </c>
      <c r="I29" s="374" t="s">
        <v>38</v>
      </c>
      <c r="J29" s="373" t="s">
        <v>36</v>
      </c>
      <c r="K29" s="569" t="s">
        <v>38</v>
      </c>
      <c r="L29" s="570" t="s">
        <v>36</v>
      </c>
      <c r="M29" s="374" t="s">
        <v>38</v>
      </c>
      <c r="N29" s="373" t="s">
        <v>36</v>
      </c>
      <c r="O29" s="569" t="s">
        <v>38</v>
      </c>
      <c r="P29" s="570" t="s">
        <v>36</v>
      </c>
      <c r="Q29" s="374" t="s">
        <v>38</v>
      </c>
      <c r="R29" s="373" t="s">
        <v>36</v>
      </c>
      <c r="S29" s="569" t="s">
        <v>38</v>
      </c>
      <c r="T29" s="373" t="s">
        <v>36</v>
      </c>
      <c r="U29" s="571" t="s">
        <v>38</v>
      </c>
      <c r="V29" s="611"/>
      <c r="W29" s="761" t="s">
        <v>36</v>
      </c>
      <c r="X29" s="571" t="s">
        <v>38</v>
      </c>
    </row>
    <row r="30" spans="1:27" ht="15" customHeight="1" x14ac:dyDescent="0.2">
      <c r="A30" s="737" t="s">
        <v>90</v>
      </c>
      <c r="B30" s="933"/>
      <c r="C30" s="853"/>
      <c r="D30" s="852"/>
      <c r="E30" s="853"/>
      <c r="F30" s="852"/>
      <c r="G30" s="853"/>
      <c r="H30" s="379">
        <v>5</v>
      </c>
      <c r="I30" s="380">
        <f>H30/H13</f>
        <v>1</v>
      </c>
      <c r="J30" s="379">
        <v>6</v>
      </c>
      <c r="K30" s="380">
        <f>J30/J13</f>
        <v>0.8571428571428571</v>
      </c>
      <c r="L30" s="379">
        <v>2</v>
      </c>
      <c r="M30" s="380">
        <f>L30/L13</f>
        <v>0.5</v>
      </c>
      <c r="N30" s="379">
        <v>5</v>
      </c>
      <c r="O30" s="380">
        <f>N30/N13</f>
        <v>0.7142857142857143</v>
      </c>
      <c r="P30" s="379">
        <v>5</v>
      </c>
      <c r="Q30" s="380">
        <f>P30/P13</f>
        <v>0.83333333333333337</v>
      </c>
      <c r="R30" s="379">
        <v>4</v>
      </c>
      <c r="S30" s="380">
        <f>R30/R13</f>
        <v>1</v>
      </c>
      <c r="T30" s="379">
        <v>1</v>
      </c>
      <c r="U30" s="381">
        <f>T30/T13</f>
        <v>0.5</v>
      </c>
      <c r="V30" s="435"/>
      <c r="W30" s="382">
        <f>AVERAGE(N30,L30,R30,T30,P30)</f>
        <v>3.4</v>
      </c>
      <c r="X30" s="407">
        <f>W30/W13</f>
        <v>0.73913043478260876</v>
      </c>
    </row>
    <row r="31" spans="1:27" ht="15" customHeight="1" thickBot="1" x14ac:dyDescent="0.25">
      <c r="A31" s="631" t="s">
        <v>91</v>
      </c>
      <c r="B31" s="934"/>
      <c r="C31" s="857"/>
      <c r="D31" s="856"/>
      <c r="E31" s="857"/>
      <c r="F31" s="856"/>
      <c r="G31" s="857"/>
      <c r="H31" s="384">
        <v>11</v>
      </c>
      <c r="I31" s="385">
        <f>H31/H14</f>
        <v>0.73333333333333328</v>
      </c>
      <c r="J31" s="384">
        <v>12</v>
      </c>
      <c r="K31" s="385">
        <f>J31/J14</f>
        <v>0.8</v>
      </c>
      <c r="L31" s="384">
        <v>14</v>
      </c>
      <c r="M31" s="385">
        <f>L31/L14</f>
        <v>0.875</v>
      </c>
      <c r="N31" s="384">
        <v>15</v>
      </c>
      <c r="O31" s="385">
        <f>N31/N14</f>
        <v>1</v>
      </c>
      <c r="P31" s="384">
        <v>12</v>
      </c>
      <c r="Q31" s="385">
        <f>P31/P14</f>
        <v>0.8</v>
      </c>
      <c r="R31" s="384">
        <v>9</v>
      </c>
      <c r="S31" s="385">
        <f>R31/R14</f>
        <v>0.75</v>
      </c>
      <c r="T31" s="384">
        <v>7</v>
      </c>
      <c r="U31" s="386">
        <f>T31/T14</f>
        <v>0.77777777777777779</v>
      </c>
      <c r="V31" s="435"/>
      <c r="W31" s="387">
        <f>AVERAGE(N31,L31,R31,T31,P31)</f>
        <v>11.4</v>
      </c>
      <c r="X31" s="386">
        <f>W31/W14</f>
        <v>0.85074626865671643</v>
      </c>
    </row>
    <row r="32" spans="1:27" ht="15" customHeight="1" thickTop="1" x14ac:dyDescent="0.2">
      <c r="A32" s="638"/>
      <c r="B32" s="639"/>
      <c r="C32" s="640"/>
      <c r="D32" s="642"/>
      <c r="E32" s="640"/>
      <c r="F32" s="642"/>
      <c r="G32" s="640"/>
      <c r="H32" s="642"/>
      <c r="I32" s="640"/>
      <c r="J32" s="642"/>
      <c r="K32" s="640"/>
      <c r="L32" s="642"/>
      <c r="M32" s="640"/>
      <c r="N32" s="642"/>
      <c r="O32" s="640"/>
      <c r="P32" s="642"/>
      <c r="Q32" s="640"/>
      <c r="R32" s="642"/>
      <c r="S32" s="640"/>
      <c r="T32" s="642"/>
      <c r="U32" s="640"/>
      <c r="V32" s="641"/>
      <c r="W32" s="643"/>
      <c r="X32" s="644"/>
    </row>
    <row r="33" spans="1:24" ht="15" customHeight="1" x14ac:dyDescent="0.2"/>
    <row r="34" spans="1:24" ht="15" customHeight="1" thickBot="1" x14ac:dyDescent="0.25"/>
    <row r="35" spans="1:24" ht="18" customHeight="1" thickTop="1" thickBot="1" x14ac:dyDescent="0.25">
      <c r="A35" s="579" t="s">
        <v>207</v>
      </c>
      <c r="B35" s="1296" t="s">
        <v>24</v>
      </c>
      <c r="C35" s="1332"/>
      <c r="D35" s="1296" t="s">
        <v>25</v>
      </c>
      <c r="E35" s="1332"/>
      <c r="F35" s="1296" t="s">
        <v>26</v>
      </c>
      <c r="G35" s="1332"/>
      <c r="H35" s="1296" t="s">
        <v>27</v>
      </c>
      <c r="I35" s="1332"/>
      <c r="J35" s="1296" t="s">
        <v>28</v>
      </c>
      <c r="K35" s="1332"/>
      <c r="L35" s="1296" t="s">
        <v>29</v>
      </c>
      <c r="M35" s="1332"/>
      <c r="N35" s="1296" t="s">
        <v>30</v>
      </c>
      <c r="O35" s="1332"/>
      <c r="P35" s="1296" t="s">
        <v>31</v>
      </c>
      <c r="Q35" s="1332"/>
      <c r="R35" s="1296" t="s">
        <v>32</v>
      </c>
      <c r="S35" s="1332"/>
      <c r="T35" s="1296" t="s">
        <v>255</v>
      </c>
      <c r="U35" s="1333"/>
      <c r="V35" s="673"/>
      <c r="W35" s="1298" t="s">
        <v>9</v>
      </c>
      <c r="X35" s="1299"/>
    </row>
    <row r="36" spans="1:24" s="1" customFormat="1" ht="24" x14ac:dyDescent="0.2">
      <c r="A36" s="612" t="s">
        <v>212</v>
      </c>
      <c r="B36" s="582"/>
      <c r="C36" s="585"/>
      <c r="D36" s="582"/>
      <c r="E36" s="583"/>
      <c r="F36" s="582"/>
      <c r="G36" s="583"/>
      <c r="H36" s="582"/>
      <c r="I36" s="583"/>
      <c r="J36" s="582"/>
      <c r="K36" s="583"/>
      <c r="L36" s="582"/>
      <c r="M36" s="583"/>
      <c r="N36" s="582"/>
      <c r="O36" s="583"/>
      <c r="P36" s="582"/>
      <c r="Q36" s="583"/>
      <c r="R36" s="582"/>
      <c r="S36" s="583"/>
      <c r="T36" s="582"/>
      <c r="U36" s="584"/>
      <c r="V36" s="674"/>
      <c r="W36" s="509"/>
      <c r="X36" s="624"/>
    </row>
    <row r="37" spans="1:24" s="1" customFormat="1" ht="24" x14ac:dyDescent="0.2">
      <c r="A37" s="581" t="s">
        <v>195</v>
      </c>
      <c r="B37" s="587"/>
      <c r="C37" s="580">
        <v>0</v>
      </c>
      <c r="D37" s="587"/>
      <c r="E37" s="580">
        <v>0</v>
      </c>
      <c r="F37" s="587"/>
      <c r="G37" s="580">
        <v>0</v>
      </c>
      <c r="H37" s="587"/>
      <c r="I37" s="580">
        <v>0</v>
      </c>
      <c r="J37" s="587"/>
      <c r="K37" s="580">
        <v>1</v>
      </c>
      <c r="L37" s="587"/>
      <c r="M37" s="580">
        <v>1</v>
      </c>
      <c r="N37" s="587"/>
      <c r="O37" s="580">
        <v>4</v>
      </c>
      <c r="P37" s="587"/>
      <c r="Q37" s="580">
        <v>1</v>
      </c>
      <c r="R37" s="587"/>
      <c r="S37" s="580">
        <v>0</v>
      </c>
      <c r="T37" s="588"/>
      <c r="U37" s="501">
        <v>1</v>
      </c>
      <c r="V37" s="333"/>
      <c r="W37" s="586"/>
      <c r="X37" s="519">
        <f>AVERAGE(O37,M37,S37,U37,Q37)</f>
        <v>1.4</v>
      </c>
    </row>
    <row r="38" spans="1:24" s="1" customFormat="1" ht="24" x14ac:dyDescent="0.2">
      <c r="A38" s="589" t="s">
        <v>201</v>
      </c>
      <c r="B38" s="551"/>
      <c r="C38" s="590">
        <v>0</v>
      </c>
      <c r="D38" s="551"/>
      <c r="E38" s="590">
        <v>0</v>
      </c>
      <c r="F38" s="551"/>
      <c r="G38" s="590">
        <v>0</v>
      </c>
      <c r="H38" s="551"/>
      <c r="I38" s="590">
        <v>0</v>
      </c>
      <c r="J38" s="551"/>
      <c r="K38" s="590">
        <v>1</v>
      </c>
      <c r="L38" s="551"/>
      <c r="M38" s="590">
        <v>1</v>
      </c>
      <c r="N38" s="551"/>
      <c r="O38" s="590">
        <v>4</v>
      </c>
      <c r="P38" s="551"/>
      <c r="Q38" s="590">
        <v>1</v>
      </c>
      <c r="R38" s="551"/>
      <c r="S38" s="590">
        <v>0</v>
      </c>
      <c r="T38" s="551"/>
      <c r="U38" s="441">
        <v>1</v>
      </c>
      <c r="V38" s="333"/>
      <c r="W38" s="591"/>
      <c r="X38" s="519">
        <f t="shared" ref="X38:X39" si="4">AVERAGE(O38,M38,S38,U38,Q38)</f>
        <v>1.4</v>
      </c>
    </row>
    <row r="39" spans="1:24" s="904" customFormat="1" ht="14.25" customHeight="1" thickBot="1" x14ac:dyDescent="0.25">
      <c r="A39" s="905" t="s">
        <v>196</v>
      </c>
      <c r="B39" s="906"/>
      <c r="C39" s="907">
        <v>1.27</v>
      </c>
      <c r="D39" s="908"/>
      <c r="E39" s="907">
        <v>1.67</v>
      </c>
      <c r="F39" s="908"/>
      <c r="G39" s="907">
        <v>1.77</v>
      </c>
      <c r="H39" s="908"/>
      <c r="I39" s="907">
        <v>1.37</v>
      </c>
      <c r="J39" s="908"/>
      <c r="K39" s="907">
        <v>3.7</v>
      </c>
      <c r="L39" s="908"/>
      <c r="M39" s="907">
        <v>3.6</v>
      </c>
      <c r="N39" s="908"/>
      <c r="O39" s="907">
        <v>10.8</v>
      </c>
      <c r="P39" s="908"/>
      <c r="Q39" s="907">
        <v>4.2</v>
      </c>
      <c r="R39" s="908"/>
      <c r="S39" s="907">
        <v>3.1</v>
      </c>
      <c r="T39" s="909"/>
      <c r="U39" s="910">
        <v>3.8</v>
      </c>
      <c r="V39" s="911"/>
      <c r="W39" s="912"/>
      <c r="X39" s="519">
        <f t="shared" si="4"/>
        <v>5.0999999999999996</v>
      </c>
    </row>
    <row r="40" spans="1:24" s="1" customFormat="1" ht="18" customHeight="1" thickBot="1" x14ac:dyDescent="0.25">
      <c r="A40" s="791" t="s">
        <v>227</v>
      </c>
      <c r="B40" s="613" t="s">
        <v>89</v>
      </c>
      <c r="C40" s="602" t="s">
        <v>97</v>
      </c>
      <c r="D40" s="648" t="s">
        <v>89</v>
      </c>
      <c r="E40" s="650" t="s">
        <v>97</v>
      </c>
      <c r="F40" s="920" t="s">
        <v>89</v>
      </c>
      <c r="G40" s="649" t="s">
        <v>97</v>
      </c>
      <c r="H40" s="793" t="s">
        <v>89</v>
      </c>
      <c r="I40" s="810" t="s">
        <v>97</v>
      </c>
      <c r="J40" s="792" t="s">
        <v>89</v>
      </c>
      <c r="K40" s="649" t="s">
        <v>97</v>
      </c>
      <c r="L40" s="793" t="s">
        <v>89</v>
      </c>
      <c r="M40" s="794" t="s">
        <v>97</v>
      </c>
      <c r="N40" s="792" t="s">
        <v>89</v>
      </c>
      <c r="O40" s="649" t="s">
        <v>97</v>
      </c>
      <c r="P40" s="793" t="s">
        <v>89</v>
      </c>
      <c r="Q40" s="794" t="s">
        <v>97</v>
      </c>
      <c r="R40" s="792" t="s">
        <v>89</v>
      </c>
      <c r="S40" s="649" t="s">
        <v>97</v>
      </c>
      <c r="T40" s="920" t="s">
        <v>89</v>
      </c>
      <c r="U40" s="780" t="s">
        <v>97</v>
      </c>
      <c r="V40" s="675"/>
      <c r="W40" s="653" t="s">
        <v>89</v>
      </c>
      <c r="X40" s="652" t="s">
        <v>97</v>
      </c>
    </row>
    <row r="41" spans="1:24" s="1" customFormat="1" ht="15" customHeight="1" x14ac:dyDescent="0.2">
      <c r="A41" s="614" t="s">
        <v>98</v>
      </c>
      <c r="B41" s="615"/>
      <c r="C41" s="616"/>
      <c r="D41" s="617"/>
      <c r="E41" s="619"/>
      <c r="F41" s="615"/>
      <c r="G41" s="619"/>
      <c r="H41" s="617"/>
      <c r="I41" s="619"/>
      <c r="J41" s="615"/>
      <c r="K41" s="619"/>
      <c r="L41" s="620"/>
      <c r="M41" s="618"/>
      <c r="N41" s="615"/>
      <c r="O41" s="619"/>
      <c r="P41" s="620"/>
      <c r="Q41" s="618"/>
      <c r="R41" s="615"/>
      <c r="S41" s="619"/>
      <c r="T41" s="921"/>
      <c r="U41" s="621"/>
      <c r="V41" s="333"/>
      <c r="W41" s="622"/>
      <c r="X41" s="623"/>
    </row>
    <row r="42" spans="1:24" s="1" customFormat="1" ht="15" customHeight="1" x14ac:dyDescent="0.2">
      <c r="A42" s="604" t="s">
        <v>99</v>
      </c>
      <c r="B42" s="772"/>
      <c r="C42" s="593">
        <v>0</v>
      </c>
      <c r="D42" s="814"/>
      <c r="E42" s="596">
        <v>0</v>
      </c>
      <c r="F42" s="772"/>
      <c r="G42" s="596">
        <v>0</v>
      </c>
      <c r="H42" s="814"/>
      <c r="I42" s="596">
        <v>0</v>
      </c>
      <c r="J42" s="762">
        <v>1</v>
      </c>
      <c r="K42" s="596">
        <v>1</v>
      </c>
      <c r="L42" s="764">
        <v>1</v>
      </c>
      <c r="M42" s="418">
        <v>1</v>
      </c>
      <c r="N42" s="762">
        <v>12</v>
      </c>
      <c r="O42" s="596">
        <v>12</v>
      </c>
      <c r="P42" s="764">
        <v>1</v>
      </c>
      <c r="Q42" s="418">
        <v>1</v>
      </c>
      <c r="R42" s="762">
        <v>0</v>
      </c>
      <c r="S42" s="596">
        <v>0</v>
      </c>
      <c r="T42" s="922">
        <v>1</v>
      </c>
      <c r="U42" s="599">
        <v>1</v>
      </c>
      <c r="V42" s="333"/>
      <c r="W42" s="775">
        <f>AVERAGE(T42,L42,N42,P42,R42)</f>
        <v>3</v>
      </c>
      <c r="X42" s="1218">
        <f t="shared" ref="X42:X47" si="5">AVERAGE(O42,M42,S42,U42,Q42)</f>
        <v>3</v>
      </c>
    </row>
    <row r="43" spans="1:24" s="1" customFormat="1" ht="15" customHeight="1" x14ac:dyDescent="0.2">
      <c r="A43" s="604" t="s">
        <v>100</v>
      </c>
      <c r="B43" s="772"/>
      <c r="C43" s="593">
        <v>0</v>
      </c>
      <c r="D43" s="814"/>
      <c r="E43" s="596">
        <v>0</v>
      </c>
      <c r="F43" s="772"/>
      <c r="G43" s="596">
        <v>0</v>
      </c>
      <c r="H43" s="814"/>
      <c r="I43" s="596">
        <v>0</v>
      </c>
      <c r="J43" s="762">
        <v>0</v>
      </c>
      <c r="K43" s="596">
        <v>0</v>
      </c>
      <c r="L43" s="764">
        <v>0</v>
      </c>
      <c r="M43" s="418">
        <v>0</v>
      </c>
      <c r="N43" s="416">
        <v>0.9</v>
      </c>
      <c r="O43" s="596">
        <v>1</v>
      </c>
      <c r="P43" s="764">
        <v>0</v>
      </c>
      <c r="Q43" s="418">
        <v>0</v>
      </c>
      <c r="R43" s="416">
        <v>0</v>
      </c>
      <c r="S43" s="596">
        <v>0</v>
      </c>
      <c r="T43" s="922">
        <v>0</v>
      </c>
      <c r="U43" s="599">
        <v>0</v>
      </c>
      <c r="V43" s="333"/>
      <c r="W43" s="775">
        <f t="shared" ref="W43:W47" si="6">AVERAGE(T43,L43,N43,P43,R43)</f>
        <v>0.18</v>
      </c>
      <c r="X43" s="1218">
        <f t="shared" si="5"/>
        <v>0.2</v>
      </c>
    </row>
    <row r="44" spans="1:24" s="1" customFormat="1" ht="15" customHeight="1" x14ac:dyDescent="0.2">
      <c r="A44" s="603" t="s">
        <v>101</v>
      </c>
      <c r="B44" s="416"/>
      <c r="C44" s="595"/>
      <c r="D44" s="594"/>
      <c r="E44" s="598"/>
      <c r="F44" s="416"/>
      <c r="G44" s="598"/>
      <c r="H44" s="594"/>
      <c r="I44" s="598"/>
      <c r="J44" s="762"/>
      <c r="K44" s="598"/>
      <c r="L44" s="764"/>
      <c r="M44" s="424"/>
      <c r="N44" s="416"/>
      <c r="O44" s="598"/>
      <c r="P44" s="764"/>
      <c r="Q44" s="424"/>
      <c r="R44" s="416"/>
      <c r="S44" s="598"/>
      <c r="T44" s="922"/>
      <c r="U44" s="600"/>
      <c r="V44" s="333"/>
      <c r="W44" s="776"/>
      <c r="X44" s="1218"/>
    </row>
    <row r="45" spans="1:24" s="1" customFormat="1" ht="15" customHeight="1" x14ac:dyDescent="0.2">
      <c r="A45" s="604" t="s">
        <v>99</v>
      </c>
      <c r="B45" s="772"/>
      <c r="C45" s="595">
        <v>21</v>
      </c>
      <c r="D45" s="814"/>
      <c r="E45" s="598">
        <v>24</v>
      </c>
      <c r="F45" s="772"/>
      <c r="G45" s="598">
        <v>22</v>
      </c>
      <c r="H45" s="814"/>
      <c r="I45" s="598">
        <v>22</v>
      </c>
      <c r="J45" s="762">
        <v>21</v>
      </c>
      <c r="K45" s="598">
        <v>21</v>
      </c>
      <c r="L45" s="764">
        <v>20</v>
      </c>
      <c r="M45" s="424">
        <v>20</v>
      </c>
      <c r="N45" s="762">
        <v>8</v>
      </c>
      <c r="O45" s="598">
        <v>8</v>
      </c>
      <c r="P45" s="764">
        <v>21</v>
      </c>
      <c r="Q45" s="424">
        <v>21</v>
      </c>
      <c r="R45" s="762">
        <v>19</v>
      </c>
      <c r="S45" s="598">
        <v>19</v>
      </c>
      <c r="T45" s="922">
        <v>21</v>
      </c>
      <c r="U45" s="600">
        <v>21</v>
      </c>
      <c r="V45" s="333"/>
      <c r="W45" s="775">
        <f t="shared" si="6"/>
        <v>17.8</v>
      </c>
      <c r="X45" s="1218">
        <f t="shared" si="5"/>
        <v>17.8</v>
      </c>
    </row>
    <row r="46" spans="1:24" s="1" customFormat="1" ht="15" customHeight="1" thickBot="1" x14ac:dyDescent="0.25">
      <c r="A46" s="605" t="s">
        <v>100</v>
      </c>
      <c r="B46" s="773"/>
      <c r="C46" s="595">
        <v>1</v>
      </c>
      <c r="D46" s="816"/>
      <c r="E46" s="598">
        <v>3</v>
      </c>
      <c r="F46" s="773"/>
      <c r="G46" s="598">
        <v>3</v>
      </c>
      <c r="H46" s="816"/>
      <c r="I46" s="598">
        <v>3</v>
      </c>
      <c r="J46" s="762">
        <v>0.4</v>
      </c>
      <c r="K46" s="598">
        <v>1</v>
      </c>
      <c r="L46" s="597">
        <v>0.4</v>
      </c>
      <c r="M46" s="424">
        <v>1</v>
      </c>
      <c r="N46" s="762">
        <v>0</v>
      </c>
      <c r="O46" s="598">
        <v>0</v>
      </c>
      <c r="P46" s="764">
        <v>1.3</v>
      </c>
      <c r="Q46" s="424">
        <v>2</v>
      </c>
      <c r="R46" s="762">
        <v>1.1000000000000001</v>
      </c>
      <c r="S46" s="598">
        <v>2</v>
      </c>
      <c r="T46" s="923">
        <v>1</v>
      </c>
      <c r="U46" s="601">
        <v>2</v>
      </c>
      <c r="V46" s="333"/>
      <c r="W46" s="775">
        <f t="shared" si="6"/>
        <v>0.76</v>
      </c>
      <c r="X46" s="1219">
        <f t="shared" si="5"/>
        <v>1.4</v>
      </c>
    </row>
    <row r="47" spans="1:24" s="1" customFormat="1" ht="15" customHeight="1" thickBot="1" x14ac:dyDescent="0.25">
      <c r="A47" s="795" t="s">
        <v>22</v>
      </c>
      <c r="B47" s="774"/>
      <c r="C47" s="606">
        <f>SUM(C42:C46)</f>
        <v>22</v>
      </c>
      <c r="D47" s="1074"/>
      <c r="E47" s="608">
        <f>SUM(E42:E46)</f>
        <v>27</v>
      </c>
      <c r="F47" s="774"/>
      <c r="G47" s="608">
        <f>SUM(G42:G46)</f>
        <v>25</v>
      </c>
      <c r="H47" s="1074"/>
      <c r="I47" s="608">
        <f>SUM(I42:I46)</f>
        <v>25</v>
      </c>
      <c r="J47" s="768">
        <f t="shared" ref="J47:S47" si="7">SUM(J42:J46)</f>
        <v>22.4</v>
      </c>
      <c r="K47" s="608">
        <f t="shared" si="7"/>
        <v>23</v>
      </c>
      <c r="L47" s="768">
        <f t="shared" si="7"/>
        <v>21.4</v>
      </c>
      <c r="M47" s="607">
        <f t="shared" si="7"/>
        <v>22</v>
      </c>
      <c r="N47" s="767">
        <f t="shared" si="7"/>
        <v>20.9</v>
      </c>
      <c r="O47" s="608">
        <f t="shared" si="7"/>
        <v>21</v>
      </c>
      <c r="P47" s="767">
        <f t="shared" si="7"/>
        <v>23.3</v>
      </c>
      <c r="Q47" s="607">
        <f t="shared" si="7"/>
        <v>24</v>
      </c>
      <c r="R47" s="767">
        <f t="shared" si="7"/>
        <v>20.100000000000001</v>
      </c>
      <c r="S47" s="608">
        <f t="shared" si="7"/>
        <v>21</v>
      </c>
      <c r="T47" s="924">
        <f t="shared" ref="T47:U47" si="8">SUM(T42:T46)</f>
        <v>23</v>
      </c>
      <c r="U47" s="609">
        <f t="shared" si="8"/>
        <v>24</v>
      </c>
      <c r="V47" s="333"/>
      <c r="W47" s="779">
        <f t="shared" si="6"/>
        <v>21.74</v>
      </c>
      <c r="X47" s="610">
        <f t="shared" si="5"/>
        <v>22.4</v>
      </c>
    </row>
    <row r="48" spans="1:24" s="1" customFormat="1" ht="18" customHeight="1" thickBot="1" x14ac:dyDescent="0.25">
      <c r="A48" s="796" t="s">
        <v>200</v>
      </c>
      <c r="B48" s="648" t="s">
        <v>36</v>
      </c>
      <c r="C48" s="649" t="s">
        <v>102</v>
      </c>
      <c r="D48" s="648" t="s">
        <v>36</v>
      </c>
      <c r="E48" s="650" t="s">
        <v>102</v>
      </c>
      <c r="F48" s="651" t="s">
        <v>36</v>
      </c>
      <c r="G48" s="650" t="s">
        <v>102</v>
      </c>
      <c r="H48" s="651" t="s">
        <v>36</v>
      </c>
      <c r="I48" s="650" t="s">
        <v>102</v>
      </c>
      <c r="J48" s="651" t="s">
        <v>36</v>
      </c>
      <c r="K48" s="650" t="s">
        <v>102</v>
      </c>
      <c r="L48" s="651" t="s">
        <v>36</v>
      </c>
      <c r="M48" s="650" t="s">
        <v>102</v>
      </c>
      <c r="N48" s="651" t="s">
        <v>36</v>
      </c>
      <c r="O48" s="650" t="s">
        <v>102</v>
      </c>
      <c r="P48" s="651" t="s">
        <v>36</v>
      </c>
      <c r="Q48" s="650" t="s">
        <v>102</v>
      </c>
      <c r="R48" s="651" t="s">
        <v>36</v>
      </c>
      <c r="S48" s="650" t="s">
        <v>102</v>
      </c>
      <c r="T48" s="648" t="s">
        <v>36</v>
      </c>
      <c r="U48" s="652" t="s">
        <v>102</v>
      </c>
      <c r="V48" s="333"/>
      <c r="W48" s="653" t="s">
        <v>36</v>
      </c>
      <c r="X48" s="652" t="s">
        <v>102</v>
      </c>
    </row>
    <row r="49" spans="1:24" s="1" customFormat="1" ht="18" customHeight="1" x14ac:dyDescent="0.2">
      <c r="A49" s="782" t="s">
        <v>226</v>
      </c>
      <c r="B49" s="783"/>
      <c r="C49" s="784"/>
      <c r="D49" s="783"/>
      <c r="E49" s="785"/>
      <c r="F49" s="786"/>
      <c r="G49" s="785"/>
      <c r="H49" s="786"/>
      <c r="I49" s="785"/>
      <c r="J49" s="786"/>
      <c r="K49" s="785"/>
      <c r="L49" s="786"/>
      <c r="M49" s="785"/>
      <c r="N49" s="786"/>
      <c r="O49" s="785"/>
      <c r="P49" s="786"/>
      <c r="Q49" s="785"/>
      <c r="R49" s="786"/>
      <c r="S49" s="785"/>
      <c r="T49" s="925"/>
      <c r="U49" s="787"/>
      <c r="V49" s="788"/>
      <c r="W49" s="789"/>
      <c r="X49" s="787"/>
    </row>
    <row r="50" spans="1:24" s="1" customFormat="1" ht="14.25" customHeight="1" x14ac:dyDescent="0.2">
      <c r="A50" s="326" t="s">
        <v>103</v>
      </c>
      <c r="B50" s="327">
        <v>16</v>
      </c>
      <c r="C50" s="328">
        <f t="shared" ref="C50:C57" si="9">B50/C$47</f>
        <v>0.72727272727272729</v>
      </c>
      <c r="D50" s="327">
        <v>19</v>
      </c>
      <c r="E50" s="329">
        <f t="shared" ref="E50:K57" si="10">D50/E$47</f>
        <v>0.70370370370370372</v>
      </c>
      <c r="F50" s="330">
        <v>19</v>
      </c>
      <c r="G50" s="329">
        <f t="shared" si="10"/>
        <v>0.76</v>
      </c>
      <c r="H50" s="330">
        <v>19</v>
      </c>
      <c r="I50" s="329">
        <f t="shared" ref="I50:I57" si="11">H50/I$47</f>
        <v>0.76</v>
      </c>
      <c r="J50" s="330">
        <f>19</f>
        <v>19</v>
      </c>
      <c r="K50" s="329">
        <f t="shared" si="10"/>
        <v>0.82608695652173914</v>
      </c>
      <c r="L50" s="330">
        <v>18</v>
      </c>
      <c r="M50" s="329">
        <f t="shared" ref="M50:M55" si="12">L50/M$47</f>
        <v>0.81818181818181823</v>
      </c>
      <c r="N50" s="330">
        <v>18</v>
      </c>
      <c r="O50" s="329">
        <f t="shared" ref="O50:Q55" si="13">N50/O$47</f>
        <v>0.8571428571428571</v>
      </c>
      <c r="P50" s="330">
        <v>21</v>
      </c>
      <c r="Q50" s="329">
        <f t="shared" si="13"/>
        <v>0.875</v>
      </c>
      <c r="R50" s="330">
        <v>19</v>
      </c>
      <c r="S50" s="329">
        <f t="shared" ref="S50:S55" si="14">R50/S$47</f>
        <v>0.90476190476190477</v>
      </c>
      <c r="T50" s="463">
        <v>19</v>
      </c>
      <c r="U50" s="332">
        <f t="shared" ref="U50:U55" si="15">T50/U$47</f>
        <v>0.79166666666666663</v>
      </c>
      <c r="V50" s="790"/>
      <c r="W50" s="334">
        <f>AVERAGE(N50,L50,R50,T50,P50)</f>
        <v>19</v>
      </c>
      <c r="X50" s="335">
        <f>AVERAGE(O50,M50,S50,U50,Q50)</f>
        <v>0.84935064935064941</v>
      </c>
    </row>
    <row r="51" spans="1:24" s="1" customFormat="1" ht="15" customHeight="1" x14ac:dyDescent="0.2">
      <c r="A51" s="336" t="s">
        <v>104</v>
      </c>
      <c r="B51" s="327">
        <v>0</v>
      </c>
      <c r="C51" s="328">
        <f t="shared" si="9"/>
        <v>0</v>
      </c>
      <c r="D51" s="327">
        <v>0</v>
      </c>
      <c r="E51" s="329">
        <f t="shared" si="10"/>
        <v>0</v>
      </c>
      <c r="F51" s="330">
        <v>0</v>
      </c>
      <c r="G51" s="329">
        <f t="shared" si="10"/>
        <v>0</v>
      </c>
      <c r="H51" s="330">
        <v>0</v>
      </c>
      <c r="I51" s="329">
        <f t="shared" si="11"/>
        <v>0</v>
      </c>
      <c r="J51" s="330">
        <f>0</f>
        <v>0</v>
      </c>
      <c r="K51" s="329">
        <f t="shared" si="10"/>
        <v>0</v>
      </c>
      <c r="L51" s="330">
        <v>0</v>
      </c>
      <c r="M51" s="329">
        <f t="shared" si="12"/>
        <v>0</v>
      </c>
      <c r="N51" s="330">
        <v>0</v>
      </c>
      <c r="O51" s="329">
        <f t="shared" si="13"/>
        <v>0</v>
      </c>
      <c r="P51" s="330">
        <v>0</v>
      </c>
      <c r="Q51" s="329">
        <f t="shared" si="13"/>
        <v>0</v>
      </c>
      <c r="R51" s="330">
        <v>0</v>
      </c>
      <c r="S51" s="329">
        <f t="shared" si="14"/>
        <v>0</v>
      </c>
      <c r="T51" s="926">
        <v>0</v>
      </c>
      <c r="U51" s="332">
        <f t="shared" si="15"/>
        <v>0</v>
      </c>
      <c r="V51" s="333"/>
      <c r="W51" s="334">
        <f t="shared" ref="W51:X69" si="16">AVERAGE(N51,L51,R51,T51,P51)</f>
        <v>0</v>
      </c>
      <c r="X51" s="335">
        <f t="shared" si="16"/>
        <v>0</v>
      </c>
    </row>
    <row r="52" spans="1:24" s="1" customFormat="1" ht="15" customHeight="1" x14ac:dyDescent="0.2">
      <c r="A52" s="336" t="s">
        <v>105</v>
      </c>
      <c r="B52" s="327">
        <v>0</v>
      </c>
      <c r="C52" s="328">
        <f t="shared" si="9"/>
        <v>0</v>
      </c>
      <c r="D52" s="327">
        <v>0</v>
      </c>
      <c r="E52" s="329">
        <f t="shared" si="10"/>
        <v>0</v>
      </c>
      <c r="F52" s="330">
        <v>0</v>
      </c>
      <c r="G52" s="329">
        <f t="shared" si="10"/>
        <v>0</v>
      </c>
      <c r="H52" s="330">
        <v>0</v>
      </c>
      <c r="I52" s="329">
        <f t="shared" si="11"/>
        <v>0</v>
      </c>
      <c r="J52" s="330">
        <f>0</f>
        <v>0</v>
      </c>
      <c r="K52" s="329">
        <f t="shared" si="10"/>
        <v>0</v>
      </c>
      <c r="L52" s="330">
        <v>0</v>
      </c>
      <c r="M52" s="329">
        <f t="shared" si="12"/>
        <v>0</v>
      </c>
      <c r="N52" s="330">
        <v>0</v>
      </c>
      <c r="O52" s="329">
        <f t="shared" si="13"/>
        <v>0</v>
      </c>
      <c r="P52" s="330">
        <v>0</v>
      </c>
      <c r="Q52" s="329">
        <f t="shared" si="13"/>
        <v>0</v>
      </c>
      <c r="R52" s="330">
        <v>0</v>
      </c>
      <c r="S52" s="329">
        <f t="shared" si="14"/>
        <v>0</v>
      </c>
      <c r="T52" s="463">
        <v>0</v>
      </c>
      <c r="U52" s="332">
        <f t="shared" si="15"/>
        <v>0</v>
      </c>
      <c r="V52" s="333"/>
      <c r="W52" s="334">
        <f t="shared" si="16"/>
        <v>0</v>
      </c>
      <c r="X52" s="335">
        <f t="shared" si="16"/>
        <v>0</v>
      </c>
    </row>
    <row r="53" spans="1:24" s="1" customFormat="1" ht="15" customHeight="1" x14ac:dyDescent="0.2">
      <c r="A53" s="336" t="s">
        <v>106</v>
      </c>
      <c r="B53" s="327">
        <v>0</v>
      </c>
      <c r="C53" s="328">
        <f t="shared" si="9"/>
        <v>0</v>
      </c>
      <c r="D53" s="327">
        <v>0</v>
      </c>
      <c r="E53" s="329">
        <f t="shared" si="10"/>
        <v>0</v>
      </c>
      <c r="F53" s="330">
        <v>0</v>
      </c>
      <c r="G53" s="329">
        <f t="shared" si="10"/>
        <v>0</v>
      </c>
      <c r="H53" s="330">
        <v>0</v>
      </c>
      <c r="I53" s="329">
        <f t="shared" si="11"/>
        <v>0</v>
      </c>
      <c r="J53" s="330">
        <f>0</f>
        <v>0</v>
      </c>
      <c r="K53" s="329">
        <f t="shared" si="10"/>
        <v>0</v>
      </c>
      <c r="L53" s="330">
        <v>0</v>
      </c>
      <c r="M53" s="329">
        <f t="shared" si="12"/>
        <v>0</v>
      </c>
      <c r="N53" s="330">
        <v>0</v>
      </c>
      <c r="O53" s="329">
        <f t="shared" si="13"/>
        <v>0</v>
      </c>
      <c r="P53" s="330">
        <v>0</v>
      </c>
      <c r="Q53" s="329">
        <f t="shared" si="13"/>
        <v>0</v>
      </c>
      <c r="R53" s="330">
        <v>0</v>
      </c>
      <c r="S53" s="329">
        <f t="shared" si="14"/>
        <v>0</v>
      </c>
      <c r="T53" s="463">
        <v>0</v>
      </c>
      <c r="U53" s="332">
        <f t="shared" si="15"/>
        <v>0</v>
      </c>
      <c r="V53" s="333"/>
      <c r="W53" s="334">
        <f t="shared" si="16"/>
        <v>0</v>
      </c>
      <c r="X53" s="335">
        <f t="shared" si="16"/>
        <v>0</v>
      </c>
    </row>
    <row r="54" spans="1:24" s="1" customFormat="1" ht="15" customHeight="1" x14ac:dyDescent="0.2">
      <c r="A54" s="336" t="s">
        <v>107</v>
      </c>
      <c r="B54" s="327">
        <v>4</v>
      </c>
      <c r="C54" s="328">
        <f t="shared" si="9"/>
        <v>0.18181818181818182</v>
      </c>
      <c r="D54" s="327">
        <v>4</v>
      </c>
      <c r="E54" s="329">
        <f t="shared" si="10"/>
        <v>0.14814814814814814</v>
      </c>
      <c r="F54" s="330">
        <v>2</v>
      </c>
      <c r="G54" s="329">
        <f t="shared" si="10"/>
        <v>0.08</v>
      </c>
      <c r="H54" s="330">
        <v>1</v>
      </c>
      <c r="I54" s="329">
        <f t="shared" si="11"/>
        <v>0.04</v>
      </c>
      <c r="J54" s="330">
        <f>1</f>
        <v>1</v>
      </c>
      <c r="K54" s="329">
        <f t="shared" si="10"/>
        <v>4.3478260869565216E-2</v>
      </c>
      <c r="L54" s="330">
        <v>1</v>
      </c>
      <c r="M54" s="329">
        <f t="shared" si="12"/>
        <v>4.5454545454545456E-2</v>
      </c>
      <c r="N54" s="330">
        <v>1</v>
      </c>
      <c r="O54" s="329">
        <f t="shared" si="13"/>
        <v>4.7619047619047616E-2</v>
      </c>
      <c r="P54" s="330">
        <v>2</v>
      </c>
      <c r="Q54" s="329">
        <f t="shared" si="13"/>
        <v>8.3333333333333329E-2</v>
      </c>
      <c r="R54" s="330">
        <v>1</v>
      </c>
      <c r="S54" s="329">
        <f t="shared" si="14"/>
        <v>4.7619047619047616E-2</v>
      </c>
      <c r="T54" s="463">
        <v>2</v>
      </c>
      <c r="U54" s="332">
        <f t="shared" si="15"/>
        <v>8.3333333333333329E-2</v>
      </c>
      <c r="V54" s="333"/>
      <c r="W54" s="334">
        <f t="shared" si="16"/>
        <v>1.4</v>
      </c>
      <c r="X54" s="335">
        <f t="shared" si="16"/>
        <v>6.1471861471861469E-2</v>
      </c>
    </row>
    <row r="55" spans="1:24" s="1" customFormat="1" ht="15" customHeight="1" x14ac:dyDescent="0.2">
      <c r="A55" s="336" t="s">
        <v>108</v>
      </c>
      <c r="B55" s="327">
        <v>2</v>
      </c>
      <c r="C55" s="328">
        <f t="shared" si="9"/>
        <v>9.0909090909090912E-2</v>
      </c>
      <c r="D55" s="327">
        <f>3+1</f>
        <v>4</v>
      </c>
      <c r="E55" s="329">
        <f t="shared" si="10"/>
        <v>0.14814814814814814</v>
      </c>
      <c r="F55" s="330">
        <v>1</v>
      </c>
      <c r="G55" s="329">
        <f t="shared" si="10"/>
        <v>0.04</v>
      </c>
      <c r="H55" s="330">
        <v>5</v>
      </c>
      <c r="I55" s="329">
        <f t="shared" si="11"/>
        <v>0.2</v>
      </c>
      <c r="J55" s="330">
        <f>1+2</f>
        <v>3</v>
      </c>
      <c r="K55" s="329">
        <f t="shared" si="10"/>
        <v>0.13043478260869565</v>
      </c>
      <c r="L55" s="330">
        <v>3</v>
      </c>
      <c r="M55" s="329">
        <f t="shared" si="12"/>
        <v>0.13636363636363635</v>
      </c>
      <c r="N55" s="330">
        <v>2</v>
      </c>
      <c r="O55" s="329">
        <f t="shared" si="13"/>
        <v>9.5238095238095233E-2</v>
      </c>
      <c r="P55" s="330">
        <v>1</v>
      </c>
      <c r="Q55" s="329">
        <f t="shared" si="13"/>
        <v>4.1666666666666664E-2</v>
      </c>
      <c r="R55" s="330">
        <v>1</v>
      </c>
      <c r="S55" s="329">
        <f t="shared" si="14"/>
        <v>4.7619047619047616E-2</v>
      </c>
      <c r="T55" s="463">
        <v>3</v>
      </c>
      <c r="U55" s="332">
        <f t="shared" si="15"/>
        <v>0.125</v>
      </c>
      <c r="V55" s="333"/>
      <c r="W55" s="334">
        <f t="shared" si="16"/>
        <v>2</v>
      </c>
      <c r="X55" s="335">
        <f t="shared" si="16"/>
        <v>8.9177489177489175E-2</v>
      </c>
    </row>
    <row r="56" spans="1:24" s="1" customFormat="1" ht="15" customHeight="1" x14ac:dyDescent="0.2">
      <c r="A56" s="336" t="s">
        <v>109</v>
      </c>
      <c r="B56" s="337"/>
      <c r="C56" s="328"/>
      <c r="D56" s="337"/>
      <c r="E56" s="329"/>
      <c r="F56" s="338"/>
      <c r="G56" s="329"/>
      <c r="H56" s="338">
        <v>0</v>
      </c>
      <c r="I56" s="329">
        <f t="shared" si="11"/>
        <v>0</v>
      </c>
      <c r="J56" s="338">
        <f>0</f>
        <v>0</v>
      </c>
      <c r="K56" s="329">
        <f>J56/K$47</f>
        <v>0</v>
      </c>
      <c r="L56" s="338">
        <v>0</v>
      </c>
      <c r="M56" s="329">
        <f>L56/M$47</f>
        <v>0</v>
      </c>
      <c r="N56" s="338">
        <v>0</v>
      </c>
      <c r="O56" s="329">
        <f>N56/O$47</f>
        <v>0</v>
      </c>
      <c r="P56" s="338">
        <v>0</v>
      </c>
      <c r="Q56" s="329">
        <f>P56/Q$47</f>
        <v>0</v>
      </c>
      <c r="R56" s="338">
        <v>0</v>
      </c>
      <c r="S56" s="329">
        <f>R56/S$47</f>
        <v>0</v>
      </c>
      <c r="T56" s="463">
        <v>0</v>
      </c>
      <c r="U56" s="332">
        <f>T56/U$47</f>
        <v>0</v>
      </c>
      <c r="V56" s="333"/>
      <c r="W56" s="334">
        <f t="shared" si="16"/>
        <v>0</v>
      </c>
      <c r="X56" s="335">
        <f t="shared" si="16"/>
        <v>0</v>
      </c>
    </row>
    <row r="57" spans="1:24" s="1" customFormat="1" ht="15" customHeight="1" thickBot="1" x14ac:dyDescent="0.25">
      <c r="A57" s="336" t="s">
        <v>110</v>
      </c>
      <c r="B57" s="337">
        <v>0</v>
      </c>
      <c r="C57" s="659">
        <f t="shared" si="9"/>
        <v>0</v>
      </c>
      <c r="D57" s="337">
        <v>0</v>
      </c>
      <c r="E57" s="660">
        <f t="shared" si="10"/>
        <v>0</v>
      </c>
      <c r="F57" s="338">
        <v>3</v>
      </c>
      <c r="G57" s="660">
        <f t="shared" si="10"/>
        <v>0.12</v>
      </c>
      <c r="H57" s="338">
        <v>0</v>
      </c>
      <c r="I57" s="660">
        <f t="shared" si="11"/>
        <v>0</v>
      </c>
      <c r="J57" s="338">
        <f>0</f>
        <v>0</v>
      </c>
      <c r="K57" s="660">
        <f t="shared" si="10"/>
        <v>0</v>
      </c>
      <c r="L57" s="338">
        <v>0</v>
      </c>
      <c r="M57" s="660">
        <f>L57/M$47</f>
        <v>0</v>
      </c>
      <c r="N57" s="338">
        <v>0</v>
      </c>
      <c r="O57" s="660">
        <f>N57/O$47</f>
        <v>0</v>
      </c>
      <c r="P57" s="338">
        <v>0</v>
      </c>
      <c r="Q57" s="660">
        <f>P57/Q$47</f>
        <v>0</v>
      </c>
      <c r="R57" s="338">
        <v>0</v>
      </c>
      <c r="S57" s="660">
        <f>R57/S$47</f>
        <v>0</v>
      </c>
      <c r="T57" s="512">
        <v>0</v>
      </c>
      <c r="U57" s="661">
        <f>T57/U$47</f>
        <v>0</v>
      </c>
      <c r="V57" s="333"/>
      <c r="W57" s="334">
        <f t="shared" si="16"/>
        <v>0</v>
      </c>
      <c r="X57" s="335">
        <f t="shared" si="16"/>
        <v>0</v>
      </c>
    </row>
    <row r="58" spans="1:24" s="1" customFormat="1" ht="18" customHeight="1" x14ac:dyDescent="0.2">
      <c r="A58" s="614" t="s">
        <v>111</v>
      </c>
      <c r="B58" s="664"/>
      <c r="C58" s="665"/>
      <c r="D58" s="664"/>
      <c r="E58" s="666"/>
      <c r="F58" s="667"/>
      <c r="G58" s="666"/>
      <c r="H58" s="667"/>
      <c r="I58" s="666"/>
      <c r="J58" s="667"/>
      <c r="K58" s="666"/>
      <c r="L58" s="667"/>
      <c r="M58" s="666"/>
      <c r="N58" s="667"/>
      <c r="O58" s="666"/>
      <c r="P58" s="667"/>
      <c r="Q58" s="666"/>
      <c r="R58" s="667"/>
      <c r="S58" s="666"/>
      <c r="T58" s="664"/>
      <c r="U58" s="668"/>
      <c r="V58" s="333"/>
      <c r="W58" s="657"/>
      <c r="X58" s="658"/>
    </row>
    <row r="59" spans="1:24" s="1" customFormat="1" ht="15" customHeight="1" x14ac:dyDescent="0.2">
      <c r="A59" s="326" t="s">
        <v>112</v>
      </c>
      <c r="B59" s="341">
        <v>14</v>
      </c>
      <c r="C59" s="328">
        <f>B59/C$47</f>
        <v>0.63636363636363635</v>
      </c>
      <c r="D59" s="341">
        <f>2+17</f>
        <v>19</v>
      </c>
      <c r="E59" s="329">
        <f>D59/E$47</f>
        <v>0.70370370370370372</v>
      </c>
      <c r="F59" s="342">
        <v>17</v>
      </c>
      <c r="G59" s="329">
        <f>F59/G$47</f>
        <v>0.68</v>
      </c>
      <c r="H59" s="342">
        <v>18</v>
      </c>
      <c r="I59" s="329">
        <f>H59/I$47</f>
        <v>0.72</v>
      </c>
      <c r="J59" s="342">
        <f>16</f>
        <v>16</v>
      </c>
      <c r="K59" s="329">
        <f>J59/K$47</f>
        <v>0.69565217391304346</v>
      </c>
      <c r="L59" s="342">
        <v>15</v>
      </c>
      <c r="M59" s="329">
        <f>L59/M$47</f>
        <v>0.68181818181818177</v>
      </c>
      <c r="N59" s="342">
        <f>1+14</f>
        <v>15</v>
      </c>
      <c r="O59" s="329">
        <f>N59/O$47</f>
        <v>0.7142857142857143</v>
      </c>
      <c r="P59" s="342">
        <v>18</v>
      </c>
      <c r="Q59" s="329">
        <f>P59/Q$47</f>
        <v>0.75</v>
      </c>
      <c r="R59" s="342">
        <v>16</v>
      </c>
      <c r="S59" s="329">
        <f>R59/S$47</f>
        <v>0.76190476190476186</v>
      </c>
      <c r="T59" s="340">
        <v>19</v>
      </c>
      <c r="U59" s="332">
        <f>T59/U$47</f>
        <v>0.79166666666666663</v>
      </c>
      <c r="V59" s="333"/>
      <c r="W59" s="334">
        <f t="shared" si="16"/>
        <v>16.600000000000001</v>
      </c>
      <c r="X59" s="335">
        <f t="shared" si="16"/>
        <v>0.73993506493506489</v>
      </c>
    </row>
    <row r="60" spans="1:24" s="1" customFormat="1" ht="15" customHeight="1" thickBot="1" x14ac:dyDescent="0.25">
      <c r="A60" s="336" t="s">
        <v>113</v>
      </c>
      <c r="B60" s="669">
        <v>8</v>
      </c>
      <c r="C60" s="659">
        <f>B60/C$47</f>
        <v>0.36363636363636365</v>
      </c>
      <c r="D60" s="669">
        <f>1+7</f>
        <v>8</v>
      </c>
      <c r="E60" s="660">
        <f>D60/E$47</f>
        <v>0.29629629629629628</v>
      </c>
      <c r="F60" s="670">
        <v>8</v>
      </c>
      <c r="G60" s="660">
        <f>F60/G$47</f>
        <v>0.32</v>
      </c>
      <c r="H60" s="670">
        <v>7</v>
      </c>
      <c r="I60" s="660">
        <f>H60/I$47</f>
        <v>0.28000000000000003</v>
      </c>
      <c r="J60" s="670">
        <f>1+6</f>
        <v>7</v>
      </c>
      <c r="K60" s="660">
        <f>J60/K$47</f>
        <v>0.30434782608695654</v>
      </c>
      <c r="L60" s="670">
        <v>7</v>
      </c>
      <c r="M60" s="660">
        <f>L60/M$47</f>
        <v>0.31818181818181818</v>
      </c>
      <c r="N60" s="670">
        <v>6</v>
      </c>
      <c r="O60" s="660">
        <f>N60/O$47</f>
        <v>0.2857142857142857</v>
      </c>
      <c r="P60" s="670">
        <v>6</v>
      </c>
      <c r="Q60" s="660">
        <f>P60/Q$47</f>
        <v>0.25</v>
      </c>
      <c r="R60" s="670">
        <v>5</v>
      </c>
      <c r="S60" s="660">
        <f>R60/S$47</f>
        <v>0.23809523809523808</v>
      </c>
      <c r="T60" s="669">
        <v>5</v>
      </c>
      <c r="U60" s="661">
        <f>T60/U$47</f>
        <v>0.20833333333333334</v>
      </c>
      <c r="V60" s="333"/>
      <c r="W60" s="334">
        <f t="shared" si="16"/>
        <v>5.8</v>
      </c>
      <c r="X60" s="335">
        <f t="shared" si="16"/>
        <v>0.26006493506493505</v>
      </c>
    </row>
    <row r="61" spans="1:24" s="1" customFormat="1" ht="18" customHeight="1" x14ac:dyDescent="0.2">
      <c r="A61" s="614" t="s">
        <v>114</v>
      </c>
      <c r="B61" s="671"/>
      <c r="C61" s="654"/>
      <c r="D61" s="671"/>
      <c r="E61" s="655"/>
      <c r="F61" s="672"/>
      <c r="G61" s="655"/>
      <c r="H61" s="672"/>
      <c r="I61" s="655"/>
      <c r="J61" s="672"/>
      <c r="K61" s="655"/>
      <c r="L61" s="672"/>
      <c r="M61" s="655"/>
      <c r="N61" s="672"/>
      <c r="O61" s="655"/>
      <c r="P61" s="672"/>
      <c r="Q61" s="655"/>
      <c r="R61" s="672"/>
      <c r="S61" s="655"/>
      <c r="T61" s="671"/>
      <c r="U61" s="656"/>
      <c r="V61" s="333"/>
      <c r="W61" s="657"/>
      <c r="X61" s="658"/>
    </row>
    <row r="62" spans="1:24" s="1" customFormat="1" ht="15" customHeight="1" x14ac:dyDescent="0.2">
      <c r="A62" s="326" t="s">
        <v>115</v>
      </c>
      <c r="B62" s="341">
        <v>10</v>
      </c>
      <c r="C62" s="328">
        <f>B62/C$47</f>
        <v>0.45454545454545453</v>
      </c>
      <c r="D62" s="341">
        <v>12</v>
      </c>
      <c r="E62" s="329">
        <f>D62/E$47</f>
        <v>0.44444444444444442</v>
      </c>
      <c r="F62" s="342">
        <v>12</v>
      </c>
      <c r="G62" s="329">
        <f>F62/G$47</f>
        <v>0.48</v>
      </c>
      <c r="H62" s="342">
        <v>11</v>
      </c>
      <c r="I62" s="329">
        <f>H62/I$47</f>
        <v>0.44</v>
      </c>
      <c r="J62" s="342">
        <f>13</f>
        <v>13</v>
      </c>
      <c r="K62" s="329">
        <f>J62/K$47</f>
        <v>0.56521739130434778</v>
      </c>
      <c r="L62" s="342">
        <v>13</v>
      </c>
      <c r="M62" s="329">
        <f>L62/M$47</f>
        <v>0.59090909090909094</v>
      </c>
      <c r="N62" s="342">
        <f>1+13</f>
        <v>14</v>
      </c>
      <c r="O62" s="329">
        <f>N62/O$47</f>
        <v>0.66666666666666663</v>
      </c>
      <c r="P62" s="342">
        <v>14</v>
      </c>
      <c r="Q62" s="329">
        <f>P62/Q$47</f>
        <v>0.58333333333333337</v>
      </c>
      <c r="R62" s="342">
        <v>13</v>
      </c>
      <c r="S62" s="329">
        <f>R62/S$47</f>
        <v>0.61904761904761907</v>
      </c>
      <c r="T62" s="341">
        <v>14</v>
      </c>
      <c r="U62" s="332">
        <f>T62/U$47</f>
        <v>0.58333333333333337</v>
      </c>
      <c r="V62" s="333"/>
      <c r="W62" s="334">
        <f t="shared" si="16"/>
        <v>13.6</v>
      </c>
      <c r="X62" s="335">
        <f t="shared" si="16"/>
        <v>0.60865800865800868</v>
      </c>
    </row>
    <row r="63" spans="1:24" s="1" customFormat="1" ht="15" customHeight="1" x14ac:dyDescent="0.2">
      <c r="A63" s="326" t="s">
        <v>116</v>
      </c>
      <c r="B63" s="341">
        <v>6</v>
      </c>
      <c r="C63" s="328">
        <f>B63/C$47</f>
        <v>0.27272727272727271</v>
      </c>
      <c r="D63" s="341">
        <v>7</v>
      </c>
      <c r="E63" s="329">
        <f>D63/E$47</f>
        <v>0.25925925925925924</v>
      </c>
      <c r="F63" s="342">
        <v>6</v>
      </c>
      <c r="G63" s="329">
        <f>F63/G$47</f>
        <v>0.24</v>
      </c>
      <c r="H63" s="342">
        <v>6</v>
      </c>
      <c r="I63" s="329">
        <f>H63/I$47</f>
        <v>0.24</v>
      </c>
      <c r="J63" s="342">
        <f>4</f>
        <v>4</v>
      </c>
      <c r="K63" s="329">
        <f>J63/K$47</f>
        <v>0.17391304347826086</v>
      </c>
      <c r="L63" s="342">
        <v>3</v>
      </c>
      <c r="M63" s="329">
        <f>L63/M$47</f>
        <v>0.13636363636363635</v>
      </c>
      <c r="N63" s="342">
        <v>3</v>
      </c>
      <c r="O63" s="329">
        <f>N63/O$47</f>
        <v>0.14285714285714285</v>
      </c>
      <c r="P63" s="342">
        <v>4</v>
      </c>
      <c r="Q63" s="329">
        <f>P63/Q$47</f>
        <v>0.16666666666666666</v>
      </c>
      <c r="R63" s="342">
        <v>2</v>
      </c>
      <c r="S63" s="329">
        <f>R63/S$47</f>
        <v>9.5238095238095233E-2</v>
      </c>
      <c r="T63" s="341">
        <v>2</v>
      </c>
      <c r="U63" s="332">
        <f>T63/U$47</f>
        <v>8.3333333333333329E-2</v>
      </c>
      <c r="V63" s="333"/>
      <c r="W63" s="334">
        <f t="shared" si="16"/>
        <v>2.8</v>
      </c>
      <c r="X63" s="335">
        <f t="shared" si="16"/>
        <v>0.12489177489177487</v>
      </c>
    </row>
    <row r="64" spans="1:24" s="1" customFormat="1" ht="15" customHeight="1" thickBot="1" x14ac:dyDescent="0.25">
      <c r="A64" s="336" t="s">
        <v>117</v>
      </c>
      <c r="B64" s="669">
        <v>6</v>
      </c>
      <c r="C64" s="659">
        <f>B64/C$47</f>
        <v>0.27272727272727271</v>
      </c>
      <c r="D64" s="669">
        <f>3+5</f>
        <v>8</v>
      </c>
      <c r="E64" s="660">
        <f>D64/E$47</f>
        <v>0.29629629629629628</v>
      </c>
      <c r="F64" s="670">
        <v>7</v>
      </c>
      <c r="G64" s="660">
        <f>F64/G$47</f>
        <v>0.28000000000000003</v>
      </c>
      <c r="H64" s="670">
        <v>8</v>
      </c>
      <c r="I64" s="660">
        <f>H64/I$47</f>
        <v>0.32</v>
      </c>
      <c r="J64" s="670">
        <f>1+5</f>
        <v>6</v>
      </c>
      <c r="K64" s="660">
        <f>J64/K$47</f>
        <v>0.2608695652173913</v>
      </c>
      <c r="L64" s="670">
        <v>6</v>
      </c>
      <c r="M64" s="660">
        <f>L64/M$47</f>
        <v>0.27272727272727271</v>
      </c>
      <c r="N64" s="670">
        <v>4</v>
      </c>
      <c r="O64" s="660">
        <f>N64/O$47</f>
        <v>0.19047619047619047</v>
      </c>
      <c r="P64" s="670">
        <v>6</v>
      </c>
      <c r="Q64" s="660">
        <f>P64/Q$47</f>
        <v>0.25</v>
      </c>
      <c r="R64" s="670">
        <v>6</v>
      </c>
      <c r="S64" s="660">
        <f>R64/S$47</f>
        <v>0.2857142857142857</v>
      </c>
      <c r="T64" s="669">
        <v>8</v>
      </c>
      <c r="U64" s="661">
        <f>T64/U$47</f>
        <v>0.33333333333333331</v>
      </c>
      <c r="V64" s="333"/>
      <c r="W64" s="334">
        <f t="shared" si="16"/>
        <v>6</v>
      </c>
      <c r="X64" s="335">
        <f t="shared" si="16"/>
        <v>0.26645021645021644</v>
      </c>
    </row>
    <row r="65" spans="1:24" s="1" customFormat="1" ht="18" customHeight="1" x14ac:dyDescent="0.2">
      <c r="A65" s="614" t="s">
        <v>118</v>
      </c>
      <c r="B65" s="671"/>
      <c r="C65" s="654"/>
      <c r="D65" s="671"/>
      <c r="E65" s="655"/>
      <c r="F65" s="672"/>
      <c r="G65" s="655"/>
      <c r="H65" s="672"/>
      <c r="I65" s="655"/>
      <c r="J65" s="672"/>
      <c r="K65" s="655"/>
      <c r="L65" s="672"/>
      <c r="M65" s="655"/>
      <c r="N65" s="672"/>
      <c r="O65" s="655"/>
      <c r="P65" s="672"/>
      <c r="Q65" s="655"/>
      <c r="R65" s="672"/>
      <c r="S65" s="655"/>
      <c r="T65" s="671"/>
      <c r="U65" s="656"/>
      <c r="V65" s="333"/>
      <c r="W65" s="657"/>
      <c r="X65" s="658"/>
    </row>
    <row r="66" spans="1:24" s="1" customFormat="1" ht="15" customHeight="1" x14ac:dyDescent="0.2">
      <c r="A66" s="326" t="s">
        <v>119</v>
      </c>
      <c r="B66" s="341">
        <v>20</v>
      </c>
      <c r="C66" s="328">
        <f>B66/C$47</f>
        <v>0.90909090909090906</v>
      </c>
      <c r="D66" s="341">
        <f>2+22</f>
        <v>24</v>
      </c>
      <c r="E66" s="329">
        <f>D66/E$47</f>
        <v>0.88888888888888884</v>
      </c>
      <c r="F66" s="342">
        <v>22</v>
      </c>
      <c r="G66" s="329">
        <f>F66/G$47</f>
        <v>0.88</v>
      </c>
      <c r="H66" s="342">
        <v>21</v>
      </c>
      <c r="I66" s="329">
        <f>H66/I$47</f>
        <v>0.84</v>
      </c>
      <c r="J66" s="342">
        <f>22</f>
        <v>22</v>
      </c>
      <c r="K66" s="329">
        <f>J66/K$47</f>
        <v>0.95652173913043481</v>
      </c>
      <c r="L66" s="342">
        <v>19</v>
      </c>
      <c r="M66" s="329">
        <f>L66/M$47</f>
        <v>0.86363636363636365</v>
      </c>
      <c r="N66" s="342">
        <f>1+18</f>
        <v>19</v>
      </c>
      <c r="O66" s="329">
        <f>N66/O$47</f>
        <v>0.90476190476190477</v>
      </c>
      <c r="P66" s="342">
        <v>23</v>
      </c>
      <c r="Q66" s="329">
        <f>P66/Q$47</f>
        <v>0.95833333333333337</v>
      </c>
      <c r="R66" s="342">
        <v>19</v>
      </c>
      <c r="S66" s="329">
        <f>R66/S$47</f>
        <v>0.90476190476190477</v>
      </c>
      <c r="T66" s="341">
        <v>21</v>
      </c>
      <c r="U66" s="332">
        <f>T66/U$47</f>
        <v>0.875</v>
      </c>
      <c r="V66" s="333"/>
      <c r="W66" s="334">
        <f t="shared" si="16"/>
        <v>20.2</v>
      </c>
      <c r="X66" s="335">
        <f t="shared" si="16"/>
        <v>0.90129870129870127</v>
      </c>
    </row>
    <row r="67" spans="1:24" s="1" customFormat="1" ht="15" customHeight="1" x14ac:dyDescent="0.2">
      <c r="A67" s="326" t="s">
        <v>120</v>
      </c>
      <c r="B67" s="341">
        <v>2</v>
      </c>
      <c r="C67" s="328">
        <f>B67/C$47</f>
        <v>9.0909090909090912E-2</v>
      </c>
      <c r="D67" s="341">
        <v>2</v>
      </c>
      <c r="E67" s="329">
        <f>D67/E$47</f>
        <v>7.407407407407407E-2</v>
      </c>
      <c r="F67" s="342">
        <v>3</v>
      </c>
      <c r="G67" s="329">
        <f>F67/G$47</f>
        <v>0.12</v>
      </c>
      <c r="H67" s="342">
        <v>3</v>
      </c>
      <c r="I67" s="329">
        <f>H67/I$47</f>
        <v>0.12</v>
      </c>
      <c r="J67" s="342">
        <f>0</f>
        <v>0</v>
      </c>
      <c r="K67" s="329">
        <f>J67/K$47</f>
        <v>0</v>
      </c>
      <c r="L67" s="342">
        <v>2</v>
      </c>
      <c r="M67" s="329">
        <f>L67/M$47</f>
        <v>9.0909090909090912E-2</v>
      </c>
      <c r="N67" s="342">
        <v>2</v>
      </c>
      <c r="O67" s="329">
        <f>N67/O$47</f>
        <v>9.5238095238095233E-2</v>
      </c>
      <c r="P67" s="342">
        <v>1</v>
      </c>
      <c r="Q67" s="329">
        <f>P67/Q$47</f>
        <v>4.1666666666666664E-2</v>
      </c>
      <c r="R67" s="342">
        <v>2</v>
      </c>
      <c r="S67" s="329">
        <f>R67/S$47</f>
        <v>9.5238095238095233E-2</v>
      </c>
      <c r="T67" s="341">
        <v>2</v>
      </c>
      <c r="U67" s="332">
        <f>T67/U$47</f>
        <v>8.3333333333333329E-2</v>
      </c>
      <c r="V67" s="333"/>
      <c r="W67" s="334">
        <f t="shared" si="16"/>
        <v>1.8</v>
      </c>
      <c r="X67" s="335">
        <f t="shared" si="16"/>
        <v>8.1277056277056281E-2</v>
      </c>
    </row>
    <row r="68" spans="1:24" s="1" customFormat="1" ht="15" customHeight="1" x14ac:dyDescent="0.2">
      <c r="A68" s="326" t="s">
        <v>121</v>
      </c>
      <c r="B68" s="341">
        <v>0</v>
      </c>
      <c r="C68" s="328">
        <f>B68/C$47</f>
        <v>0</v>
      </c>
      <c r="D68" s="341">
        <v>1</v>
      </c>
      <c r="E68" s="329">
        <f>D68/E$47</f>
        <v>3.7037037037037035E-2</v>
      </c>
      <c r="F68" s="342">
        <v>0</v>
      </c>
      <c r="G68" s="329">
        <f>F68/G$47</f>
        <v>0</v>
      </c>
      <c r="H68" s="342">
        <v>1</v>
      </c>
      <c r="I68" s="329">
        <f>H68/I$47</f>
        <v>0.04</v>
      </c>
      <c r="J68" s="342">
        <f>1</f>
        <v>1</v>
      </c>
      <c r="K68" s="329">
        <f>J68/K$47</f>
        <v>4.3478260869565216E-2</v>
      </c>
      <c r="L68" s="342">
        <v>1</v>
      </c>
      <c r="M68" s="329">
        <f>L68/M$47</f>
        <v>4.5454545454545456E-2</v>
      </c>
      <c r="N68" s="342">
        <v>0</v>
      </c>
      <c r="O68" s="329">
        <f>N68/O$47</f>
        <v>0</v>
      </c>
      <c r="P68" s="342">
        <v>0</v>
      </c>
      <c r="Q68" s="329">
        <f>P68/Q$47</f>
        <v>0</v>
      </c>
      <c r="R68" s="342">
        <v>0</v>
      </c>
      <c r="S68" s="329">
        <f>R68/S$47</f>
        <v>0</v>
      </c>
      <c r="T68" s="341">
        <v>1</v>
      </c>
      <c r="U68" s="332">
        <f>T68/U$47</f>
        <v>4.1666666666666664E-2</v>
      </c>
      <c r="V68" s="333"/>
      <c r="W68" s="334">
        <f t="shared" si="16"/>
        <v>0.4</v>
      </c>
      <c r="X68" s="335">
        <f t="shared" si="16"/>
        <v>1.7424242424242425E-2</v>
      </c>
    </row>
    <row r="69" spans="1:24" s="1" customFormat="1" ht="15" customHeight="1" thickBot="1" x14ac:dyDescent="0.25">
      <c r="A69" s="344" t="s">
        <v>122</v>
      </c>
      <c r="B69" s="345">
        <v>0</v>
      </c>
      <c r="C69" s="346">
        <f>B69/C$47</f>
        <v>0</v>
      </c>
      <c r="D69" s="345">
        <v>0</v>
      </c>
      <c r="E69" s="347">
        <f>D69/E$47</f>
        <v>0</v>
      </c>
      <c r="F69" s="348">
        <v>0</v>
      </c>
      <c r="G69" s="347">
        <f>F69/G$47</f>
        <v>0</v>
      </c>
      <c r="H69" s="348">
        <v>0</v>
      </c>
      <c r="I69" s="347">
        <f>H69/I$47</f>
        <v>0</v>
      </c>
      <c r="J69" s="348">
        <v>0</v>
      </c>
      <c r="K69" s="347">
        <f>J69/K$47</f>
        <v>0</v>
      </c>
      <c r="L69" s="348">
        <v>0</v>
      </c>
      <c r="M69" s="347">
        <f>L69/M$47</f>
        <v>0</v>
      </c>
      <c r="N69" s="348">
        <v>0</v>
      </c>
      <c r="O69" s="347">
        <f>N69/O$47</f>
        <v>0</v>
      </c>
      <c r="P69" s="348">
        <v>0</v>
      </c>
      <c r="Q69" s="347">
        <f>P69/Q$47</f>
        <v>0</v>
      </c>
      <c r="R69" s="348">
        <v>0</v>
      </c>
      <c r="S69" s="347">
        <f>R69/S$47</f>
        <v>0</v>
      </c>
      <c r="T69" s="345">
        <v>0</v>
      </c>
      <c r="U69" s="349">
        <f>T69/U$47</f>
        <v>0</v>
      </c>
      <c r="V69" s="333"/>
      <c r="W69" s="334">
        <f t="shared" si="16"/>
        <v>0</v>
      </c>
      <c r="X69" s="335">
        <f t="shared" si="16"/>
        <v>0</v>
      </c>
    </row>
    <row r="70" spans="1:24" ht="13.5" thickTop="1" x14ac:dyDescent="0.2">
      <c r="A70" s="635" t="s">
        <v>251</v>
      </c>
      <c r="H70" s="26" t="s">
        <v>16</v>
      </c>
      <c r="J70" s="26" t="s">
        <v>16</v>
      </c>
      <c r="L70" s="26" t="s">
        <v>16</v>
      </c>
      <c r="N70" s="26" t="s">
        <v>16</v>
      </c>
      <c r="P70" s="26" t="s">
        <v>16</v>
      </c>
      <c r="R70" s="26" t="s">
        <v>16</v>
      </c>
      <c r="T70" s="26" t="s">
        <v>16</v>
      </c>
      <c r="V70" s="41"/>
    </row>
    <row r="71" spans="1:24" x14ac:dyDescent="0.2">
      <c r="A71" s="1"/>
    </row>
    <row r="72" spans="1:24" x14ac:dyDescent="0.2">
      <c r="A72" s="1"/>
    </row>
    <row r="73" spans="1:24" x14ac:dyDescent="0.2">
      <c r="A73" s="1"/>
    </row>
    <row r="74" spans="1:24" x14ac:dyDescent="0.2">
      <c r="A74" s="1"/>
    </row>
    <row r="75" spans="1:24" x14ac:dyDescent="0.2">
      <c r="A75" s="1"/>
    </row>
    <row r="76" spans="1:24" x14ac:dyDescent="0.2">
      <c r="A76" s="1"/>
    </row>
    <row r="77" spans="1:24" x14ac:dyDescent="0.2">
      <c r="A77" s="1"/>
    </row>
    <row r="78" spans="1:24" x14ac:dyDescent="0.2">
      <c r="A78" s="1"/>
    </row>
    <row r="79" spans="1:24" x14ac:dyDescent="0.2">
      <c r="A79" s="1"/>
    </row>
    <row r="80" spans="1:24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</sheetData>
  <mergeCells count="55">
    <mergeCell ref="W9:X9"/>
    <mergeCell ref="B9:C9"/>
    <mergeCell ref="D9:E9"/>
    <mergeCell ref="F9:G9"/>
    <mergeCell ref="H9:I9"/>
    <mergeCell ref="J9:K9"/>
    <mergeCell ref="L9:M9"/>
    <mergeCell ref="T9:U9"/>
    <mergeCell ref="B35:C35"/>
    <mergeCell ref="D35:E35"/>
    <mergeCell ref="N9:O9"/>
    <mergeCell ref="P9:Q9"/>
    <mergeCell ref="R9:S9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B28:C28"/>
    <mergeCell ref="D28:E28"/>
    <mergeCell ref="W18:X18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W25:X25"/>
    <mergeCell ref="T18:U18"/>
    <mergeCell ref="T25:U25"/>
    <mergeCell ref="F28:G28"/>
    <mergeCell ref="H28:I28"/>
    <mergeCell ref="J28:K28"/>
    <mergeCell ref="N28:O28"/>
    <mergeCell ref="P28:Q28"/>
    <mergeCell ref="R28:S28"/>
    <mergeCell ref="W28:X28"/>
    <mergeCell ref="L28:M28"/>
    <mergeCell ref="P35:Q35"/>
    <mergeCell ref="R35:S35"/>
    <mergeCell ref="W35:X35"/>
    <mergeCell ref="T28:U28"/>
    <mergeCell ref="T35:U35"/>
    <mergeCell ref="F35:G35"/>
    <mergeCell ref="H35:I35"/>
    <mergeCell ref="J35:K35"/>
    <mergeCell ref="L35:M35"/>
    <mergeCell ref="N35:O35"/>
  </mergeCells>
  <pageMargins left="0.7" right="0.7" top="0.5" bottom="0.5" header="0.3" footer="0.3"/>
  <pageSetup scale="70" orientation="landscape" r:id="rId1"/>
  <headerFooter>
    <oddFooter>&amp;L&amp;8Prepared by Planning and Analysis&amp;C&amp;8&amp;P of &amp;N&amp;R&amp;8Updated &amp;D</oddFooter>
  </headerFooter>
  <rowBreaks count="1" manualBreakCount="1">
    <brk id="33" max="21" man="1"/>
  </rowBreaks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Dean AG</vt:lpstr>
      <vt:lpstr>Ag Economics </vt:lpstr>
      <vt:lpstr>Agronomy</vt:lpstr>
      <vt:lpstr>Animal Sciences Industry</vt:lpstr>
      <vt:lpstr>Comm Ag Education</vt:lpstr>
      <vt:lpstr>Entomolgy</vt:lpstr>
      <vt:lpstr>Grain Science Industry</vt:lpstr>
      <vt:lpstr>Hort &amp; Nat Res</vt:lpstr>
      <vt:lpstr>Plant Pathology</vt:lpstr>
      <vt:lpstr>Ag Summary</vt:lpstr>
      <vt:lpstr>'Ag Economics '!Print_Area</vt:lpstr>
      <vt:lpstr>'Ag Summary'!Print_Area</vt:lpstr>
      <vt:lpstr>Agronomy!Print_Area</vt:lpstr>
      <vt:lpstr>'Animal Sciences Industry'!Print_Area</vt:lpstr>
      <vt:lpstr>'Comm Ag Education'!Print_Area</vt:lpstr>
      <vt:lpstr>'Dean AG'!Print_Area</vt:lpstr>
      <vt:lpstr>Entomolgy!Print_Area</vt:lpstr>
      <vt:lpstr>'Grain Science Industry'!Print_Area</vt:lpstr>
      <vt:lpstr>'Hort &amp; Nat Res'!Print_Area</vt:lpstr>
      <vt:lpstr>'Plant Pathology'!Print_Area</vt:lpstr>
      <vt:lpstr>'Ag Economics '!Print_Titles</vt:lpstr>
      <vt:lpstr>Agronomy!Print_Titles</vt:lpstr>
      <vt:lpstr>'Animal Sciences Industry'!Print_Titles</vt:lpstr>
      <vt:lpstr>'Comm Ag Education'!Print_Titles</vt:lpstr>
      <vt:lpstr>'Dean AG'!Print_Titles</vt:lpstr>
      <vt:lpstr>Entomolgy!Print_Titles</vt:lpstr>
      <vt:lpstr>'Grain Science Industry'!Print_Titles</vt:lpstr>
      <vt:lpstr>'Hort &amp; Nat Res'!Print_Titles</vt:lpstr>
      <vt:lpstr>'Plant Pathology'!Print_Titles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Feldkamp</dc:creator>
  <cp:lastModifiedBy>Nancy Baker</cp:lastModifiedBy>
  <cp:lastPrinted>2017-05-04T18:32:27Z</cp:lastPrinted>
  <dcterms:created xsi:type="dcterms:W3CDTF">2015-09-11T14:15:26Z</dcterms:created>
  <dcterms:modified xsi:type="dcterms:W3CDTF">2017-05-04T18:32:34Z</dcterms:modified>
</cp:coreProperties>
</file>