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hao1\Desktop\Student Report\2023\enrollment\"/>
    </mc:Choice>
  </mc:AlternateContent>
  <xr:revisionPtr revIDLastSave="0" documentId="13_ncr:1_{42F2B357-4611-487F-86D3-551EB99B41C4}" xr6:coauthVersionLast="47" xr6:coauthVersionMax="47" xr10:uidLastSave="{00000000-0000-0000-0000-000000000000}"/>
  <bookViews>
    <workbookView xWindow="-120" yWindow="-120" windowWidth="29040" windowHeight="15840" activeTab="2" xr2:uid="{1FDFC567-21A7-4C84-89AE-97D34ED01278}"/>
  </bookViews>
  <sheets>
    <sheet name="UG Demo" sheetId="1" r:id="rId1"/>
    <sheet name="UG Origin" sheetId="4" r:id="rId2"/>
    <sheet name="UG Top Majors" sheetId="5" r:id="rId3"/>
  </sheets>
  <definedNames>
    <definedName name="_xlnm.Print_Area" localSheetId="0">'UG Demo'!$A$1:$AF$58</definedName>
    <definedName name="_xlnm.Print_Area" localSheetId="1">'UG Origin'!$A$1:$F$26</definedName>
    <definedName name="_xlnm.Print_Area" localSheetId="2">'UG Top Majors'!$A$1:$F$23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4" l="1"/>
  <c r="F19" i="4"/>
  <c r="F18" i="4"/>
  <c r="F17" i="4"/>
  <c r="F16" i="4"/>
  <c r="F15" i="4"/>
  <c r="F14" i="4"/>
  <c r="E20" i="4"/>
  <c r="C10" i="4"/>
  <c r="C17" i="4"/>
  <c r="F11" i="4"/>
  <c r="F10" i="4"/>
  <c r="F9" i="4"/>
  <c r="F8" i="4"/>
  <c r="F7" i="4"/>
  <c r="E11" i="4"/>
  <c r="C7" i="4"/>
  <c r="AF4" i="1"/>
  <c r="AF20" i="1" l="1"/>
  <c r="C16" i="4"/>
  <c r="C15" i="4"/>
  <c r="C14" i="4"/>
  <c r="C13" i="4"/>
  <c r="C12" i="4"/>
  <c r="C11" i="4"/>
  <c r="C9" i="4"/>
  <c r="C8" i="4"/>
  <c r="O39" i="1"/>
  <c r="M39" i="1"/>
  <c r="H39" i="1"/>
  <c r="G39" i="1"/>
  <c r="F39" i="1"/>
  <c r="E39" i="1"/>
  <c r="D39" i="1"/>
  <c r="C39" i="1"/>
  <c r="T38" i="1"/>
  <c r="M38" i="1"/>
  <c r="T37" i="1"/>
  <c r="R36" i="1"/>
  <c r="M36" i="1"/>
  <c r="H36" i="1"/>
  <c r="G36" i="1"/>
  <c r="F36" i="1"/>
  <c r="E36" i="1"/>
  <c r="D36" i="1"/>
  <c r="C36" i="1"/>
  <c r="O35" i="1"/>
  <c r="M35" i="1"/>
  <c r="H35" i="1"/>
  <c r="G35" i="1"/>
  <c r="F35" i="1"/>
  <c r="E35" i="1"/>
  <c r="D35" i="1"/>
  <c r="C35" i="1"/>
  <c r="O34" i="1"/>
  <c r="M34" i="1"/>
  <c r="H34" i="1"/>
  <c r="G34" i="1"/>
  <c r="F34" i="1"/>
  <c r="E34" i="1"/>
  <c r="D34" i="1"/>
  <c r="C34" i="1"/>
  <c r="O33" i="1"/>
  <c r="M33" i="1"/>
  <c r="H33" i="1"/>
  <c r="G33" i="1"/>
  <c r="F33" i="1"/>
  <c r="E33" i="1"/>
  <c r="D33" i="1"/>
  <c r="C33" i="1"/>
  <c r="O32" i="1"/>
  <c r="M32" i="1"/>
  <c r="H32" i="1"/>
  <c r="G32" i="1"/>
  <c r="F32" i="1"/>
  <c r="E32" i="1"/>
  <c r="D32" i="1"/>
  <c r="C32" i="1"/>
  <c r="M31" i="1"/>
  <c r="L31" i="1"/>
  <c r="K31" i="1"/>
  <c r="J31" i="1"/>
  <c r="M30" i="1"/>
  <c r="L30" i="1"/>
  <c r="K30" i="1"/>
  <c r="J30" i="1"/>
  <c r="M29" i="1"/>
  <c r="L29" i="1"/>
  <c r="K29" i="1"/>
  <c r="J29" i="1"/>
  <c r="M28" i="1"/>
  <c r="L28" i="1"/>
  <c r="K28" i="1"/>
  <c r="J28" i="1"/>
  <c r="O26" i="1"/>
  <c r="M26" i="1"/>
  <c r="H26" i="1"/>
  <c r="G26" i="1"/>
  <c r="F26" i="1"/>
  <c r="E26" i="1"/>
  <c r="D26" i="1"/>
  <c r="C26" i="1"/>
  <c r="O25" i="1"/>
  <c r="M25" i="1"/>
  <c r="H25" i="1"/>
  <c r="G25" i="1"/>
  <c r="F25" i="1"/>
  <c r="E25" i="1"/>
  <c r="D25" i="1"/>
  <c r="C25" i="1"/>
  <c r="O24" i="1"/>
  <c r="M24" i="1"/>
  <c r="H24" i="1"/>
  <c r="G24" i="1"/>
  <c r="F24" i="1"/>
  <c r="E24" i="1"/>
  <c r="D24" i="1"/>
  <c r="C24" i="1"/>
  <c r="O23" i="1"/>
  <c r="M23" i="1"/>
  <c r="H23" i="1"/>
  <c r="G23" i="1"/>
  <c r="F23" i="1"/>
  <c r="E23" i="1"/>
  <c r="D23" i="1"/>
  <c r="C23" i="1"/>
  <c r="O22" i="1"/>
  <c r="H22" i="1"/>
  <c r="G22" i="1"/>
  <c r="F22" i="1"/>
  <c r="E22" i="1"/>
  <c r="D22" i="1"/>
  <c r="C22" i="1"/>
  <c r="O21" i="1"/>
  <c r="H21" i="1"/>
  <c r="G21" i="1"/>
  <c r="F21" i="1"/>
  <c r="E21" i="1"/>
  <c r="D21" i="1"/>
  <c r="C21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U19" i="1"/>
  <c r="R19" i="1"/>
  <c r="Q19" i="1"/>
  <c r="P19" i="1"/>
  <c r="O19" i="1"/>
  <c r="M19" i="1"/>
  <c r="L19" i="1"/>
  <c r="J19" i="1"/>
  <c r="I19" i="1"/>
  <c r="H19" i="1"/>
  <c r="G19" i="1"/>
  <c r="F19" i="1"/>
  <c r="E19" i="1"/>
  <c r="D19" i="1"/>
  <c r="C19" i="1"/>
  <c r="R18" i="1"/>
  <c r="Q18" i="1"/>
  <c r="P18" i="1"/>
  <c r="O18" i="1"/>
  <c r="M18" i="1"/>
  <c r="L18" i="1"/>
  <c r="J18" i="1"/>
  <c r="W17" i="1"/>
  <c r="U16" i="1"/>
  <c r="R16" i="1"/>
  <c r="Q16" i="1"/>
  <c r="P16" i="1"/>
  <c r="O16" i="1"/>
  <c r="M16" i="1"/>
  <c r="L16" i="1"/>
  <c r="J16" i="1"/>
  <c r="I16" i="1"/>
  <c r="H16" i="1"/>
  <c r="G16" i="1"/>
  <c r="F16" i="1"/>
  <c r="E16" i="1"/>
  <c r="D16" i="1"/>
  <c r="C16" i="1"/>
  <c r="U14" i="1"/>
  <c r="R14" i="1"/>
  <c r="P14" i="1"/>
  <c r="O14" i="1"/>
  <c r="M14" i="1"/>
  <c r="L14" i="1"/>
  <c r="K14" i="1"/>
  <c r="J14" i="1"/>
  <c r="I14" i="1"/>
  <c r="H14" i="1"/>
  <c r="G14" i="1"/>
  <c r="F14" i="1"/>
  <c r="E14" i="1"/>
  <c r="D14" i="1"/>
  <c r="C14" i="1"/>
  <c r="R13" i="1"/>
  <c r="P13" i="1"/>
  <c r="O13" i="1"/>
  <c r="M13" i="1"/>
  <c r="L13" i="1"/>
  <c r="J13" i="1"/>
  <c r="I13" i="1"/>
  <c r="H13" i="1"/>
  <c r="G13" i="1"/>
  <c r="F13" i="1"/>
  <c r="E13" i="1"/>
  <c r="D13" i="1"/>
  <c r="C13" i="1"/>
  <c r="U12" i="1"/>
  <c r="R12" i="1"/>
  <c r="P12" i="1"/>
  <c r="O12" i="1"/>
  <c r="M12" i="1"/>
  <c r="L12" i="1"/>
  <c r="J12" i="1"/>
  <c r="I12" i="1"/>
  <c r="H12" i="1"/>
  <c r="G12" i="1"/>
  <c r="F12" i="1"/>
  <c r="E12" i="1"/>
  <c r="D12" i="1"/>
  <c r="C12" i="1"/>
  <c r="U11" i="1"/>
  <c r="R11" i="1"/>
  <c r="P11" i="1"/>
  <c r="O11" i="1"/>
  <c r="M11" i="1"/>
  <c r="L11" i="1"/>
  <c r="K11" i="1"/>
  <c r="J11" i="1"/>
  <c r="I11" i="1"/>
  <c r="H11" i="1"/>
  <c r="G11" i="1"/>
  <c r="F11" i="1"/>
  <c r="E11" i="1"/>
  <c r="D11" i="1"/>
  <c r="C11" i="1"/>
  <c r="V10" i="1"/>
  <c r="U10" i="1"/>
  <c r="R10" i="1"/>
  <c r="Q10" i="1"/>
  <c r="P10" i="1"/>
  <c r="O10" i="1"/>
  <c r="M10" i="1"/>
  <c r="L10" i="1"/>
  <c r="K10" i="1"/>
  <c r="J10" i="1"/>
  <c r="I10" i="1"/>
  <c r="H10" i="1"/>
  <c r="G10" i="1"/>
  <c r="F10" i="1"/>
  <c r="E10" i="1"/>
  <c r="D10" i="1"/>
  <c r="C10" i="1"/>
  <c r="V9" i="1"/>
  <c r="U9" i="1"/>
  <c r="R9" i="1"/>
  <c r="P9" i="1"/>
  <c r="O9" i="1"/>
  <c r="M9" i="1"/>
  <c r="L9" i="1"/>
  <c r="K9" i="1"/>
  <c r="J9" i="1"/>
  <c r="I9" i="1"/>
  <c r="H9" i="1"/>
  <c r="G9" i="1"/>
  <c r="F9" i="1"/>
  <c r="E9" i="1"/>
  <c r="D9" i="1"/>
  <c r="C9" i="1"/>
  <c r="V6" i="1"/>
  <c r="U6" i="1"/>
  <c r="P6" i="1"/>
  <c r="O6" i="1"/>
  <c r="M6" i="1"/>
  <c r="L6" i="1"/>
  <c r="K6" i="1"/>
  <c r="J6" i="1"/>
  <c r="I6" i="1"/>
  <c r="H6" i="1"/>
  <c r="G6" i="1"/>
  <c r="F6" i="1"/>
  <c r="E6" i="1"/>
  <c r="D6" i="1"/>
  <c r="C6" i="1"/>
  <c r="V5" i="1"/>
  <c r="P5" i="1"/>
  <c r="O5" i="1"/>
  <c r="M5" i="1"/>
  <c r="L5" i="1"/>
  <c r="K5" i="1"/>
  <c r="J5" i="1"/>
  <c r="I5" i="1"/>
  <c r="H5" i="1"/>
  <c r="G5" i="1"/>
  <c r="F5" i="1"/>
  <c r="E5" i="1"/>
  <c r="D5" i="1"/>
  <c r="C5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<sst xmlns="http://schemas.openxmlformats.org/spreadsheetml/2006/main" count="126" uniqueCount="88">
  <si>
    <t>Student Classification/</t>
  </si>
  <si>
    <t>Fall Semester</t>
  </si>
  <si>
    <t>Student Status</t>
  </si>
  <si>
    <t>1990</t>
  </si>
  <si>
    <t>1991</t>
  </si>
  <si>
    <t>1992</t>
  </si>
  <si>
    <t>1993</t>
  </si>
  <si>
    <t>1994</t>
  </si>
  <si>
    <t>1995</t>
  </si>
  <si>
    <r>
      <t>1st Time Freshmen</t>
    </r>
    <r>
      <rPr>
        <b/>
        <vertAlign val="superscript"/>
        <sz val="10"/>
        <rFont val="Arial"/>
        <family val="2"/>
      </rPr>
      <t>*</t>
    </r>
  </si>
  <si>
    <t>Full-Time**</t>
  </si>
  <si>
    <t>Part-Time</t>
  </si>
  <si>
    <t>In-State</t>
  </si>
  <si>
    <t>Out-of-State</t>
  </si>
  <si>
    <t>Men</t>
  </si>
  <si>
    <t>Women</t>
  </si>
  <si>
    <t>Non-Res. Alien</t>
  </si>
  <si>
    <t>Black</t>
  </si>
  <si>
    <t>American Indian</t>
  </si>
  <si>
    <t>Asian</t>
  </si>
  <si>
    <t>Hawaiian/Pacific Is</t>
  </si>
  <si>
    <t>Hispanic</t>
  </si>
  <si>
    <t>Multiracial</t>
  </si>
  <si>
    <t>Unknown</t>
  </si>
  <si>
    <t>White</t>
  </si>
  <si>
    <t>Total Undergraduates</t>
  </si>
  <si>
    <t>Age: 19 and Under</t>
  </si>
  <si>
    <t>Age: 20-24</t>
  </si>
  <si>
    <t>Age: 25-39</t>
  </si>
  <si>
    <t>Age: 40 and Over</t>
  </si>
  <si>
    <r>
      <t>*</t>
    </r>
    <r>
      <rPr>
        <sz val="8"/>
        <rFont val="Arial"/>
        <family val="2"/>
      </rPr>
      <t xml:space="preserve"> First-time freshman refers to a student attending any institution for the first time at the undergraduate level.  Includes students who entered with advanced standing (college credits earned before high school graduation).</t>
    </r>
  </si>
  <si>
    <t>Kansas Counties, States, and Countries</t>
  </si>
  <si>
    <t>with the Largest Undergraduate Student Origins</t>
  </si>
  <si>
    <t>Kansas Counties</t>
  </si>
  <si>
    <t>N</t>
  </si>
  <si>
    <t>%</t>
  </si>
  <si>
    <t>States and Countries</t>
  </si>
  <si>
    <t>U.S. States:</t>
  </si>
  <si>
    <t>Johnson</t>
  </si>
  <si>
    <t>Missouri</t>
  </si>
  <si>
    <t>Sedgwick</t>
  </si>
  <si>
    <t>Texas</t>
  </si>
  <si>
    <t>Riley</t>
  </si>
  <si>
    <t>Nebraska</t>
  </si>
  <si>
    <t>Shawnee</t>
  </si>
  <si>
    <t>Other States</t>
  </si>
  <si>
    <t>Total all non-KS states</t>
  </si>
  <si>
    <t>Countries:</t>
  </si>
  <si>
    <t>Butler</t>
  </si>
  <si>
    <t>China</t>
  </si>
  <si>
    <t>Reno</t>
  </si>
  <si>
    <t>Saudi Arabia</t>
  </si>
  <si>
    <t>Paraguay</t>
  </si>
  <si>
    <t>Other Kansas Counties</t>
  </si>
  <si>
    <t>Kuwait</t>
  </si>
  <si>
    <t>Total Kansas Residents</t>
  </si>
  <si>
    <t>Japan</t>
  </si>
  <si>
    <t>Other Countries</t>
  </si>
  <si>
    <t>Total International</t>
  </si>
  <si>
    <t>*Note:  Percents are based upon the following:  Kansas Counties = Kansas undergraduate residents;</t>
  </si>
  <si>
    <t xml:space="preserve"> U.S. states = all non-Kansas domestic undergraduates; Countries =  undergraduate international residents.</t>
  </si>
  <si>
    <t xml:space="preserve">  (residence for this table is based upon student permanent addresses)</t>
  </si>
  <si>
    <r>
      <t xml:space="preserve">Undergraduate Majors with the Largest Enrollment </t>
    </r>
    <r>
      <rPr>
        <b/>
        <i/>
        <sz val="15"/>
        <rFont val="Arial"/>
        <family val="2"/>
      </rPr>
      <t>Excluding</t>
    </r>
    <r>
      <rPr>
        <b/>
        <sz val="15"/>
        <rFont val="Arial"/>
        <family val="2"/>
      </rPr>
      <t xml:space="preserve"> the Pre-Professional Programs </t>
    </r>
  </si>
  <si>
    <t>Program</t>
  </si>
  <si>
    <t>Rank</t>
  </si>
  <si>
    <t>Mechanical Engineering</t>
  </si>
  <si>
    <t>Elementary Education</t>
  </si>
  <si>
    <t>Kinesiology</t>
  </si>
  <si>
    <t>Biology</t>
  </si>
  <si>
    <t>Aeronautical Technology</t>
  </si>
  <si>
    <t>Excluding the pre-professional programs - Pre-professional business, pre-journalism, pre-psychology, pre-elementary education, pre-secondary education, pre-architectual engineering, and pre-construction science.</t>
  </si>
  <si>
    <r>
      <t xml:space="preserve">Undergraduate Majors with the Largest Enrollment </t>
    </r>
    <r>
      <rPr>
        <b/>
        <i/>
        <sz val="15"/>
        <rFont val="Arial"/>
        <family val="2"/>
      </rPr>
      <t>Including</t>
    </r>
    <r>
      <rPr>
        <b/>
        <sz val="15"/>
        <rFont val="Arial"/>
        <family val="2"/>
      </rPr>
      <t xml:space="preserve"> the Pre-Professional Programs</t>
    </r>
  </si>
  <si>
    <t>Business Administration</t>
  </si>
  <si>
    <t>Including the pre-professional programs - Pre-professional business, pre-journalism, pre-psychology, pre-elementary education, pre-secondary education, pre-architectual engineering, and pre-construction science.</t>
  </si>
  <si>
    <t xml:space="preserve">        Undergraduate Student Demographics</t>
  </si>
  <si>
    <t>Leavenworth</t>
  </si>
  <si>
    <t>Salina</t>
  </si>
  <si>
    <t>Psychology</t>
  </si>
  <si>
    <t>Marketing</t>
  </si>
  <si>
    <t>Pottawatomie </t>
  </si>
  <si>
    <t>Korean</t>
  </si>
  <si>
    <t>Animal Sciences and Industry</t>
  </si>
  <si>
    <t>Construction Sci And Mgmt</t>
  </si>
  <si>
    <t>Fall 2023</t>
  </si>
  <si>
    <t>Geary</t>
  </si>
  <si>
    <t>Colorado</t>
  </si>
  <si>
    <t>Undergraduate students originated from 106 Kansas counties, 59 states plus the District of Columbia, and 67 countries.</t>
  </si>
  <si>
    <t>Nutrition and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</si>
</sst>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5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1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Continuous" wrapText="1"/>
    </xf>
    <xf numFmtId="0" fontId="0" fillId="0" borderId="1" xfId="0" applyBorder="1" applyAlignment="1">
      <alignment horizontal="centerContinuous"/>
    </xf>
    <xf numFmtId="0" fontId="3" fillId="0" borderId="2" xfId="0" applyFont="1" applyBorder="1"/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3" fontId="3" fillId="0" borderId="17" xfId="0" applyNumberFormat="1" applyFont="1" applyBorder="1"/>
    <xf numFmtId="3" fontId="3" fillId="0" borderId="18" xfId="0" applyNumberFormat="1" applyFont="1" applyBorder="1"/>
    <xf numFmtId="3" fontId="3" fillId="0" borderId="0" xfId="0" applyNumberFormat="1" applyFont="1"/>
    <xf numFmtId="164" fontId="3" fillId="0" borderId="0" xfId="1" applyNumberFormat="1" applyFont="1" applyBorder="1"/>
    <xf numFmtId="164" fontId="3" fillId="0" borderId="17" xfId="1" applyNumberFormat="1" applyFont="1" applyBorder="1"/>
    <xf numFmtId="164" fontId="3" fillId="0" borderId="18" xfId="1" applyNumberFormat="1" applyFont="1" applyBorder="1"/>
    <xf numFmtId="164" fontId="3" fillId="0" borderId="13" xfId="1" applyNumberFormat="1" applyFont="1" applyFill="1" applyBorder="1"/>
    <xf numFmtId="3" fontId="3" fillId="0" borderId="13" xfId="0" applyNumberFormat="1" applyFont="1" applyBorder="1"/>
    <xf numFmtId="3" fontId="3" fillId="0" borderId="19" xfId="0" applyNumberFormat="1" applyFont="1" applyBorder="1"/>
    <xf numFmtId="3" fontId="3" fillId="0" borderId="20" xfId="0" applyNumberFormat="1" applyFont="1" applyBorder="1"/>
    <xf numFmtId="0" fontId="6" fillId="0" borderId="16" xfId="0" applyFont="1" applyBorder="1" applyAlignment="1">
      <alignment horizontal="right"/>
    </xf>
    <xf numFmtId="3" fontId="6" fillId="0" borderId="17" xfId="0" applyNumberFormat="1" applyFont="1" applyBorder="1"/>
    <xf numFmtId="3" fontId="6" fillId="0" borderId="18" xfId="0" applyNumberFormat="1" applyFont="1" applyBorder="1"/>
    <xf numFmtId="3" fontId="6" fillId="0" borderId="0" xfId="0" applyNumberFormat="1" applyFont="1"/>
    <xf numFmtId="164" fontId="6" fillId="0" borderId="0" xfId="1" applyNumberFormat="1" applyFont="1" applyBorder="1"/>
    <xf numFmtId="164" fontId="6" fillId="0" borderId="17" xfId="1" applyNumberFormat="1" applyFont="1" applyBorder="1"/>
    <xf numFmtId="164" fontId="1" fillId="0" borderId="17" xfId="1" applyNumberFormat="1" applyBorder="1"/>
    <xf numFmtId="164" fontId="1" fillId="0" borderId="18" xfId="1" applyNumberFormat="1" applyBorder="1"/>
    <xf numFmtId="164" fontId="1" fillId="0" borderId="18" xfId="1" applyNumberFormat="1" applyFill="1" applyBorder="1"/>
    <xf numFmtId="3" fontId="0" fillId="0" borderId="18" xfId="0" applyNumberFormat="1" applyBorder="1"/>
    <xf numFmtId="3" fontId="0" fillId="0" borderId="17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2" borderId="17" xfId="0" applyNumberFormat="1" applyFill="1" applyBorder="1"/>
    <xf numFmtId="164" fontId="6" fillId="0" borderId="21" xfId="1" applyNumberFormat="1" applyFont="1" applyBorder="1"/>
    <xf numFmtId="164" fontId="1" fillId="0" borderId="21" xfId="1" applyNumberFormat="1" applyBorder="1"/>
    <xf numFmtId="164" fontId="1" fillId="0" borderId="22" xfId="1" applyNumberFormat="1" applyBorder="1"/>
    <xf numFmtId="3" fontId="0" fillId="0" borderId="21" xfId="0" applyNumberFormat="1" applyBorder="1"/>
    <xf numFmtId="3" fontId="0" fillId="0" borderId="22" xfId="0" applyNumberFormat="1" applyBorder="1"/>
    <xf numFmtId="3" fontId="0" fillId="0" borderId="23" xfId="0" applyNumberFormat="1" applyBorder="1"/>
    <xf numFmtId="0" fontId="3" fillId="0" borderId="25" xfId="0" applyFont="1" applyBorder="1"/>
    <xf numFmtId="3" fontId="3" fillId="0" borderId="26" xfId="0" applyNumberFormat="1" applyFont="1" applyBorder="1"/>
    <xf numFmtId="3" fontId="3" fillId="0" borderId="27" xfId="0" applyNumberFormat="1" applyFont="1" applyBorder="1"/>
    <xf numFmtId="3" fontId="3" fillId="0" borderId="28" xfId="0" applyNumberFormat="1" applyFont="1" applyBorder="1"/>
    <xf numFmtId="164" fontId="3" fillId="0" borderId="29" xfId="1" applyNumberFormat="1" applyFont="1" applyBorder="1"/>
    <xf numFmtId="164" fontId="3" fillId="0" borderId="13" xfId="1" applyNumberFormat="1" applyFont="1" applyBorder="1"/>
    <xf numFmtId="164" fontId="3" fillId="0" borderId="27" xfId="1" applyNumberFormat="1" applyFont="1" applyFill="1" applyBorder="1"/>
    <xf numFmtId="3" fontId="3" fillId="0" borderId="30" xfId="0" applyNumberFormat="1" applyFont="1" applyBorder="1"/>
    <xf numFmtId="3" fontId="3" fillId="0" borderId="31" xfId="0" applyNumberFormat="1" applyFont="1" applyBorder="1"/>
    <xf numFmtId="164" fontId="6" fillId="0" borderId="17" xfId="1" applyNumberFormat="1" applyFont="1" applyFill="1" applyBorder="1"/>
    <xf numFmtId="164" fontId="6" fillId="0" borderId="18" xfId="1" applyNumberFormat="1" applyFont="1" applyFill="1" applyBorder="1"/>
    <xf numFmtId="0" fontId="6" fillId="0" borderId="32" xfId="0" applyFont="1" applyBorder="1" applyAlignment="1">
      <alignment horizontal="right"/>
    </xf>
    <xf numFmtId="3" fontId="6" fillId="0" borderId="33" xfId="0" applyNumberFormat="1" applyFont="1" applyBorder="1"/>
    <xf numFmtId="3" fontId="6" fillId="0" borderId="34" xfId="0" applyNumberFormat="1" applyFont="1" applyBorder="1"/>
    <xf numFmtId="3" fontId="6" fillId="0" borderId="1" xfId="0" applyNumberFormat="1" applyFont="1" applyBorder="1"/>
    <xf numFmtId="164" fontId="6" fillId="0" borderId="33" xfId="1" applyNumberFormat="1" applyFont="1" applyBorder="1"/>
    <xf numFmtId="164" fontId="1" fillId="0" borderId="33" xfId="1" applyNumberFormat="1" applyBorder="1"/>
    <xf numFmtId="164" fontId="1" fillId="0" borderId="34" xfId="1" applyNumberFormat="1" applyBorder="1"/>
    <xf numFmtId="164" fontId="1" fillId="0" borderId="34" xfId="1" applyNumberFormat="1" applyFill="1" applyBorder="1"/>
    <xf numFmtId="3" fontId="0" fillId="0" borderId="34" xfId="0" applyNumberFormat="1" applyBorder="1"/>
    <xf numFmtId="3" fontId="0" fillId="0" borderId="33" xfId="0" applyNumberFormat="1" applyBorder="1"/>
    <xf numFmtId="3" fontId="0" fillId="0" borderId="35" xfId="0" applyNumberFormat="1" applyBorder="1"/>
    <xf numFmtId="3" fontId="0" fillId="0" borderId="36" xfId="0" applyNumberFormat="1" applyBorder="1"/>
    <xf numFmtId="0" fontId="7" fillId="0" borderId="0" xfId="0" applyFont="1"/>
    <xf numFmtId="0" fontId="0" fillId="0" borderId="0" xfId="0" applyAlignment="1">
      <alignment horizontal="centerContinuous" wrapText="1"/>
    </xf>
    <xf numFmtId="0" fontId="0" fillId="0" borderId="37" xfId="0" applyBorder="1"/>
    <xf numFmtId="0" fontId="10" fillId="0" borderId="3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center"/>
    </xf>
    <xf numFmtId="0" fontId="11" fillId="0" borderId="41" xfId="0" applyFont="1" applyBorder="1" applyAlignment="1">
      <alignment horizontal="left"/>
    </xf>
    <xf numFmtId="0" fontId="11" fillId="0" borderId="19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left"/>
    </xf>
    <xf numFmtId="0" fontId="11" fillId="0" borderId="35" xfId="0" applyFont="1" applyBorder="1" applyAlignment="1">
      <alignment horizontal="center"/>
    </xf>
    <xf numFmtId="0" fontId="0" fillId="0" borderId="5" xfId="0" applyBorder="1"/>
    <xf numFmtId="0" fontId="12" fillId="0" borderId="0" xfId="0" applyFont="1" applyAlignment="1">
      <alignment horizontal="centerContinuous"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/>
    </xf>
    <xf numFmtId="0" fontId="11" fillId="0" borderId="19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35" xfId="0" applyFont="1" applyBorder="1" applyAlignment="1">
      <alignment horizontal="left"/>
    </xf>
    <xf numFmtId="0" fontId="11" fillId="0" borderId="46" xfId="0" applyFont="1" applyBorder="1" applyAlignment="1">
      <alignment horizontal="center"/>
    </xf>
    <xf numFmtId="3" fontId="0" fillId="0" borderId="0" xfId="0" applyNumberFormat="1"/>
    <xf numFmtId="0" fontId="3" fillId="0" borderId="38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6" xfId="0" applyBorder="1"/>
    <xf numFmtId="0" fontId="0" fillId="0" borderId="18" xfId="0" applyBorder="1"/>
    <xf numFmtId="0" fontId="3" fillId="0" borderId="41" xfId="0" applyFont="1" applyBorder="1" applyAlignment="1">
      <alignment horizontal="center"/>
    </xf>
    <xf numFmtId="0" fontId="0" fillId="0" borderId="20" xfId="0" applyBorder="1"/>
    <xf numFmtId="165" fontId="0" fillId="0" borderId="0" xfId="0" applyNumberFormat="1"/>
    <xf numFmtId="0" fontId="0" fillId="0" borderId="41" xfId="0" applyBorder="1" applyAlignment="1">
      <alignment horizontal="right"/>
    </xf>
    <xf numFmtId="165" fontId="0" fillId="0" borderId="20" xfId="0" applyNumberFormat="1" applyBorder="1"/>
    <xf numFmtId="0" fontId="3" fillId="0" borderId="47" xfId="0" applyFont="1" applyBorder="1" applyAlignment="1">
      <alignment horizontal="right"/>
    </xf>
    <xf numFmtId="3" fontId="3" fillId="0" borderId="22" xfId="0" applyNumberFormat="1" applyFont="1" applyBorder="1"/>
    <xf numFmtId="0" fontId="0" fillId="0" borderId="24" xfId="0" applyBorder="1"/>
    <xf numFmtId="0" fontId="0" fillId="0" borderId="48" xfId="0" applyBorder="1"/>
    <xf numFmtId="0" fontId="14" fillId="0" borderId="16" xfId="0" applyFont="1" applyBorder="1"/>
    <xf numFmtId="3" fontId="14" fillId="0" borderId="18" xfId="0" applyNumberFormat="1" applyFont="1" applyBorder="1"/>
    <xf numFmtId="0" fontId="3" fillId="0" borderId="49" xfId="0" applyFont="1" applyBorder="1"/>
    <xf numFmtId="165" fontId="0" fillId="0" borderId="24" xfId="0" applyNumberFormat="1" applyBorder="1"/>
    <xf numFmtId="0" fontId="0" fillId="0" borderId="28" xfId="0" applyBorder="1"/>
    <xf numFmtId="3" fontId="0" fillId="0" borderId="28" xfId="0" applyNumberFormat="1" applyBorder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top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22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2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Undergraduate Enrollment </a:t>
            </a:r>
          </a:p>
          <a:p>
            <a:pPr algn="ctr" rtl="0">
              <a:defRPr lang="en-US" sz="122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2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Men vs. Women</a:t>
            </a:r>
          </a:p>
        </c:rich>
      </c:tx>
      <c:layout>
        <c:manualLayout>
          <c:xMode val="edge"/>
          <c:yMode val="edge"/>
          <c:x val="0.28983541530992835"/>
          <c:y val="2.6706231454005934E-2"/>
        </c:manualLayout>
      </c:layout>
      <c:overlay val="0"/>
      <c:spPr>
        <a:noFill/>
        <a:ln w="25400">
          <a:noFill/>
        </a:ln>
      </c:spPr>
    </c:title>
    <c:autoTitleDeleted val="0"/>
    <c:view3D>
      <c:rotX val="0"/>
      <c:hPercent val="73"/>
      <c:rotY val="0"/>
      <c:depthPercent val="3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9422747044817156E-2"/>
          <c:y val="0.19187484376952882"/>
          <c:w val="0.85605432424604289"/>
          <c:h val="0.6112768500742565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'UG Demo'!$B$25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2.8490028490028491E-3"/>
                  <c:y val="0.173591874422899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50-4108-B330-5BA0F9B04E3F}"/>
                </c:ext>
              </c:extLst>
            </c:dLbl>
            <c:dLbl>
              <c:idx val="1"/>
              <c:layout>
                <c:manualLayout>
                  <c:x val="0"/>
                  <c:y val="0.192059095106186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50-4108-B330-5BA0F9B04E3F}"/>
                </c:ext>
              </c:extLst>
            </c:dLbl>
            <c:dLbl>
              <c:idx val="2"/>
              <c:layout>
                <c:manualLayout>
                  <c:x val="-2.8490028490028491E-3"/>
                  <c:y val="0.155124653739612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50-4108-B330-5BA0F9B04E3F}"/>
                </c:ext>
              </c:extLst>
            </c:dLbl>
            <c:dLbl>
              <c:idx val="3"/>
              <c:layout>
                <c:manualLayout>
                  <c:x val="-1.0446223104016404E-16"/>
                  <c:y val="0.121883656509695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50-4108-B330-5BA0F9B04E3F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-5400000" vertOverflow="overflow" horzOverflow="overflow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'UG Demo'!$AC$3:$AF$3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'UG Demo'!$AC$25:$AF$25</c:f>
              <c:numCache>
                <c:formatCode>#,##0</c:formatCode>
                <c:ptCount val="4"/>
                <c:pt idx="0">
                  <c:v>8300</c:v>
                </c:pt>
                <c:pt idx="1">
                  <c:v>7861</c:v>
                </c:pt>
                <c:pt idx="2">
                  <c:v>7487</c:v>
                </c:pt>
                <c:pt idx="3">
                  <c:v>7430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50-4108-B330-5BA0F9B04E3F}"/>
            </c:ext>
          </c:extLst>
        </c:ser>
        <c:ser>
          <c:idx val="1"/>
          <c:order val="1"/>
          <c:tx>
            <c:strRef>
              <c:f>'UG Demo'!$B$26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bg1"/>
            </a:solidFill>
            <a:ln w="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833382990356311E-4"/>
                  <c:y val="0.149778152730908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450-4108-B330-5BA0F9B04E3F}"/>
                </c:ext>
              </c:extLst>
            </c:dLbl>
            <c:dLbl>
              <c:idx val="1"/>
              <c:layout>
                <c:manualLayout>
                  <c:x val="-7.5863786511394787E-4"/>
                  <c:y val="0.167000218722659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450-4108-B330-5BA0F9B04E3F}"/>
                </c:ext>
              </c:extLst>
            </c:dLbl>
            <c:dLbl>
              <c:idx val="2"/>
              <c:layout>
                <c:manualLayout>
                  <c:x val="-1.3387440693993524E-3"/>
                  <c:y val="0.15495079644793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450-4108-B330-5BA0F9B04E3F}"/>
                </c:ext>
              </c:extLst>
            </c:dLbl>
            <c:dLbl>
              <c:idx val="3"/>
              <c:layout>
                <c:manualLayout>
                  <c:x val="-1.6220746880247902E-3"/>
                  <c:y val="0.166159802578686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450-4108-B330-5BA0F9B04E3F}"/>
                </c:ext>
              </c:extLst>
            </c:dLbl>
            <c:dLbl>
              <c:idx val="4"/>
              <c:layout>
                <c:manualLayout>
                  <c:x val="1.1534059288236739E-3"/>
                  <c:y val="0.160350301876220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450-4108-B330-5BA0F9B04E3F}"/>
                </c:ext>
              </c:extLst>
            </c:dLbl>
            <c:dLbl>
              <c:idx val="5"/>
              <c:layout>
                <c:manualLayout>
                  <c:x val="0"/>
                  <c:y val="0.142433234421364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450-4108-B330-5BA0F9B04E3F}"/>
                </c:ext>
              </c:extLst>
            </c:dLbl>
            <c:numFmt formatCode="General" sourceLinked="0"/>
            <c:spPr>
              <a:noFill/>
              <a:ln w="25400">
                <a:noFill/>
              </a:ln>
            </c:spPr>
            <c:txPr>
              <a:bodyPr rot="-5400000" vert="horz" anchorCtr="0"/>
              <a:lstStyle/>
              <a:p>
                <a:pPr algn="ctr">
                  <a:defRPr lang="en-US" sz="8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'UG Demo'!$AC$3:$AF$3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'UG Demo'!$AC$26:$AF$26</c:f>
              <c:numCache>
                <c:formatCode>#,##0</c:formatCode>
                <c:ptCount val="4"/>
                <c:pt idx="0">
                  <c:v>7957</c:v>
                </c:pt>
                <c:pt idx="1">
                  <c:v>7758</c:v>
                </c:pt>
                <c:pt idx="2">
                  <c:v>7559</c:v>
                </c:pt>
                <c:pt idx="3">
                  <c:v>7683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450-4108-B330-5BA0F9B04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3"/>
        <c:gapDepth val="74"/>
        <c:shape val="box"/>
        <c:axId val="257188560"/>
        <c:axId val="257188952"/>
        <c:axId val="0"/>
      </c:bar3DChart>
      <c:catAx>
        <c:axId val="257188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 rtl="0">
                  <a:defRPr lang="en-US"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Fall Semester</a:t>
                </a:r>
              </a:p>
            </c:rich>
          </c:tx>
          <c:layout>
            <c:manualLayout>
              <c:xMode val="edge"/>
              <c:yMode val="edge"/>
              <c:x val="0.44093481735835649"/>
              <c:y val="0.903067517153827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en-US"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7188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7188952"/>
        <c:scaling>
          <c:orientation val="minMax"/>
          <c:min val="7000"/>
        </c:scaling>
        <c:delete val="0"/>
        <c:axPos val="l"/>
        <c:title>
          <c:tx>
            <c:rich>
              <a:bodyPr/>
              <a:lstStyle/>
              <a:p>
                <a:pPr algn="ctr" rtl="0">
                  <a:defRPr lang="en-US"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Headcount</a:t>
                </a:r>
              </a:p>
            </c:rich>
          </c:tx>
          <c:layout>
            <c:manualLayout>
              <c:xMode val="edge"/>
              <c:yMode val="edge"/>
              <c:x val="4.1208927831389498E-2"/>
              <c:y val="0.3768552224740452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en-US"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71885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2400994033947106"/>
          <c:y val="0.78410823647044114"/>
          <c:w val="0.17599005966052886"/>
          <c:h val="0.1802848862642169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US" sz="9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lang="en-US" sz="950" b="0" i="0" u="none" strike="noStrike" kern="1200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152399</xdr:rowOff>
    </xdr:from>
    <xdr:to>
      <xdr:col>32</xdr:col>
      <xdr:colOff>0</xdr:colOff>
      <xdr:row>59</xdr:row>
      <xdr:rowOff>152399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8D56ED4-1249-4C8D-9E49-6E03D90D3B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19CFC-D052-4F44-8A6E-45DCDCD0870A}">
  <sheetPr>
    <pageSetUpPr fitToPage="1"/>
  </sheetPr>
  <dimension ref="A1:AG50"/>
  <sheetViews>
    <sheetView topLeftCell="A33" zoomScaleNormal="100" workbookViewId="0">
      <selection activeCell="AL7" sqref="AL7"/>
    </sheetView>
  </sheetViews>
  <sheetFormatPr defaultRowHeight="15" x14ac:dyDescent="0.25"/>
  <cols>
    <col min="1" max="1" width="23.7109375" customWidth="1"/>
    <col min="2" max="2" width="21.140625" customWidth="1"/>
    <col min="3" max="27" width="0" hidden="1" customWidth="1"/>
    <col min="33" max="33" width="11.5703125" customWidth="1"/>
  </cols>
  <sheetData>
    <row r="1" spans="1:32" ht="21" customHeight="1" thickBot="1" x14ac:dyDescent="0.35">
      <c r="A1" s="2"/>
      <c r="B1" s="124" t="s">
        <v>74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6.5" thickTop="1" x14ac:dyDescent="0.25">
      <c r="B2" s="4" t="s">
        <v>0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 t="s">
        <v>1</v>
      </c>
      <c r="S2" s="6"/>
      <c r="T2" s="6"/>
      <c r="U2" s="6"/>
      <c r="V2" s="6"/>
      <c r="W2" s="7"/>
      <c r="X2" s="8"/>
      <c r="Y2" s="7"/>
      <c r="Z2" s="7"/>
      <c r="AA2" s="7"/>
      <c r="AB2" s="7"/>
      <c r="AC2" s="9"/>
      <c r="AD2" s="9"/>
      <c r="AE2" s="9"/>
      <c r="AF2" s="10"/>
    </row>
    <row r="3" spans="1:32" x14ac:dyDescent="0.25">
      <c r="B3" s="11" t="s">
        <v>2</v>
      </c>
      <c r="C3" s="12" t="s">
        <v>3</v>
      </c>
      <c r="D3" s="13" t="s">
        <v>4</v>
      </c>
      <c r="E3" s="14" t="s">
        <v>5</v>
      </c>
      <c r="F3" s="13" t="s">
        <v>6</v>
      </c>
      <c r="G3" s="14" t="s">
        <v>7</v>
      </c>
      <c r="H3" s="13" t="s">
        <v>8</v>
      </c>
      <c r="I3" s="13">
        <v>1996</v>
      </c>
      <c r="J3" s="13">
        <v>1997</v>
      </c>
      <c r="K3" s="14">
        <v>1998</v>
      </c>
      <c r="L3" s="12">
        <v>1999</v>
      </c>
      <c r="M3" s="12">
        <v>2000</v>
      </c>
      <c r="N3" s="12">
        <v>2001</v>
      </c>
      <c r="O3" s="13">
        <v>2002</v>
      </c>
      <c r="P3" s="15">
        <v>2003</v>
      </c>
      <c r="Q3" s="15">
        <v>2004</v>
      </c>
      <c r="R3" s="12">
        <v>2005</v>
      </c>
      <c r="S3" s="12">
        <v>2006</v>
      </c>
      <c r="T3" s="12">
        <v>2007</v>
      </c>
      <c r="U3" s="13">
        <v>2008</v>
      </c>
      <c r="V3" s="13">
        <v>2009</v>
      </c>
      <c r="W3" s="13">
        <v>2010</v>
      </c>
      <c r="X3" s="16">
        <v>2011</v>
      </c>
      <c r="Y3" s="13">
        <v>2012</v>
      </c>
      <c r="Z3" s="13">
        <v>2013</v>
      </c>
      <c r="AA3" s="13">
        <v>2014</v>
      </c>
      <c r="AB3" s="13">
        <v>2019</v>
      </c>
      <c r="AC3" s="16">
        <v>2020</v>
      </c>
      <c r="AD3" s="13">
        <v>2021</v>
      </c>
      <c r="AE3" s="13">
        <v>2022</v>
      </c>
      <c r="AF3" s="17">
        <v>2023</v>
      </c>
    </row>
    <row r="4" spans="1:32" x14ac:dyDescent="0.25">
      <c r="B4" s="18" t="s">
        <v>9</v>
      </c>
      <c r="C4" s="19">
        <f t="shared" ref="C4:R4" si="0">SUM(C5:C6)</f>
        <v>3516</v>
      </c>
      <c r="D4" s="20">
        <f t="shared" si="0"/>
        <v>3248</v>
      </c>
      <c r="E4" s="21">
        <f t="shared" si="0"/>
        <v>3353</v>
      </c>
      <c r="F4" s="20">
        <f t="shared" si="0"/>
        <v>3185</v>
      </c>
      <c r="G4" s="21">
        <f t="shared" si="0"/>
        <v>3263</v>
      </c>
      <c r="H4" s="20">
        <f t="shared" si="0"/>
        <v>3267</v>
      </c>
      <c r="I4" s="20">
        <f t="shared" si="0"/>
        <v>2985</v>
      </c>
      <c r="J4" s="20">
        <f t="shared" si="0"/>
        <v>3085</v>
      </c>
      <c r="K4" s="22">
        <f t="shared" si="0"/>
        <v>3338</v>
      </c>
      <c r="L4" s="23">
        <f t="shared" si="0"/>
        <v>3504</v>
      </c>
      <c r="M4" s="23">
        <f t="shared" si="0"/>
        <v>3588</v>
      </c>
      <c r="N4" s="23">
        <f t="shared" si="0"/>
        <v>3562</v>
      </c>
      <c r="O4" s="24">
        <f t="shared" si="0"/>
        <v>3537</v>
      </c>
      <c r="P4" s="25">
        <f t="shared" si="0"/>
        <v>3439</v>
      </c>
      <c r="Q4" s="26">
        <f>SUM(Q5:Q6)</f>
        <v>3466</v>
      </c>
      <c r="R4" s="19">
        <f t="shared" si="0"/>
        <v>3309</v>
      </c>
      <c r="S4" s="19">
        <f t="shared" ref="S4:AA4" si="1">SUM(S5:S6)</f>
        <v>3385</v>
      </c>
      <c r="T4" s="19">
        <f t="shared" si="1"/>
        <v>3526</v>
      </c>
      <c r="U4" s="20">
        <f t="shared" si="1"/>
        <v>3761</v>
      </c>
      <c r="V4" s="20">
        <f t="shared" si="1"/>
        <v>3687</v>
      </c>
      <c r="W4" s="20">
        <f t="shared" si="1"/>
        <v>3703</v>
      </c>
      <c r="X4" s="27">
        <f t="shared" si="1"/>
        <v>3728</v>
      </c>
      <c r="Y4" s="20">
        <f t="shared" si="1"/>
        <v>4080</v>
      </c>
      <c r="Z4" s="20">
        <f t="shared" si="1"/>
        <v>3874</v>
      </c>
      <c r="AA4" s="20">
        <f t="shared" si="1"/>
        <v>3807</v>
      </c>
      <c r="AB4" s="20">
        <v>3228</v>
      </c>
      <c r="AC4" s="27">
        <v>2996</v>
      </c>
      <c r="AD4" s="20">
        <v>2871</v>
      </c>
      <c r="AE4" s="20">
        <v>2930</v>
      </c>
      <c r="AF4" s="28">
        <f>SUM(AF5:AF6)</f>
        <v>3193</v>
      </c>
    </row>
    <row r="5" spans="1:32" x14ac:dyDescent="0.25">
      <c r="B5" s="29" t="s">
        <v>10</v>
      </c>
      <c r="C5" s="30">
        <f>1365+1400</f>
        <v>2765</v>
      </c>
      <c r="D5" s="31">
        <f>1345+1321</f>
        <v>2666</v>
      </c>
      <c r="E5" s="32">
        <f>1287+1317+124+36</f>
        <v>2764</v>
      </c>
      <c r="F5" s="31">
        <f>1276+1322+98+31</f>
        <v>2727</v>
      </c>
      <c r="G5" s="32">
        <f>1280+1314+90+35</f>
        <v>2719</v>
      </c>
      <c r="H5" s="31">
        <f>1347+1270+109+38</f>
        <v>2764</v>
      </c>
      <c r="I5" s="31">
        <f>1191+1206+100+30</f>
        <v>2527</v>
      </c>
      <c r="J5" s="31">
        <f>1421+1278</f>
        <v>2699</v>
      </c>
      <c r="K5" s="33">
        <f>1477+1282</f>
        <v>2759</v>
      </c>
      <c r="L5" s="34">
        <f>1609+1457</f>
        <v>3066</v>
      </c>
      <c r="M5" s="34">
        <f>1603+1600</f>
        <v>3203</v>
      </c>
      <c r="N5" s="35">
        <v>3145</v>
      </c>
      <c r="O5" s="36">
        <f>1599+1554</f>
        <v>3153</v>
      </c>
      <c r="P5" s="37">
        <f>1569+1529</f>
        <v>3098</v>
      </c>
      <c r="Q5" s="38">
        <v>3044</v>
      </c>
      <c r="R5" s="39">
        <v>2940</v>
      </c>
      <c r="S5" s="39">
        <v>3140</v>
      </c>
      <c r="T5" s="39">
        <v>3301</v>
      </c>
      <c r="U5" s="38">
        <v>3541</v>
      </c>
      <c r="V5" s="38">
        <f>3367+3+96</f>
        <v>3466</v>
      </c>
      <c r="W5" s="38">
        <v>3480</v>
      </c>
      <c r="X5" s="40">
        <v>3549</v>
      </c>
      <c r="Y5" s="38">
        <v>3897</v>
      </c>
      <c r="Z5" s="38">
        <v>3776</v>
      </c>
      <c r="AA5" s="38">
        <v>3719</v>
      </c>
      <c r="AB5" s="38">
        <v>3174</v>
      </c>
      <c r="AC5" s="40">
        <v>2914</v>
      </c>
      <c r="AD5" s="38">
        <v>2804</v>
      </c>
      <c r="AE5" s="38">
        <v>2846</v>
      </c>
      <c r="AF5" s="41">
        <v>3126</v>
      </c>
    </row>
    <row r="6" spans="1:32" x14ac:dyDescent="0.25">
      <c r="B6" s="29" t="s">
        <v>11</v>
      </c>
      <c r="C6" s="30">
        <f>415+336</f>
        <v>751</v>
      </c>
      <c r="D6" s="31">
        <f>388+194</f>
        <v>582</v>
      </c>
      <c r="E6" s="32">
        <f>307+189+42+51</f>
        <v>589</v>
      </c>
      <c r="F6" s="31">
        <f>225+192+16+25</f>
        <v>458</v>
      </c>
      <c r="G6" s="32">
        <f>287+198+33+26</f>
        <v>544</v>
      </c>
      <c r="H6" s="31">
        <f>216+228+33+26</f>
        <v>503</v>
      </c>
      <c r="I6" s="31">
        <f>27+25+195+211</f>
        <v>458</v>
      </c>
      <c r="J6" s="31">
        <f>189+197</f>
        <v>386</v>
      </c>
      <c r="K6" s="33">
        <f>278+301</f>
        <v>579</v>
      </c>
      <c r="L6" s="34">
        <f>215+223</f>
        <v>438</v>
      </c>
      <c r="M6" s="34">
        <f>182+203</f>
        <v>385</v>
      </c>
      <c r="N6" s="35">
        <v>417</v>
      </c>
      <c r="O6" s="36">
        <f>171+213</f>
        <v>384</v>
      </c>
      <c r="P6" s="37">
        <f>139+202</f>
        <v>341</v>
      </c>
      <c r="Q6" s="38">
        <v>422</v>
      </c>
      <c r="R6" s="39">
        <v>369</v>
      </c>
      <c r="S6" s="39">
        <v>245</v>
      </c>
      <c r="T6" s="39">
        <v>225</v>
      </c>
      <c r="U6" s="38">
        <f>2+14+102+102</f>
        <v>220</v>
      </c>
      <c r="V6" s="38">
        <f>107+97+10+7</f>
        <v>221</v>
      </c>
      <c r="W6" s="38">
        <v>223</v>
      </c>
      <c r="X6" s="40">
        <v>179</v>
      </c>
      <c r="Y6" s="38">
        <v>183</v>
      </c>
      <c r="Z6" s="38">
        <v>98</v>
      </c>
      <c r="AA6" s="38">
        <v>88</v>
      </c>
      <c r="AB6" s="38">
        <v>54</v>
      </c>
      <c r="AC6" s="40">
        <v>82</v>
      </c>
      <c r="AD6" s="38">
        <v>67</v>
      </c>
      <c r="AE6" s="38">
        <v>84</v>
      </c>
      <c r="AF6" s="41">
        <v>67</v>
      </c>
    </row>
    <row r="7" spans="1:32" x14ac:dyDescent="0.25">
      <c r="B7" s="29" t="s">
        <v>12</v>
      </c>
      <c r="C7" s="30"/>
      <c r="D7" s="31"/>
      <c r="E7" s="32"/>
      <c r="F7" s="31"/>
      <c r="G7" s="32"/>
      <c r="H7" s="31"/>
      <c r="I7" s="31"/>
      <c r="J7" s="31"/>
      <c r="K7" s="33"/>
      <c r="L7" s="34"/>
      <c r="M7" s="34"/>
      <c r="N7" s="35"/>
      <c r="O7" s="36"/>
      <c r="P7" s="37"/>
      <c r="Q7" s="38"/>
      <c r="R7" s="39"/>
      <c r="S7" s="39"/>
      <c r="T7" s="39"/>
      <c r="U7" s="38"/>
      <c r="V7" s="38"/>
      <c r="W7" s="38"/>
      <c r="X7" s="40">
        <v>2924</v>
      </c>
      <c r="Y7" s="38">
        <v>3044</v>
      </c>
      <c r="Z7" s="38">
        <v>3030</v>
      </c>
      <c r="AA7" s="38">
        <v>2969</v>
      </c>
      <c r="AB7" s="40">
        <v>2513</v>
      </c>
      <c r="AC7" s="40">
        <v>2303</v>
      </c>
      <c r="AD7" s="38">
        <v>2205</v>
      </c>
      <c r="AE7" s="38">
        <v>2177</v>
      </c>
      <c r="AF7" s="41">
        <v>2326</v>
      </c>
    </row>
    <row r="8" spans="1:32" x14ac:dyDescent="0.25">
      <c r="B8" s="29" t="s">
        <v>13</v>
      </c>
      <c r="C8" s="30"/>
      <c r="D8" s="31"/>
      <c r="E8" s="32"/>
      <c r="F8" s="31"/>
      <c r="G8" s="32"/>
      <c r="H8" s="31"/>
      <c r="I8" s="31"/>
      <c r="J8" s="31"/>
      <c r="K8" s="33"/>
      <c r="L8" s="34"/>
      <c r="M8" s="34"/>
      <c r="N8" s="35"/>
      <c r="O8" s="36"/>
      <c r="P8" s="37"/>
      <c r="Q8" s="38"/>
      <c r="R8" s="39"/>
      <c r="S8" s="39"/>
      <c r="T8" s="39"/>
      <c r="U8" s="38"/>
      <c r="V8" s="38"/>
      <c r="W8" s="38"/>
      <c r="X8" s="40">
        <v>804</v>
      </c>
      <c r="Y8" s="38">
        <v>1036</v>
      </c>
      <c r="Z8" s="38">
        <v>844</v>
      </c>
      <c r="AA8" s="38">
        <v>838</v>
      </c>
      <c r="AB8" s="38">
        <v>715</v>
      </c>
      <c r="AC8" s="40">
        <v>693</v>
      </c>
      <c r="AD8" s="38">
        <v>666</v>
      </c>
      <c r="AE8" s="38">
        <v>753</v>
      </c>
      <c r="AF8" s="41">
        <v>867</v>
      </c>
    </row>
    <row r="9" spans="1:32" x14ac:dyDescent="0.25">
      <c r="B9" s="29" t="s">
        <v>14</v>
      </c>
      <c r="C9" s="30">
        <f>1365+415</f>
        <v>1780</v>
      </c>
      <c r="D9" s="31">
        <f>1345+388</f>
        <v>1733</v>
      </c>
      <c r="E9" s="32">
        <f>1287+307+42+124</f>
        <v>1760</v>
      </c>
      <c r="F9" s="31">
        <f>255+1276+98+16</f>
        <v>1645</v>
      </c>
      <c r="G9" s="32">
        <f>1280+287+90+33</f>
        <v>1690</v>
      </c>
      <c r="H9" s="31">
        <f>1347+216+109+33</f>
        <v>1705</v>
      </c>
      <c r="I9" s="31">
        <f>100+27+1191+195</f>
        <v>1513</v>
      </c>
      <c r="J9" s="31">
        <f>1421+189</f>
        <v>1610</v>
      </c>
      <c r="K9" s="33">
        <f>278+1477</f>
        <v>1755</v>
      </c>
      <c r="L9" s="34">
        <f>1609+215</f>
        <v>1824</v>
      </c>
      <c r="M9" s="34">
        <f>182+1603</f>
        <v>1785</v>
      </c>
      <c r="N9" s="35">
        <v>1749</v>
      </c>
      <c r="O9" s="36">
        <f>1599+171</f>
        <v>1770</v>
      </c>
      <c r="P9" s="37">
        <f>1569+139</f>
        <v>1708</v>
      </c>
      <c r="Q9" s="38">
        <v>1660</v>
      </c>
      <c r="R9" s="39">
        <f>1481+137</f>
        <v>1618</v>
      </c>
      <c r="S9" s="39">
        <v>1637</v>
      </c>
      <c r="T9" s="39">
        <v>1764</v>
      </c>
      <c r="U9" s="38">
        <f>1709+47+108+1</f>
        <v>1865</v>
      </c>
      <c r="V9" s="38">
        <f>1743+25+72+6</f>
        <v>1846</v>
      </c>
      <c r="W9" s="38">
        <v>1804</v>
      </c>
      <c r="X9" s="40">
        <v>1854</v>
      </c>
      <c r="Y9" s="38">
        <v>2038</v>
      </c>
      <c r="Z9" s="38">
        <v>1915</v>
      </c>
      <c r="AA9" s="38">
        <v>1839</v>
      </c>
      <c r="AB9" s="38">
        <v>1594</v>
      </c>
      <c r="AC9" s="40">
        <v>1475</v>
      </c>
      <c r="AD9" s="38">
        <v>1414</v>
      </c>
      <c r="AE9" s="38">
        <v>1452</v>
      </c>
      <c r="AF9" s="41">
        <v>1473</v>
      </c>
    </row>
    <row r="10" spans="1:32" x14ac:dyDescent="0.25">
      <c r="B10" s="29" t="s">
        <v>15</v>
      </c>
      <c r="C10" s="30">
        <f>336+1400</f>
        <v>1736</v>
      </c>
      <c r="D10" s="31">
        <f>194+1321</f>
        <v>1515</v>
      </c>
      <c r="E10" s="32">
        <f>189+1317+36+51</f>
        <v>1593</v>
      </c>
      <c r="F10" s="31">
        <f>1322+192+25+31</f>
        <v>1570</v>
      </c>
      <c r="G10" s="32">
        <f>1314+198+35+26</f>
        <v>1573</v>
      </c>
      <c r="H10" s="31">
        <f>228+1270+38+26</f>
        <v>1562</v>
      </c>
      <c r="I10" s="31">
        <f>211+1206+30+25</f>
        <v>1472</v>
      </c>
      <c r="J10" s="31">
        <f>1278+197</f>
        <v>1475</v>
      </c>
      <c r="K10" s="33">
        <f>1282+301</f>
        <v>1583</v>
      </c>
      <c r="L10" s="34">
        <f>1457+223</f>
        <v>1680</v>
      </c>
      <c r="M10" s="34">
        <f>1600+203</f>
        <v>1803</v>
      </c>
      <c r="N10" s="35">
        <v>1813</v>
      </c>
      <c r="O10" s="36">
        <f>1554+213</f>
        <v>1767</v>
      </c>
      <c r="P10" s="37">
        <f>1529+202</f>
        <v>1731</v>
      </c>
      <c r="Q10" s="38">
        <f>1551+255</f>
        <v>1806</v>
      </c>
      <c r="R10" s="39">
        <f>1459+232</f>
        <v>1691</v>
      </c>
      <c r="S10" s="39">
        <v>1748</v>
      </c>
      <c r="T10" s="39">
        <v>1762</v>
      </c>
      <c r="U10" s="38">
        <f>1803+56+36+1</f>
        <v>1896</v>
      </c>
      <c r="V10" s="38">
        <f>1731+75+34+1</f>
        <v>1841</v>
      </c>
      <c r="W10" s="38">
        <v>1899</v>
      </c>
      <c r="X10" s="40">
        <v>1874</v>
      </c>
      <c r="Y10" s="38">
        <v>2042</v>
      </c>
      <c r="Z10" s="38">
        <v>1959</v>
      </c>
      <c r="AA10" s="38">
        <v>1968</v>
      </c>
      <c r="AB10" s="38">
        <v>1634</v>
      </c>
      <c r="AC10" s="40">
        <v>1521</v>
      </c>
      <c r="AD10" s="38">
        <v>1457</v>
      </c>
      <c r="AE10" s="38">
        <v>1478</v>
      </c>
      <c r="AF10" s="41">
        <v>1720</v>
      </c>
    </row>
    <row r="11" spans="1:32" x14ac:dyDescent="0.25">
      <c r="B11" s="29" t="s">
        <v>16</v>
      </c>
      <c r="C11" s="30">
        <f>5+5+27+9</f>
        <v>46</v>
      </c>
      <c r="D11" s="31">
        <f>19+8+3+2</f>
        <v>32</v>
      </c>
      <c r="E11" s="32">
        <f>16+3+6+4+1+1</f>
        <v>31</v>
      </c>
      <c r="F11" s="31">
        <f>7+8+7+3</f>
        <v>25</v>
      </c>
      <c r="G11" s="32">
        <f>7+5+7+4</f>
        <v>23</v>
      </c>
      <c r="H11" s="31">
        <f>9+9+1+1</f>
        <v>20</v>
      </c>
      <c r="I11" s="31">
        <f>8+3+1+2</f>
        <v>14</v>
      </c>
      <c r="J11" s="31">
        <f>5+3+4</f>
        <v>12</v>
      </c>
      <c r="K11" s="33">
        <f>0+2+7+2</f>
        <v>11</v>
      </c>
      <c r="L11" s="34">
        <f>11+11+2</f>
        <v>24</v>
      </c>
      <c r="M11" s="34">
        <f>16+8</f>
        <v>24</v>
      </c>
      <c r="N11" s="35">
        <v>15</v>
      </c>
      <c r="O11" s="36">
        <f>10+7+3+7</f>
        <v>27</v>
      </c>
      <c r="P11" s="37">
        <f>4+3+2+9</f>
        <v>18</v>
      </c>
      <c r="Q11" s="38">
        <v>40</v>
      </c>
      <c r="R11" s="39">
        <f>13+20</f>
        <v>33</v>
      </c>
      <c r="S11" s="39">
        <v>54</v>
      </c>
      <c r="T11" s="39">
        <v>89</v>
      </c>
      <c r="U11" s="38">
        <f>197+2</f>
        <v>199</v>
      </c>
      <c r="V11" s="38">
        <v>222</v>
      </c>
      <c r="W11" s="38">
        <v>112</v>
      </c>
      <c r="X11" s="40">
        <v>127</v>
      </c>
      <c r="Y11" s="38">
        <v>278</v>
      </c>
      <c r="Z11" s="38">
        <v>155</v>
      </c>
      <c r="AA11" s="38">
        <v>172</v>
      </c>
      <c r="AB11" s="38">
        <v>54</v>
      </c>
      <c r="AC11" s="40">
        <v>34</v>
      </c>
      <c r="AD11" s="38">
        <v>43</v>
      </c>
      <c r="AE11" s="38">
        <v>29</v>
      </c>
      <c r="AF11" s="41">
        <v>30</v>
      </c>
    </row>
    <row r="12" spans="1:32" x14ac:dyDescent="0.25">
      <c r="B12" s="29" t="s">
        <v>18</v>
      </c>
      <c r="C12" s="30">
        <f>1+7+4+7</f>
        <v>19</v>
      </c>
      <c r="D12" s="31">
        <f>5+5+2+1</f>
        <v>13</v>
      </c>
      <c r="E12" s="32">
        <f>6+8+2+2+1</f>
        <v>19</v>
      </c>
      <c r="F12" s="31">
        <f>7+8+1+1+1</f>
        <v>18</v>
      </c>
      <c r="G12" s="32">
        <f>14+11+1+1+1+1</f>
        <v>29</v>
      </c>
      <c r="H12" s="31">
        <f>7+12+1+2+3+1</f>
        <v>26</v>
      </c>
      <c r="I12" s="31">
        <f>9+9+3+4</f>
        <v>25</v>
      </c>
      <c r="J12" s="31">
        <f>12+9+1+2</f>
        <v>24</v>
      </c>
      <c r="K12" s="34">
        <v>21</v>
      </c>
      <c r="L12" s="34">
        <f>10+10+1+1</f>
        <v>22</v>
      </c>
      <c r="M12" s="34">
        <f>9+1+1</f>
        <v>11</v>
      </c>
      <c r="N12" s="35">
        <v>17</v>
      </c>
      <c r="O12" s="36">
        <f>8+9+1+1</f>
        <v>19</v>
      </c>
      <c r="P12" s="37">
        <f>1+1+7+6</f>
        <v>15</v>
      </c>
      <c r="Q12" s="38">
        <v>26</v>
      </c>
      <c r="R12" s="39">
        <f>22+2</f>
        <v>24</v>
      </c>
      <c r="S12" s="39">
        <v>19</v>
      </c>
      <c r="T12" s="39">
        <v>21</v>
      </c>
      <c r="U12" s="38">
        <f>24+1</f>
        <v>25</v>
      </c>
      <c r="V12" s="38">
        <v>25</v>
      </c>
      <c r="W12" s="38">
        <v>16</v>
      </c>
      <c r="X12" s="40">
        <v>17</v>
      </c>
      <c r="Y12" s="38">
        <v>15</v>
      </c>
      <c r="Z12" s="38">
        <v>15</v>
      </c>
      <c r="AA12" s="38">
        <v>14</v>
      </c>
      <c r="AB12" s="38">
        <v>19</v>
      </c>
      <c r="AC12" s="40">
        <v>7</v>
      </c>
      <c r="AD12" s="38">
        <v>11</v>
      </c>
      <c r="AE12" s="38">
        <v>8</v>
      </c>
      <c r="AF12" s="41">
        <v>15</v>
      </c>
    </row>
    <row r="13" spans="1:32" x14ac:dyDescent="0.25">
      <c r="B13" s="29" t="s">
        <v>19</v>
      </c>
      <c r="C13" s="30">
        <f>7+5+29+17</f>
        <v>58</v>
      </c>
      <c r="D13" s="31">
        <f>5+2+20+16</f>
        <v>43</v>
      </c>
      <c r="E13" s="32">
        <f>14+2+29+21+3+3+1</f>
        <v>73</v>
      </c>
      <c r="F13" s="31">
        <f>3+10+24+21+3</f>
        <v>61</v>
      </c>
      <c r="G13" s="32">
        <f>8+3+20+21+1+3</f>
        <v>56</v>
      </c>
      <c r="H13" s="31">
        <f>8+4+25+22+2</f>
        <v>61</v>
      </c>
      <c r="I13" s="31">
        <f>14+16+2+5+3</f>
        <v>40</v>
      </c>
      <c r="J13" s="31">
        <f>6+3+28+11</f>
        <v>48</v>
      </c>
      <c r="K13" s="34">
        <v>39</v>
      </c>
      <c r="L13" s="34">
        <f>22+15+8+5</f>
        <v>50</v>
      </c>
      <c r="M13" s="34">
        <f>16+19+5+3</f>
        <v>43</v>
      </c>
      <c r="N13" s="35">
        <v>62</v>
      </c>
      <c r="O13" s="36">
        <f>13+20+4+4</f>
        <v>41</v>
      </c>
      <c r="P13" s="37">
        <f>28+17+2+6</f>
        <v>53</v>
      </c>
      <c r="Q13" s="38">
        <v>51</v>
      </c>
      <c r="R13" s="39">
        <f>41+9</f>
        <v>50</v>
      </c>
      <c r="S13" s="39">
        <v>43</v>
      </c>
      <c r="T13" s="39">
        <v>55</v>
      </c>
      <c r="U13" s="38">
        <v>42</v>
      </c>
      <c r="V13" s="38">
        <v>49</v>
      </c>
      <c r="W13" s="38">
        <v>45</v>
      </c>
      <c r="X13" s="40">
        <v>69</v>
      </c>
      <c r="Y13" s="38">
        <v>29</v>
      </c>
      <c r="Z13" s="38">
        <v>53</v>
      </c>
      <c r="AA13" s="38">
        <v>46</v>
      </c>
      <c r="AB13" s="38">
        <v>65</v>
      </c>
      <c r="AC13" s="40">
        <v>39</v>
      </c>
      <c r="AD13" s="38">
        <v>55</v>
      </c>
      <c r="AE13" s="38">
        <v>54</v>
      </c>
      <c r="AF13" s="41">
        <v>59</v>
      </c>
    </row>
    <row r="14" spans="1:32" x14ac:dyDescent="0.25">
      <c r="B14" s="29" t="s">
        <v>17</v>
      </c>
      <c r="C14" s="30">
        <f>71+57+43+43</f>
        <v>214</v>
      </c>
      <c r="D14" s="31">
        <f>73+37+47+44</f>
        <v>201</v>
      </c>
      <c r="E14" s="32">
        <f>58+32+51+63+1+1+1</f>
        <v>207</v>
      </c>
      <c r="F14" s="31">
        <f>40+21+45+58+1</f>
        <v>165</v>
      </c>
      <c r="G14" s="32">
        <f>56+33+30+45+2+3+2+1</f>
        <v>172</v>
      </c>
      <c r="H14" s="31">
        <f>36+43+38+31+3+1+1</f>
        <v>153</v>
      </c>
      <c r="I14" s="31">
        <f>34+30+31+36+1+1</f>
        <v>133</v>
      </c>
      <c r="J14" s="31">
        <f>8+17+33+31</f>
        <v>89</v>
      </c>
      <c r="K14" s="33">
        <f>15+29+31+31</f>
        <v>106</v>
      </c>
      <c r="L14" s="34">
        <f>49+25+7+25</f>
        <v>106</v>
      </c>
      <c r="M14" s="34">
        <f>13+25+41+29</f>
        <v>108</v>
      </c>
      <c r="N14" s="35">
        <v>120</v>
      </c>
      <c r="O14" s="36">
        <f>39+26+18+21</f>
        <v>104</v>
      </c>
      <c r="P14" s="37">
        <f>35+36+11+22</f>
        <v>104</v>
      </c>
      <c r="Q14" s="38">
        <v>118</v>
      </c>
      <c r="R14" s="39">
        <f>87+41</f>
        <v>128</v>
      </c>
      <c r="S14" s="39">
        <v>118</v>
      </c>
      <c r="T14" s="39">
        <v>139</v>
      </c>
      <c r="U14" s="38">
        <f>145+5+6</f>
        <v>156</v>
      </c>
      <c r="V14" s="38">
        <v>205</v>
      </c>
      <c r="W14" s="38">
        <v>206</v>
      </c>
      <c r="X14" s="40">
        <v>192</v>
      </c>
      <c r="Y14" s="38">
        <v>230</v>
      </c>
      <c r="Z14" s="38">
        <v>158</v>
      </c>
      <c r="AA14" s="38">
        <v>135</v>
      </c>
      <c r="AB14" s="38">
        <v>85</v>
      </c>
      <c r="AC14" s="40">
        <v>75</v>
      </c>
      <c r="AD14" s="38">
        <v>61</v>
      </c>
      <c r="AE14" s="38">
        <v>63</v>
      </c>
      <c r="AF14" s="41">
        <v>74</v>
      </c>
    </row>
    <row r="15" spans="1:32" x14ac:dyDescent="0.25">
      <c r="B15" s="29" t="s">
        <v>20</v>
      </c>
      <c r="C15" s="30"/>
      <c r="D15" s="31"/>
      <c r="E15" s="32"/>
      <c r="F15" s="31"/>
      <c r="G15" s="32"/>
      <c r="H15" s="31"/>
      <c r="I15" s="31"/>
      <c r="J15" s="31"/>
      <c r="K15" s="34"/>
      <c r="L15" s="34"/>
      <c r="M15" s="34"/>
      <c r="N15" s="35"/>
      <c r="O15" s="36"/>
      <c r="P15" s="37"/>
      <c r="Q15" s="38"/>
      <c r="R15" s="39"/>
      <c r="S15" s="39"/>
      <c r="T15" s="42"/>
      <c r="U15" s="38">
        <v>12</v>
      </c>
      <c r="V15" s="38">
        <v>7</v>
      </c>
      <c r="W15" s="38">
        <v>2</v>
      </c>
      <c r="X15" s="40">
        <v>5</v>
      </c>
      <c r="Y15" s="38">
        <v>2</v>
      </c>
      <c r="Z15" s="38">
        <v>0</v>
      </c>
      <c r="AA15" s="38">
        <v>5</v>
      </c>
      <c r="AB15" s="38">
        <v>5</v>
      </c>
      <c r="AC15" s="40">
        <v>0</v>
      </c>
      <c r="AD15" s="38">
        <v>4</v>
      </c>
      <c r="AE15" s="38">
        <v>4</v>
      </c>
      <c r="AF15" s="41">
        <v>2</v>
      </c>
    </row>
    <row r="16" spans="1:32" x14ac:dyDescent="0.25">
      <c r="B16" s="29" t="s">
        <v>21</v>
      </c>
      <c r="C16" s="30">
        <f>27+9+23+27</f>
        <v>86</v>
      </c>
      <c r="D16" s="31">
        <f>22+20+29+8</f>
        <v>79</v>
      </c>
      <c r="E16" s="32">
        <f>22+24+22+11+2+1+2</f>
        <v>84</v>
      </c>
      <c r="F16" s="31">
        <f>28+24+16+5+1+2+4</f>
        <v>80</v>
      </c>
      <c r="G16" s="32">
        <f>30+34+20+10+2+2+1+1</f>
        <v>100</v>
      </c>
      <c r="H16" s="31">
        <f>26+32+16+12+3+4+1</f>
        <v>94</v>
      </c>
      <c r="I16" s="31">
        <f>1+4+1+18+18+12+8</f>
        <v>62</v>
      </c>
      <c r="J16" s="31">
        <f>35+23+11+8</f>
        <v>77</v>
      </c>
      <c r="K16" s="34">
        <v>81</v>
      </c>
      <c r="L16" s="34">
        <f>22+40+10+12</f>
        <v>84</v>
      </c>
      <c r="M16" s="34">
        <f>34+26+11+17</f>
        <v>88</v>
      </c>
      <c r="N16" s="35">
        <v>79</v>
      </c>
      <c r="O16" s="36">
        <f>38+27+8+9</f>
        <v>82</v>
      </c>
      <c r="P16" s="37">
        <f>9+14+36+24</f>
        <v>83</v>
      </c>
      <c r="Q16" s="38">
        <f>38+42+7+10</f>
        <v>97</v>
      </c>
      <c r="R16" s="39">
        <f>66+21</f>
        <v>87</v>
      </c>
      <c r="S16" s="39">
        <v>92</v>
      </c>
      <c r="T16" s="39">
        <v>105</v>
      </c>
      <c r="U16" s="38">
        <f>80+53+3+1+2+6</f>
        <v>145</v>
      </c>
      <c r="V16" s="38">
        <v>141</v>
      </c>
      <c r="W16" s="38">
        <v>194</v>
      </c>
      <c r="X16" s="40">
        <v>215</v>
      </c>
      <c r="Y16" s="38">
        <v>239</v>
      </c>
      <c r="Z16" s="38">
        <v>224</v>
      </c>
      <c r="AA16" s="38">
        <v>234</v>
      </c>
      <c r="AB16" s="38">
        <v>219</v>
      </c>
      <c r="AC16" s="40">
        <v>212</v>
      </c>
      <c r="AD16" s="38">
        <v>235</v>
      </c>
      <c r="AE16" s="38">
        <v>232</v>
      </c>
      <c r="AF16" s="41">
        <v>271</v>
      </c>
    </row>
    <row r="17" spans="2:32" x14ac:dyDescent="0.25">
      <c r="B17" s="29" t="s">
        <v>22</v>
      </c>
      <c r="C17" s="30"/>
      <c r="D17" s="31"/>
      <c r="E17" s="32"/>
      <c r="F17" s="31"/>
      <c r="G17" s="32"/>
      <c r="H17" s="31"/>
      <c r="I17" s="31"/>
      <c r="J17" s="31"/>
      <c r="K17" s="34"/>
      <c r="L17" s="34"/>
      <c r="M17" s="34"/>
      <c r="N17" s="35"/>
      <c r="O17" s="36"/>
      <c r="P17" s="37"/>
      <c r="Q17" s="38"/>
      <c r="R17" s="42"/>
      <c r="S17" s="42"/>
      <c r="T17" s="39">
        <v>46</v>
      </c>
      <c r="U17" s="38">
        <v>52</v>
      </c>
      <c r="V17" s="38">
        <v>71</v>
      </c>
      <c r="W17" s="38">
        <f>77+3+4</f>
        <v>84</v>
      </c>
      <c r="X17" s="40">
        <v>121</v>
      </c>
      <c r="Y17" s="38">
        <v>130</v>
      </c>
      <c r="Z17" s="38">
        <v>129</v>
      </c>
      <c r="AA17" s="38">
        <v>140</v>
      </c>
      <c r="AB17" s="38">
        <v>126</v>
      </c>
      <c r="AC17" s="40">
        <v>130</v>
      </c>
      <c r="AD17" s="38">
        <v>102</v>
      </c>
      <c r="AE17" s="38">
        <v>108</v>
      </c>
      <c r="AF17" s="41">
        <v>139</v>
      </c>
    </row>
    <row r="18" spans="2:32" x14ac:dyDescent="0.25">
      <c r="B18" s="29" t="s">
        <v>23</v>
      </c>
      <c r="C18" s="30"/>
      <c r="D18" s="31"/>
      <c r="E18" s="32"/>
      <c r="F18" s="31"/>
      <c r="G18" s="32"/>
      <c r="H18" s="31"/>
      <c r="I18" s="31"/>
      <c r="J18" s="31">
        <f>25+11+7+6</f>
        <v>49</v>
      </c>
      <c r="K18" s="34">
        <v>98</v>
      </c>
      <c r="L18" s="34">
        <f>48+44+9+10</f>
        <v>111</v>
      </c>
      <c r="M18" s="34">
        <f>19+14+34+39+6+5+5+4</f>
        <v>126</v>
      </c>
      <c r="N18" s="35">
        <v>131</v>
      </c>
      <c r="O18" s="36">
        <f>15+11+4+6+38+29+7+3</f>
        <v>113</v>
      </c>
      <c r="P18" s="37">
        <f>1+2+23+15+38+32+6+5</f>
        <v>122</v>
      </c>
      <c r="Q18" s="38">
        <f>47+56+12+14</f>
        <v>129</v>
      </c>
      <c r="R18" s="39">
        <f>101+12</f>
        <v>113</v>
      </c>
      <c r="S18" s="39">
        <v>124</v>
      </c>
      <c r="T18" s="39">
        <v>125</v>
      </c>
      <c r="U18" s="38">
        <v>116</v>
      </c>
      <c r="V18" s="38">
        <v>65</v>
      </c>
      <c r="W18" s="38">
        <v>18</v>
      </c>
      <c r="X18" s="40">
        <v>37</v>
      </c>
      <c r="Y18" s="38">
        <v>51</v>
      </c>
      <c r="Z18" s="38">
        <v>57</v>
      </c>
      <c r="AA18" s="38">
        <v>54</v>
      </c>
      <c r="AB18" s="38">
        <v>27</v>
      </c>
      <c r="AC18" s="40">
        <v>39</v>
      </c>
      <c r="AD18" s="38">
        <v>33</v>
      </c>
      <c r="AE18" s="38">
        <v>25</v>
      </c>
      <c r="AF18" s="41">
        <v>24</v>
      </c>
    </row>
    <row r="19" spans="2:32" ht="15.75" thickBot="1" x14ac:dyDescent="0.3">
      <c r="B19" s="29" t="s">
        <v>24</v>
      </c>
      <c r="C19" s="30">
        <f>1242+1297+303+256</f>
        <v>3098</v>
      </c>
      <c r="D19" s="31">
        <f>276+144+1232+1228</f>
        <v>2880</v>
      </c>
      <c r="E19" s="32">
        <f>205+138+1163+1198+118+33+37+47</f>
        <v>2939</v>
      </c>
      <c r="F19" s="31">
        <f>158+153+1165+1203+93+27+12+25</f>
        <v>2836</v>
      </c>
      <c r="G19" s="32">
        <f>195+147+1179+1198+82+30+30+22</f>
        <v>2883</v>
      </c>
      <c r="H19" s="31">
        <f>155+166+1242+1164+99+34+30+23</f>
        <v>2913</v>
      </c>
      <c r="I19" s="31">
        <f>140+164+1111+1124+95+28+24+25</f>
        <v>2711</v>
      </c>
      <c r="J19" s="31">
        <f>156+157+1283+1190</f>
        <v>2786</v>
      </c>
      <c r="K19" s="43">
        <v>2982</v>
      </c>
      <c r="L19" s="43">
        <f>1447+1312+178+170</f>
        <v>3107</v>
      </c>
      <c r="M19" s="43">
        <f>1434+1464+142+148</f>
        <v>3188</v>
      </c>
      <c r="N19" s="44">
        <v>3138</v>
      </c>
      <c r="O19" s="45">
        <f>1438+1425+126+162</f>
        <v>3151</v>
      </c>
      <c r="P19" s="37">
        <f>1398+1396+107+143</f>
        <v>3044</v>
      </c>
      <c r="Q19" s="38">
        <f>1334+1379+108+184</f>
        <v>3005</v>
      </c>
      <c r="R19" s="46">
        <f>2610+264</f>
        <v>2874</v>
      </c>
      <c r="S19" s="46">
        <v>2935</v>
      </c>
      <c r="T19" s="46">
        <v>2992</v>
      </c>
      <c r="U19" s="47">
        <f>2823+77+113+1</f>
        <v>3014</v>
      </c>
      <c r="V19" s="47">
        <v>2902</v>
      </c>
      <c r="W19" s="47">
        <v>3026</v>
      </c>
      <c r="X19" s="48">
        <v>2945</v>
      </c>
      <c r="Y19" s="47">
        <v>3106</v>
      </c>
      <c r="Z19" s="47">
        <v>3083</v>
      </c>
      <c r="AA19" s="47">
        <v>3007</v>
      </c>
      <c r="AB19" s="47">
        <v>2628</v>
      </c>
      <c r="AC19" s="48">
        <v>2460</v>
      </c>
      <c r="AD19" s="47">
        <v>2327</v>
      </c>
      <c r="AE19" s="47">
        <v>2407</v>
      </c>
      <c r="AF19" s="41">
        <v>2579</v>
      </c>
    </row>
    <row r="20" spans="2:32" x14ac:dyDescent="0.25">
      <c r="B20" s="49" t="s">
        <v>25</v>
      </c>
      <c r="C20" s="50">
        <f t="shared" ref="C20:R20" si="2">SUM(C21:C22)</f>
        <v>17377</v>
      </c>
      <c r="D20" s="51">
        <f t="shared" si="2"/>
        <v>17105</v>
      </c>
      <c r="E20" s="52">
        <f t="shared" si="2"/>
        <v>17587</v>
      </c>
      <c r="F20" s="51">
        <f t="shared" si="2"/>
        <v>17160</v>
      </c>
      <c r="G20" s="52">
        <f t="shared" si="2"/>
        <v>16992</v>
      </c>
      <c r="H20" s="51">
        <f t="shared" si="2"/>
        <v>17014</v>
      </c>
      <c r="I20" s="51">
        <f t="shared" si="2"/>
        <v>16935</v>
      </c>
      <c r="J20" s="51">
        <f t="shared" si="2"/>
        <v>16936</v>
      </c>
      <c r="K20" s="23">
        <f t="shared" si="2"/>
        <v>17532</v>
      </c>
      <c r="L20" s="23">
        <f t="shared" si="2"/>
        <v>17903</v>
      </c>
      <c r="M20" s="23">
        <f t="shared" si="2"/>
        <v>18252</v>
      </c>
      <c r="N20" s="53">
        <f t="shared" si="2"/>
        <v>18770</v>
      </c>
      <c r="O20" s="54">
        <f t="shared" si="2"/>
        <v>19048</v>
      </c>
      <c r="P20" s="55">
        <f t="shared" si="2"/>
        <v>19083</v>
      </c>
      <c r="Q20" s="51">
        <f>SUM(Q21:Q22)</f>
        <v>19098</v>
      </c>
      <c r="R20" s="19">
        <f t="shared" si="2"/>
        <v>18838</v>
      </c>
      <c r="S20" s="19">
        <f t="shared" ref="S20:AA20" si="3">SUM(S21:S22)</f>
        <v>18762</v>
      </c>
      <c r="T20" s="19">
        <f t="shared" si="3"/>
        <v>18544</v>
      </c>
      <c r="U20" s="51">
        <f t="shared" si="3"/>
        <v>18491</v>
      </c>
      <c r="V20" s="51">
        <f t="shared" si="3"/>
        <v>18778</v>
      </c>
      <c r="W20" s="51">
        <f t="shared" si="3"/>
        <v>19205</v>
      </c>
      <c r="X20" s="56">
        <f t="shared" si="3"/>
        <v>19385</v>
      </c>
      <c r="Y20" s="51">
        <f t="shared" si="3"/>
        <v>19853</v>
      </c>
      <c r="Z20" s="51">
        <f t="shared" si="3"/>
        <v>20169</v>
      </c>
      <c r="AA20" s="51">
        <f t="shared" si="3"/>
        <v>20327</v>
      </c>
      <c r="AB20" s="51">
        <v>17210</v>
      </c>
      <c r="AC20" s="56">
        <v>16257</v>
      </c>
      <c r="AD20" s="51">
        <v>15619</v>
      </c>
      <c r="AE20" s="51">
        <v>15046</v>
      </c>
      <c r="AF20" s="57">
        <f>SUM(AF21:AF22)</f>
        <v>15113</v>
      </c>
    </row>
    <row r="21" spans="2:32" x14ac:dyDescent="0.25">
      <c r="B21" s="29" t="s">
        <v>10</v>
      </c>
      <c r="C21" s="30">
        <f>8128+6899</f>
        <v>15027</v>
      </c>
      <c r="D21" s="31">
        <f>8084+6870</f>
        <v>14954</v>
      </c>
      <c r="E21" s="32">
        <f>7916+6840+318+73</f>
        <v>15147</v>
      </c>
      <c r="F21" s="31">
        <f>7756+6753+327+78</f>
        <v>14914</v>
      </c>
      <c r="G21" s="32">
        <f>7618+6681+336+86</f>
        <v>14721</v>
      </c>
      <c r="H21" s="31">
        <f>7694+6647+357+90</f>
        <v>14788</v>
      </c>
      <c r="I21" s="31">
        <v>14238</v>
      </c>
      <c r="J21" s="31">
        <v>14442</v>
      </c>
      <c r="K21" s="34">
        <v>14511</v>
      </c>
      <c r="L21" s="34">
        <v>15363</v>
      </c>
      <c r="M21" s="34">
        <v>15780</v>
      </c>
      <c r="N21" s="58">
        <v>16105</v>
      </c>
      <c r="O21" s="59">
        <f>4403+3649+3750+4397+227+40</f>
        <v>16466</v>
      </c>
      <c r="P21" s="59">
        <v>16285</v>
      </c>
      <c r="Q21" s="38">
        <v>16680</v>
      </c>
      <c r="R21" s="39">
        <v>16519</v>
      </c>
      <c r="S21" s="39">
        <v>16511</v>
      </c>
      <c r="T21" s="39">
        <v>16349</v>
      </c>
      <c r="U21" s="38">
        <v>16186</v>
      </c>
      <c r="V21" s="38">
        <v>16510</v>
      </c>
      <c r="W21" s="38">
        <v>17029</v>
      </c>
      <c r="X21" s="40">
        <v>17245</v>
      </c>
      <c r="Y21" s="38">
        <v>17798</v>
      </c>
      <c r="Z21" s="38">
        <v>18110</v>
      </c>
      <c r="AA21" s="38">
        <v>18258</v>
      </c>
      <c r="AB21" s="38">
        <v>15548</v>
      </c>
      <c r="AC21" s="40">
        <v>14497</v>
      </c>
      <c r="AD21" s="38">
        <v>13936</v>
      </c>
      <c r="AE21" s="38">
        <v>13462</v>
      </c>
      <c r="AF21" s="41">
        <v>13553</v>
      </c>
    </row>
    <row r="22" spans="2:32" x14ac:dyDescent="0.25">
      <c r="B22" s="29" t="s">
        <v>11</v>
      </c>
      <c r="C22" s="30">
        <f>1140+1210</f>
        <v>2350</v>
      </c>
      <c r="D22" s="31">
        <f>1136+1015</f>
        <v>2151</v>
      </c>
      <c r="E22" s="32">
        <f>1106+952+190+192</f>
        <v>2440</v>
      </c>
      <c r="F22" s="31">
        <f>951+975+176+144</f>
        <v>2246</v>
      </c>
      <c r="G22" s="32">
        <f>1007+928+186+150</f>
        <v>2271</v>
      </c>
      <c r="H22" s="31">
        <f>918+960+178+170</f>
        <v>2226</v>
      </c>
      <c r="I22" s="31">
        <v>2697</v>
      </c>
      <c r="J22" s="31">
        <v>2494</v>
      </c>
      <c r="K22" s="34">
        <v>3021</v>
      </c>
      <c r="L22" s="34">
        <v>2540</v>
      </c>
      <c r="M22" s="34">
        <v>2472</v>
      </c>
      <c r="N22" s="58">
        <v>2665</v>
      </c>
      <c r="O22" s="59">
        <f>673+327+399+861+29+293</f>
        <v>2582</v>
      </c>
      <c r="P22" s="59">
        <v>2798</v>
      </c>
      <c r="Q22" s="38">
        <v>2418</v>
      </c>
      <c r="R22" s="39">
        <v>2319</v>
      </c>
      <c r="S22" s="39">
        <v>2251</v>
      </c>
      <c r="T22" s="39">
        <v>2195</v>
      </c>
      <c r="U22" s="38">
        <v>2305</v>
      </c>
      <c r="V22" s="38">
        <v>2268</v>
      </c>
      <c r="W22" s="38">
        <v>2176</v>
      </c>
      <c r="X22" s="40">
        <v>2140</v>
      </c>
      <c r="Y22" s="38">
        <v>2055</v>
      </c>
      <c r="Z22" s="38">
        <v>2059</v>
      </c>
      <c r="AA22" s="38">
        <v>2069</v>
      </c>
      <c r="AB22" s="38">
        <v>1662</v>
      </c>
      <c r="AC22" s="40">
        <v>1760</v>
      </c>
      <c r="AD22" s="38">
        <v>1683</v>
      </c>
      <c r="AE22" s="38">
        <v>1584</v>
      </c>
      <c r="AF22" s="41">
        <v>1560</v>
      </c>
    </row>
    <row r="23" spans="2:32" x14ac:dyDescent="0.25">
      <c r="B23" s="29" t="s">
        <v>12</v>
      </c>
      <c r="C23" s="30">
        <f>4935+3082+2883+3616+124+108</f>
        <v>14748</v>
      </c>
      <c r="D23" s="31">
        <f>4405+2940+3010+3996+131+115</f>
        <v>14597</v>
      </c>
      <c r="E23" s="32">
        <f>4286+2967+2989+4113+139+65+742</f>
        <v>15301</v>
      </c>
      <c r="F23" s="31">
        <f>3993+2912+2948+4138+129+59+699</f>
        <v>14878</v>
      </c>
      <c r="G23" s="32">
        <f>4359+3043+3067+4105+111+151</f>
        <v>14836</v>
      </c>
      <c r="H23" s="31">
        <f>4427+3088+3080+4126+124+144</f>
        <v>14989</v>
      </c>
      <c r="I23" s="31">
        <v>15093</v>
      </c>
      <c r="J23" s="31">
        <v>15145</v>
      </c>
      <c r="K23" s="34">
        <v>15687</v>
      </c>
      <c r="L23" s="34">
        <v>16090</v>
      </c>
      <c r="M23" s="34">
        <f>4707+3534+3565+4582+127+59+28+67+699</f>
        <v>17368</v>
      </c>
      <c r="N23" s="35">
        <v>16629</v>
      </c>
      <c r="O23" s="36">
        <f>4409+3577+3715+4791+159+252</f>
        <v>16903</v>
      </c>
      <c r="P23" s="37">
        <v>16772</v>
      </c>
      <c r="Q23" s="38">
        <v>16684</v>
      </c>
      <c r="R23" s="39">
        <v>16317</v>
      </c>
      <c r="S23" s="39">
        <v>16060</v>
      </c>
      <c r="T23" s="39">
        <v>15686</v>
      </c>
      <c r="U23" s="38">
        <v>15290</v>
      </c>
      <c r="V23" s="38">
        <v>15105</v>
      </c>
      <c r="W23" s="38">
        <v>15270</v>
      </c>
      <c r="X23" s="40">
        <v>15270</v>
      </c>
      <c r="Y23" s="38">
        <v>15477</v>
      </c>
      <c r="Z23" s="38">
        <v>15626</v>
      </c>
      <c r="AA23" s="38">
        <v>15577</v>
      </c>
      <c r="AB23" s="38">
        <v>13232</v>
      </c>
      <c r="AC23" s="40">
        <v>12399</v>
      </c>
      <c r="AD23" s="38">
        <v>11818</v>
      </c>
      <c r="AE23" s="38">
        <v>11273</v>
      </c>
      <c r="AF23" s="41">
        <v>11470</v>
      </c>
    </row>
    <row r="24" spans="2:32" x14ac:dyDescent="0.25">
      <c r="B24" s="29" t="s">
        <v>13</v>
      </c>
      <c r="C24" s="30">
        <f>877+557+443+545+113+94</f>
        <v>2629</v>
      </c>
      <c r="D24" s="31">
        <f>667+534+506+597+139+65</f>
        <v>2508</v>
      </c>
      <c r="E24" s="32">
        <f>640+373+452+604+125+61+31</f>
        <v>2286</v>
      </c>
      <c r="F24" s="31">
        <f>648+400+424+563+148+73+26</f>
        <v>2282</v>
      </c>
      <c r="G24" s="32">
        <f>615+404+381+562+134+60</f>
        <v>2156</v>
      </c>
      <c r="H24" s="31">
        <f>573+361+395+494+124+78</f>
        <v>2025</v>
      </c>
      <c r="I24" s="31">
        <v>1842</v>
      </c>
      <c r="J24" s="31">
        <v>1791</v>
      </c>
      <c r="K24" s="34">
        <v>1845</v>
      </c>
      <c r="L24" s="34">
        <v>1813</v>
      </c>
      <c r="M24" s="34">
        <f>1387+245</f>
        <v>1632</v>
      </c>
      <c r="N24" s="35">
        <v>2141</v>
      </c>
      <c r="O24" s="36">
        <f>667+399+434+467+97+81</f>
        <v>2145</v>
      </c>
      <c r="P24" s="37">
        <v>3031</v>
      </c>
      <c r="Q24" s="38">
        <v>2414</v>
      </c>
      <c r="R24" s="39">
        <v>2521</v>
      </c>
      <c r="S24" s="39">
        <v>2702</v>
      </c>
      <c r="T24" s="39">
        <v>2858</v>
      </c>
      <c r="U24" s="38">
        <v>3201</v>
      </c>
      <c r="V24" s="38">
        <v>3673</v>
      </c>
      <c r="W24" s="38">
        <v>3935</v>
      </c>
      <c r="X24" s="40">
        <v>4115</v>
      </c>
      <c r="Y24" s="38">
        <v>4376</v>
      </c>
      <c r="Z24" s="38">
        <v>4543</v>
      </c>
      <c r="AA24" s="38">
        <v>4750</v>
      </c>
      <c r="AB24" s="38">
        <v>3978</v>
      </c>
      <c r="AC24" s="40">
        <v>3858</v>
      </c>
      <c r="AD24" s="38">
        <v>3801</v>
      </c>
      <c r="AE24" s="38">
        <v>3773</v>
      </c>
      <c r="AF24" s="41">
        <v>3643</v>
      </c>
    </row>
    <row r="25" spans="2:32" x14ac:dyDescent="0.25">
      <c r="B25" s="29" t="s">
        <v>14</v>
      </c>
      <c r="C25" s="30">
        <f>8128+1140</f>
        <v>9268</v>
      </c>
      <c r="D25" s="31">
        <f>1136+8084</f>
        <v>9220</v>
      </c>
      <c r="E25" s="32">
        <f>1106+7916+318+190</f>
        <v>9530</v>
      </c>
      <c r="F25" s="31">
        <f>951+7756+176+327</f>
        <v>9210</v>
      </c>
      <c r="G25" s="32">
        <f>7618+1007+336+186</f>
        <v>9147</v>
      </c>
      <c r="H25" s="31">
        <f>918+7694+357+178</f>
        <v>9147</v>
      </c>
      <c r="I25" s="31">
        <v>9061</v>
      </c>
      <c r="J25" s="31">
        <v>9046</v>
      </c>
      <c r="K25" s="34">
        <v>9315</v>
      </c>
      <c r="L25" s="34">
        <v>9517</v>
      </c>
      <c r="M25" s="34">
        <f>1226+8422</f>
        <v>9648</v>
      </c>
      <c r="N25" s="35">
        <v>9856</v>
      </c>
      <c r="O25" s="36">
        <f>2630+2009+2148+2882+176+155</f>
        <v>10000</v>
      </c>
      <c r="P25" s="37">
        <v>9861</v>
      </c>
      <c r="Q25" s="38">
        <v>9768</v>
      </c>
      <c r="R25" s="39">
        <v>9574</v>
      </c>
      <c r="S25" s="39">
        <v>9612</v>
      </c>
      <c r="T25" s="39">
        <v>9571</v>
      </c>
      <c r="U25" s="38">
        <v>9563</v>
      </c>
      <c r="V25" s="38">
        <v>9730</v>
      </c>
      <c r="W25" s="38">
        <v>9979</v>
      </c>
      <c r="X25" s="40">
        <v>10141</v>
      </c>
      <c r="Y25" s="38">
        <v>10395</v>
      </c>
      <c r="Z25" s="38">
        <v>10503</v>
      </c>
      <c r="AA25" s="38">
        <v>10607</v>
      </c>
      <c r="AB25" s="38">
        <v>8943</v>
      </c>
      <c r="AC25" s="40">
        <v>8300</v>
      </c>
      <c r="AD25" s="38">
        <v>7861</v>
      </c>
      <c r="AE25" s="38">
        <v>7487</v>
      </c>
      <c r="AF25" s="41">
        <v>7430</v>
      </c>
    </row>
    <row r="26" spans="2:32" x14ac:dyDescent="0.25">
      <c r="B26" s="29" t="s">
        <v>15</v>
      </c>
      <c r="C26" s="30">
        <f>1210+6899</f>
        <v>8109</v>
      </c>
      <c r="D26" s="31">
        <f>6870+1015</f>
        <v>7885</v>
      </c>
      <c r="E26" s="32">
        <f>952+6840+73+192</f>
        <v>8057</v>
      </c>
      <c r="F26" s="31">
        <f>6753+975+78+144</f>
        <v>7950</v>
      </c>
      <c r="G26" s="32">
        <f>928+6681+86+150</f>
        <v>7845</v>
      </c>
      <c r="H26" s="31">
        <f>6647+960+90+170</f>
        <v>7867</v>
      </c>
      <c r="I26" s="31">
        <v>7874</v>
      </c>
      <c r="J26" s="31">
        <v>7890</v>
      </c>
      <c r="K26" s="34">
        <v>8217</v>
      </c>
      <c r="L26" s="34">
        <v>8386</v>
      </c>
      <c r="M26" s="34">
        <f>7358+1246</f>
        <v>8604</v>
      </c>
      <c r="N26" s="35">
        <v>8914</v>
      </c>
      <c r="O26" s="36">
        <f>2446+1967+2001+2376+80+178</f>
        <v>9048</v>
      </c>
      <c r="P26" s="37">
        <v>9222</v>
      </c>
      <c r="Q26" s="38">
        <v>9330</v>
      </c>
      <c r="R26" s="39">
        <v>9264</v>
      </c>
      <c r="S26" s="39">
        <v>9150</v>
      </c>
      <c r="T26" s="39">
        <v>8973</v>
      </c>
      <c r="U26" s="38">
        <v>8928</v>
      </c>
      <c r="V26" s="38">
        <v>9048</v>
      </c>
      <c r="W26" s="38">
        <v>9226</v>
      </c>
      <c r="X26" s="40">
        <v>9244</v>
      </c>
      <c r="Y26" s="38">
        <v>9458</v>
      </c>
      <c r="Z26" s="38">
        <v>9666</v>
      </c>
      <c r="AA26" s="38">
        <v>9720</v>
      </c>
      <c r="AB26" s="38">
        <v>8267</v>
      </c>
      <c r="AC26" s="40">
        <v>7957</v>
      </c>
      <c r="AD26" s="38">
        <v>7758</v>
      </c>
      <c r="AE26" s="38">
        <v>7559</v>
      </c>
      <c r="AF26" s="41">
        <v>7683</v>
      </c>
    </row>
    <row r="27" spans="2:32" x14ac:dyDescent="0.25">
      <c r="B27" s="29" t="s">
        <v>26</v>
      </c>
      <c r="C27" s="30"/>
      <c r="D27" s="31"/>
      <c r="E27" s="32"/>
      <c r="F27" s="31"/>
      <c r="G27" s="32"/>
      <c r="H27" s="31"/>
      <c r="I27" s="31"/>
      <c r="J27" s="31"/>
      <c r="K27" s="34"/>
      <c r="L27" s="34"/>
      <c r="M27" s="34"/>
      <c r="N27" s="35"/>
      <c r="O27" s="36"/>
      <c r="P27" s="37"/>
      <c r="Q27" s="38"/>
      <c r="R27" s="39"/>
      <c r="S27" s="39"/>
      <c r="T27" s="39">
        <v>6346</v>
      </c>
      <c r="U27" s="38">
        <v>5728</v>
      </c>
      <c r="V27" s="38">
        <v>6354</v>
      </c>
      <c r="W27" s="38">
        <v>6264</v>
      </c>
      <c r="X27" s="40">
        <v>6412</v>
      </c>
      <c r="Y27" s="38">
        <v>6739</v>
      </c>
      <c r="Z27" s="38">
        <v>6847</v>
      </c>
      <c r="AA27" s="38">
        <v>6921</v>
      </c>
      <c r="AB27" s="38">
        <v>5958</v>
      </c>
      <c r="AC27" s="40">
        <v>5638</v>
      </c>
      <c r="AD27" s="38">
        <v>5349</v>
      </c>
      <c r="AE27" s="38">
        <v>5338</v>
      </c>
      <c r="AF27" s="41">
        <v>5714</v>
      </c>
    </row>
    <row r="28" spans="2:32" x14ac:dyDescent="0.25">
      <c r="B28" s="29" t="s">
        <v>27</v>
      </c>
      <c r="C28" s="30"/>
      <c r="D28" s="31"/>
      <c r="E28" s="32"/>
      <c r="F28" s="31"/>
      <c r="G28" s="32"/>
      <c r="H28" s="31"/>
      <c r="I28" s="31"/>
      <c r="J28" s="32">
        <f>3673+1450+79+1+35</f>
        <v>5238</v>
      </c>
      <c r="K28" s="34">
        <f>4119+1680+74+5+82</f>
        <v>5960</v>
      </c>
      <c r="L28" s="34">
        <f>4332+1842+96+7+62</f>
        <v>6339</v>
      </c>
      <c r="M28" s="34">
        <f>4382+1818+88+8+77</f>
        <v>6373</v>
      </c>
      <c r="N28" s="35">
        <v>6515</v>
      </c>
      <c r="O28" s="36"/>
      <c r="P28" s="37"/>
      <c r="Q28" s="38"/>
      <c r="R28" s="39"/>
      <c r="S28" s="39"/>
      <c r="T28" s="39">
        <v>10485</v>
      </c>
      <c r="U28" s="38">
        <v>10925</v>
      </c>
      <c r="V28" s="38">
        <v>10594</v>
      </c>
      <c r="W28" s="38">
        <v>10976</v>
      </c>
      <c r="X28" s="40">
        <v>10970</v>
      </c>
      <c r="Y28" s="38">
        <v>11015</v>
      </c>
      <c r="Z28" s="38">
        <v>11215</v>
      </c>
      <c r="AA28" s="38">
        <v>11272</v>
      </c>
      <c r="AB28" s="38">
        <v>9775</v>
      </c>
      <c r="AC28" s="40">
        <v>9145</v>
      </c>
      <c r="AD28" s="38">
        <v>8876</v>
      </c>
      <c r="AE28" s="38">
        <v>8383</v>
      </c>
      <c r="AF28" s="41">
        <v>8025</v>
      </c>
    </row>
    <row r="29" spans="2:32" x14ac:dyDescent="0.25">
      <c r="B29" s="29" t="s">
        <v>28</v>
      </c>
      <c r="C29" s="30"/>
      <c r="D29" s="31"/>
      <c r="E29" s="32"/>
      <c r="F29" s="31"/>
      <c r="G29" s="32"/>
      <c r="H29" s="31"/>
      <c r="I29" s="31"/>
      <c r="J29" s="32">
        <f>367+1480+2531+1391+10+12+136+222+536+2362+187+24</f>
        <v>9258</v>
      </c>
      <c r="K29" s="34">
        <f>424+144+1503+2614+234+546+1490+2467+181+5+29+28</f>
        <v>9665</v>
      </c>
      <c r="L29" s="34">
        <f>425+1576+2683+1451+9+18+178+215+598+2534+187+30</f>
        <v>9904</v>
      </c>
      <c r="M29" s="34">
        <f>472+144+1605+2932+1615+5+39+230+569+2513+166+28</f>
        <v>10318</v>
      </c>
      <c r="N29" s="35">
        <v>10594</v>
      </c>
      <c r="O29" s="36"/>
      <c r="P29" s="37"/>
      <c r="Q29" s="38"/>
      <c r="R29" s="39"/>
      <c r="S29" s="39"/>
      <c r="T29" s="39">
        <v>1398</v>
      </c>
      <c r="U29" s="38">
        <v>1531</v>
      </c>
      <c r="V29" s="38">
        <v>1514</v>
      </c>
      <c r="W29" s="38">
        <v>1647</v>
      </c>
      <c r="X29" s="40">
        <v>1661</v>
      </c>
      <c r="Y29" s="38">
        <v>1751</v>
      </c>
      <c r="Z29" s="38">
        <v>1785</v>
      </c>
      <c r="AA29" s="38">
        <v>1814</v>
      </c>
      <c r="AB29" s="38">
        <v>1246</v>
      </c>
      <c r="AC29" s="40">
        <v>1234</v>
      </c>
      <c r="AD29" s="38">
        <v>1144</v>
      </c>
      <c r="AE29" s="38">
        <v>1079</v>
      </c>
      <c r="AF29" s="41">
        <v>1111</v>
      </c>
    </row>
    <row r="30" spans="2:32" x14ac:dyDescent="0.25">
      <c r="B30" s="29" t="s">
        <v>29</v>
      </c>
      <c r="C30" s="30"/>
      <c r="D30" s="31"/>
      <c r="E30" s="32"/>
      <c r="F30" s="31"/>
      <c r="G30" s="32"/>
      <c r="H30" s="31"/>
      <c r="I30" s="31"/>
      <c r="J30" s="32">
        <f>89+113+170+554+49+8+64+59+94+252+8+9</f>
        <v>1469</v>
      </c>
      <c r="K30" s="34">
        <f>141+106+117+163+69+98+579+233+38+12+17+27</f>
        <v>1600</v>
      </c>
      <c r="L30" s="34">
        <f>96+74+52+78+244+7+11+113+180+449+53+14</f>
        <v>1371</v>
      </c>
      <c r="M30" s="34">
        <f>91+90+149+459+43+22+49+59+82+233+7+19</f>
        <v>1303</v>
      </c>
      <c r="N30" s="35">
        <v>1370</v>
      </c>
      <c r="O30" s="36"/>
      <c r="P30" s="37"/>
      <c r="Q30" s="38"/>
      <c r="R30" s="39"/>
      <c r="S30" s="39"/>
      <c r="T30" s="39">
        <v>316</v>
      </c>
      <c r="U30" s="38">
        <v>307</v>
      </c>
      <c r="V30" s="38">
        <v>316</v>
      </c>
      <c r="W30" s="38">
        <v>318</v>
      </c>
      <c r="X30" s="40">
        <v>342</v>
      </c>
      <c r="Y30" s="38">
        <v>348</v>
      </c>
      <c r="Z30" s="38">
        <v>322</v>
      </c>
      <c r="AA30" s="38">
        <v>320</v>
      </c>
      <c r="AB30" s="38">
        <v>231</v>
      </c>
      <c r="AC30" s="40">
        <v>240</v>
      </c>
      <c r="AD30" s="38">
        <v>250</v>
      </c>
      <c r="AE30" s="38">
        <v>246</v>
      </c>
      <c r="AF30" s="41">
        <v>263</v>
      </c>
    </row>
    <row r="31" spans="2:32" x14ac:dyDescent="0.25">
      <c r="B31" s="29" t="s">
        <v>16</v>
      </c>
      <c r="C31" s="30"/>
      <c r="D31" s="31"/>
      <c r="E31" s="32"/>
      <c r="F31" s="31"/>
      <c r="G31" s="32"/>
      <c r="H31" s="31"/>
      <c r="I31" s="31"/>
      <c r="J31" s="32">
        <f>29+6+24+4+33+4+120+18+1+1+7+4</f>
        <v>251</v>
      </c>
      <c r="K31" s="34">
        <f>38+20+32+4+40+6+115+31+1+16+3</f>
        <v>306</v>
      </c>
      <c r="L31" s="34">
        <f>38+32+38+93+21+17+7+6+27+10</f>
        <v>289</v>
      </c>
      <c r="M31" s="34">
        <f>38+7+22+1+35+8+95+20+1+21+8</f>
        <v>256</v>
      </c>
      <c r="N31" s="35">
        <v>291</v>
      </c>
      <c r="O31" s="36"/>
      <c r="P31" s="37"/>
      <c r="Q31" s="38"/>
      <c r="R31" s="39"/>
      <c r="S31" s="39"/>
      <c r="T31" s="39">
        <v>431</v>
      </c>
      <c r="U31" s="38">
        <v>630</v>
      </c>
      <c r="V31" s="38">
        <v>913</v>
      </c>
      <c r="W31" s="38">
        <v>996</v>
      </c>
      <c r="X31" s="40">
        <v>1096</v>
      </c>
      <c r="Y31" s="38">
        <v>1301</v>
      </c>
      <c r="Z31" s="38">
        <v>1376</v>
      </c>
      <c r="AA31" s="38">
        <v>1467</v>
      </c>
      <c r="AB31" s="38">
        <v>699</v>
      </c>
      <c r="AC31" s="40">
        <v>477</v>
      </c>
      <c r="AD31" s="38">
        <v>398</v>
      </c>
      <c r="AE31" s="38">
        <v>332</v>
      </c>
      <c r="AF31" s="41">
        <v>279</v>
      </c>
    </row>
    <row r="32" spans="2:32" x14ac:dyDescent="0.25">
      <c r="B32" s="29" t="s">
        <v>18</v>
      </c>
      <c r="C32" s="30">
        <f>112+95+202+226</f>
        <v>635</v>
      </c>
      <c r="D32" s="31">
        <f>195+216+115+84</f>
        <v>610</v>
      </c>
      <c r="E32" s="32">
        <f>97+82+230+253+9+5</f>
        <v>676</v>
      </c>
      <c r="F32" s="31">
        <f>220+244+72+79+4+2+1+2</f>
        <v>624</v>
      </c>
      <c r="G32" s="32">
        <f>91+83+201+230+8+7</f>
        <v>620</v>
      </c>
      <c r="H32" s="31">
        <f>215+219+79+97+9+6</f>
        <v>625</v>
      </c>
      <c r="I32" s="31">
        <v>592</v>
      </c>
      <c r="J32" s="31">
        <v>550</v>
      </c>
      <c r="K32" s="34">
        <v>545</v>
      </c>
      <c r="L32" s="34">
        <v>527</v>
      </c>
      <c r="M32" s="34">
        <f>414+127</f>
        <v>541</v>
      </c>
      <c r="N32" s="35">
        <v>554</v>
      </c>
      <c r="O32" s="36">
        <f>180+112+117+153+4+4</f>
        <v>570</v>
      </c>
      <c r="P32" s="37">
        <v>561</v>
      </c>
      <c r="Q32" s="38">
        <v>551</v>
      </c>
      <c r="R32" s="39">
        <v>575</v>
      </c>
      <c r="S32" s="39">
        <v>580</v>
      </c>
      <c r="T32" s="39">
        <v>113</v>
      </c>
      <c r="U32" s="38">
        <v>132</v>
      </c>
      <c r="V32" s="38">
        <v>116</v>
      </c>
      <c r="W32" s="38">
        <v>90</v>
      </c>
      <c r="X32" s="40">
        <v>81</v>
      </c>
      <c r="Y32" s="38">
        <v>80</v>
      </c>
      <c r="Z32" s="38">
        <v>90</v>
      </c>
      <c r="AA32" s="38">
        <v>75</v>
      </c>
      <c r="AB32" s="38">
        <v>84</v>
      </c>
      <c r="AC32" s="40">
        <v>71</v>
      </c>
      <c r="AD32" s="38">
        <v>59</v>
      </c>
      <c r="AE32" s="38">
        <v>60</v>
      </c>
      <c r="AF32" s="41">
        <v>59</v>
      </c>
    </row>
    <row r="33" spans="2:33" x14ac:dyDescent="0.25">
      <c r="B33" s="29" t="s">
        <v>19</v>
      </c>
      <c r="C33" s="30">
        <f>24+26+9+8</f>
        <v>67</v>
      </c>
      <c r="D33" s="31">
        <f>9+5+22+26</f>
        <v>62</v>
      </c>
      <c r="E33" s="32">
        <f>32+29+5+7+5</f>
        <v>78</v>
      </c>
      <c r="F33" s="31">
        <f>4+5+34+33+3+2+2</f>
        <v>83</v>
      </c>
      <c r="G33" s="32">
        <f>44+44+9+4+5+5</f>
        <v>111</v>
      </c>
      <c r="H33" s="31">
        <f>4+3+46+54+5+5</f>
        <v>117</v>
      </c>
      <c r="I33" s="31">
        <v>120</v>
      </c>
      <c r="J33" s="31">
        <v>127</v>
      </c>
      <c r="K33" s="34">
        <v>133</v>
      </c>
      <c r="L33" s="34">
        <v>132</v>
      </c>
      <c r="M33" s="34">
        <f>92+22</f>
        <v>114</v>
      </c>
      <c r="N33" s="35">
        <v>120</v>
      </c>
      <c r="O33" s="36">
        <f>29+17+20+36+1+2</f>
        <v>105</v>
      </c>
      <c r="P33" s="37">
        <v>93</v>
      </c>
      <c r="Q33" s="38">
        <v>95</v>
      </c>
      <c r="R33" s="39">
        <v>104</v>
      </c>
      <c r="S33" s="39">
        <v>114</v>
      </c>
      <c r="T33" s="39">
        <v>253</v>
      </c>
      <c r="U33" s="38">
        <v>241</v>
      </c>
      <c r="V33" s="38">
        <v>243</v>
      </c>
      <c r="W33" s="38">
        <v>218</v>
      </c>
      <c r="X33" s="40">
        <v>258</v>
      </c>
      <c r="Y33" s="38">
        <v>235</v>
      </c>
      <c r="Z33" s="38">
        <v>258</v>
      </c>
      <c r="AA33" s="38">
        <v>265</v>
      </c>
      <c r="AB33" s="38">
        <v>303</v>
      </c>
      <c r="AC33" s="40">
        <v>285</v>
      </c>
      <c r="AD33" s="38">
        <v>272</v>
      </c>
      <c r="AE33" s="38">
        <v>280</v>
      </c>
      <c r="AF33" s="41">
        <v>289</v>
      </c>
    </row>
    <row r="34" spans="2:33" x14ac:dyDescent="0.25">
      <c r="B34" s="29" t="s">
        <v>17</v>
      </c>
      <c r="C34" s="30">
        <f>170+57+46+51</f>
        <v>324</v>
      </c>
      <c r="D34" s="31">
        <f>27+22+177+59</f>
        <v>285</v>
      </c>
      <c r="E34" s="32">
        <f>178+63+42+32+1+1</f>
        <v>317</v>
      </c>
      <c r="F34" s="31">
        <f>60+35+156+78+1+1+1</f>
        <v>332</v>
      </c>
      <c r="G34" s="32">
        <f>143+78+40+23+2+1</f>
        <v>287</v>
      </c>
      <c r="H34" s="31">
        <f>37+27+125+82+4</f>
        <v>275</v>
      </c>
      <c r="I34" s="31">
        <v>240</v>
      </c>
      <c r="J34" s="31">
        <v>194</v>
      </c>
      <c r="K34" s="34">
        <v>219</v>
      </c>
      <c r="L34" s="34">
        <v>190</v>
      </c>
      <c r="M34" s="34">
        <f>30+195</f>
        <v>225</v>
      </c>
      <c r="N34" s="35">
        <v>251</v>
      </c>
      <c r="O34" s="36">
        <f>46+34+44+53+4+64</f>
        <v>245</v>
      </c>
      <c r="P34" s="37">
        <v>230</v>
      </c>
      <c r="Q34" s="38">
        <v>230</v>
      </c>
      <c r="R34" s="39">
        <v>254</v>
      </c>
      <c r="S34" s="39">
        <v>326</v>
      </c>
      <c r="T34" s="39">
        <v>610</v>
      </c>
      <c r="U34" s="38">
        <v>640</v>
      </c>
      <c r="V34" s="38">
        <v>725</v>
      </c>
      <c r="W34" s="38">
        <v>818</v>
      </c>
      <c r="X34" s="40">
        <v>830</v>
      </c>
      <c r="Y34" s="38">
        <v>847</v>
      </c>
      <c r="Z34" s="38">
        <v>808</v>
      </c>
      <c r="AA34" s="38">
        <v>793</v>
      </c>
      <c r="AB34" s="38">
        <v>528</v>
      </c>
      <c r="AC34" s="40">
        <v>477</v>
      </c>
      <c r="AD34" s="38">
        <v>444</v>
      </c>
      <c r="AE34" s="38">
        <v>411</v>
      </c>
      <c r="AF34" s="41">
        <v>398</v>
      </c>
    </row>
    <row r="35" spans="2:33" x14ac:dyDescent="0.25">
      <c r="B35" s="29" t="s">
        <v>20</v>
      </c>
      <c r="C35" s="30">
        <f>22+22+135+80</f>
        <v>259</v>
      </c>
      <c r="D35" s="31">
        <f>131+80+20+11</f>
        <v>242</v>
      </c>
      <c r="E35" s="32">
        <f>41+11+124+95+12+1</f>
        <v>284</v>
      </c>
      <c r="F35" s="31">
        <f>139+102+21+25+8+1+1</f>
        <v>297</v>
      </c>
      <c r="G35" s="32">
        <f>24+19+133+103+16+1</f>
        <v>296</v>
      </c>
      <c r="H35" s="31">
        <f>123+102+25+26+12+2</f>
        <v>290</v>
      </c>
      <c r="I35" s="31">
        <v>280</v>
      </c>
      <c r="J35" s="31">
        <v>266</v>
      </c>
      <c r="K35" s="34">
        <v>253</v>
      </c>
      <c r="L35" s="34">
        <v>261</v>
      </c>
      <c r="M35" s="34">
        <f>197+47</f>
        <v>244</v>
      </c>
      <c r="N35" s="35">
        <v>256</v>
      </c>
      <c r="O35" s="36">
        <f>66+43+52+71+6+6</f>
        <v>244</v>
      </c>
      <c r="P35" s="37">
        <v>264</v>
      </c>
      <c r="Q35" s="38">
        <v>252</v>
      </c>
      <c r="R35" s="39">
        <v>247</v>
      </c>
      <c r="S35" s="39">
        <v>255</v>
      </c>
      <c r="T35" s="42"/>
      <c r="U35" s="38">
        <v>26</v>
      </c>
      <c r="V35" s="38">
        <v>30</v>
      </c>
      <c r="W35" s="38">
        <v>31</v>
      </c>
      <c r="X35" s="40">
        <v>34</v>
      </c>
      <c r="Y35" s="38">
        <v>24</v>
      </c>
      <c r="Z35" s="38">
        <v>22</v>
      </c>
      <c r="AA35" s="38">
        <v>26</v>
      </c>
      <c r="AB35" s="38">
        <v>19</v>
      </c>
      <c r="AC35" s="40">
        <v>14</v>
      </c>
      <c r="AD35" s="38">
        <v>15</v>
      </c>
      <c r="AE35" s="38">
        <v>14</v>
      </c>
      <c r="AF35" s="41">
        <v>13</v>
      </c>
    </row>
    <row r="36" spans="2:33" x14ac:dyDescent="0.25">
      <c r="B36" s="29" t="s">
        <v>21</v>
      </c>
      <c r="C36" s="30">
        <f>150+116+45+27</f>
        <v>338</v>
      </c>
      <c r="D36" s="31">
        <f>46+25+143+125</f>
        <v>339</v>
      </c>
      <c r="E36" s="32">
        <f>131+137+48+36+10+4</f>
        <v>366</v>
      </c>
      <c r="F36" s="31">
        <f>37+36+143+140+9+2+6+2</f>
        <v>375</v>
      </c>
      <c r="G36" s="32">
        <f>145+148+41+26+12+5</f>
        <v>377</v>
      </c>
      <c r="H36" s="31">
        <f>35+35+149+161+8+10</f>
        <v>398</v>
      </c>
      <c r="I36" s="31">
        <v>394</v>
      </c>
      <c r="J36" s="31">
        <v>394</v>
      </c>
      <c r="K36" s="34">
        <v>419</v>
      </c>
      <c r="L36" s="34">
        <v>410</v>
      </c>
      <c r="M36" s="34">
        <f>350+86</f>
        <v>436</v>
      </c>
      <c r="N36" s="35">
        <v>443</v>
      </c>
      <c r="O36" s="36">
        <v>451</v>
      </c>
      <c r="P36" s="37">
        <v>428</v>
      </c>
      <c r="Q36" s="38">
        <v>461</v>
      </c>
      <c r="R36" s="39">
        <f>239+271</f>
        <v>510</v>
      </c>
      <c r="S36" s="39">
        <v>528</v>
      </c>
      <c r="T36" s="39">
        <v>554</v>
      </c>
      <c r="U36" s="38">
        <v>622</v>
      </c>
      <c r="V36" s="38">
        <v>706</v>
      </c>
      <c r="W36" s="38">
        <v>941</v>
      </c>
      <c r="X36" s="40">
        <v>1041</v>
      </c>
      <c r="Y36" s="38">
        <v>1116</v>
      </c>
      <c r="Z36" s="38">
        <v>1159</v>
      </c>
      <c r="AA36" s="38">
        <v>1220</v>
      </c>
      <c r="AB36" s="38">
        <v>1311</v>
      </c>
      <c r="AC36" s="40">
        <v>1236</v>
      </c>
      <c r="AD36" s="38">
        <v>1262</v>
      </c>
      <c r="AE36" s="38">
        <v>1283</v>
      </c>
      <c r="AF36" s="41">
        <v>1376</v>
      </c>
    </row>
    <row r="37" spans="2:33" x14ac:dyDescent="0.25">
      <c r="B37" s="29" t="s">
        <v>22</v>
      </c>
      <c r="C37" s="30"/>
      <c r="D37" s="31"/>
      <c r="E37" s="32"/>
      <c r="F37" s="31"/>
      <c r="G37" s="32"/>
      <c r="H37" s="31"/>
      <c r="I37" s="31"/>
      <c r="J37" s="31"/>
      <c r="K37" s="34"/>
      <c r="L37" s="34"/>
      <c r="M37" s="34"/>
      <c r="N37" s="35"/>
      <c r="O37" s="36"/>
      <c r="P37" s="37"/>
      <c r="Q37" s="38"/>
      <c r="R37" s="42"/>
      <c r="S37" s="42"/>
      <c r="T37" s="39">
        <f>73+33+47+59+5</f>
        <v>217</v>
      </c>
      <c r="U37" s="38">
        <v>154</v>
      </c>
      <c r="V37" s="38">
        <v>253</v>
      </c>
      <c r="W37" s="38">
        <v>352</v>
      </c>
      <c r="X37" s="40">
        <v>474</v>
      </c>
      <c r="Y37" s="38">
        <v>523</v>
      </c>
      <c r="Z37" s="38">
        <v>580</v>
      </c>
      <c r="AA37" s="38">
        <v>612</v>
      </c>
      <c r="AB37" s="38">
        <v>622</v>
      </c>
      <c r="AC37" s="40">
        <v>636</v>
      </c>
      <c r="AD37" s="38">
        <v>610</v>
      </c>
      <c r="AE37" s="38">
        <v>576</v>
      </c>
      <c r="AF37" s="41">
        <v>572</v>
      </c>
    </row>
    <row r="38" spans="2:33" x14ac:dyDescent="0.25">
      <c r="B38" s="29" t="s">
        <v>23</v>
      </c>
      <c r="C38" s="30"/>
      <c r="D38" s="31"/>
      <c r="E38" s="32"/>
      <c r="F38" s="31"/>
      <c r="G38" s="32"/>
      <c r="H38" s="31"/>
      <c r="I38" s="31"/>
      <c r="J38" s="31">
        <v>93</v>
      </c>
      <c r="K38" s="34">
        <v>225</v>
      </c>
      <c r="L38" s="34">
        <v>334</v>
      </c>
      <c r="M38" s="34">
        <f>101+246+25+50</f>
        <v>422</v>
      </c>
      <c r="N38" s="35">
        <v>510</v>
      </c>
      <c r="O38" s="36">
        <v>558</v>
      </c>
      <c r="P38" s="37">
        <v>614</v>
      </c>
      <c r="Q38" s="38">
        <v>653</v>
      </c>
      <c r="R38" s="39">
        <v>683</v>
      </c>
      <c r="S38" s="39">
        <v>685</v>
      </c>
      <c r="T38" s="39">
        <f>116+88+104+154+9</f>
        <v>471</v>
      </c>
      <c r="U38" s="38">
        <v>396</v>
      </c>
      <c r="V38" s="38">
        <v>417</v>
      </c>
      <c r="W38" s="38">
        <v>92</v>
      </c>
      <c r="X38" s="40">
        <v>267</v>
      </c>
      <c r="Y38" s="38">
        <v>373</v>
      </c>
      <c r="Z38" s="38">
        <v>309</v>
      </c>
      <c r="AA38" s="38">
        <v>288</v>
      </c>
      <c r="AB38" s="38">
        <v>192</v>
      </c>
      <c r="AC38" s="40">
        <v>169</v>
      </c>
      <c r="AD38" s="38">
        <v>163</v>
      </c>
      <c r="AE38" s="38">
        <v>139</v>
      </c>
      <c r="AF38" s="41">
        <v>140</v>
      </c>
    </row>
    <row r="39" spans="2:33" ht="15.75" thickBot="1" x14ac:dyDescent="0.3">
      <c r="B39" s="60" t="s">
        <v>24</v>
      </c>
      <c r="C39" s="61">
        <f>906+1007+7447+6394</f>
        <v>15754</v>
      </c>
      <c r="D39" s="62">
        <f>7416+6364+919+868</f>
        <v>15567</v>
      </c>
      <c r="E39" s="63">
        <f>873+784+7221+6263+471+254</f>
        <v>15866</v>
      </c>
      <c r="F39" s="62">
        <f>7064+6156+757+795+306+71+161+139</f>
        <v>15449</v>
      </c>
      <c r="G39" s="63">
        <f>802+773+6952+6078+479+217</f>
        <v>15301</v>
      </c>
      <c r="H39" s="62">
        <f>7036+6029+738+772+497+237</f>
        <v>15309</v>
      </c>
      <c r="I39" s="62">
        <v>15309</v>
      </c>
      <c r="J39" s="62">
        <v>15312</v>
      </c>
      <c r="K39" s="64">
        <v>15738</v>
      </c>
      <c r="L39" s="64">
        <v>16049</v>
      </c>
      <c r="M39" s="64">
        <f>14185+2085</f>
        <v>16270</v>
      </c>
      <c r="N39" s="65">
        <v>16636</v>
      </c>
      <c r="O39" s="66">
        <f>4440+3552+3703+4703+233+244</f>
        <v>16875</v>
      </c>
      <c r="P39" s="67">
        <v>16893</v>
      </c>
      <c r="Q39" s="68">
        <v>16856</v>
      </c>
      <c r="R39" s="69">
        <v>16465</v>
      </c>
      <c r="S39" s="69">
        <v>16274</v>
      </c>
      <c r="T39" s="69">
        <v>15895</v>
      </c>
      <c r="U39" s="68">
        <v>15650</v>
      </c>
      <c r="V39" s="68">
        <v>15375</v>
      </c>
      <c r="W39" s="68">
        <v>15667</v>
      </c>
      <c r="X39" s="70">
        <v>15304</v>
      </c>
      <c r="Y39" s="68">
        <v>15354</v>
      </c>
      <c r="Z39" s="68">
        <v>15567</v>
      </c>
      <c r="AA39" s="68">
        <v>15581</v>
      </c>
      <c r="AB39" s="68">
        <v>13452</v>
      </c>
      <c r="AC39" s="70">
        <v>12892</v>
      </c>
      <c r="AD39" s="68">
        <v>12396</v>
      </c>
      <c r="AE39" s="68">
        <v>11951</v>
      </c>
      <c r="AF39" s="71">
        <v>11987</v>
      </c>
    </row>
    <row r="40" spans="2:33" ht="40.5" customHeight="1" thickTop="1" x14ac:dyDescent="0.25">
      <c r="B40" s="128" t="s">
        <v>30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5"/>
    </row>
    <row r="41" spans="2:33" x14ac:dyDescent="0.25"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7"/>
      <c r="Y41" s="127"/>
    </row>
    <row r="50" spans="3:15" ht="15.75" thickBot="1" x14ac:dyDescent="0.3"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</sheetData>
  <mergeCells count="2">
    <mergeCell ref="B41:Y41"/>
    <mergeCell ref="B40:AF40"/>
  </mergeCells>
  <pageMargins left="0.7" right="0.7" top="0.75" bottom="0.75" header="0.3" footer="0.3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8D796-B5F1-4414-AB36-B35FD5125D1A}">
  <sheetPr>
    <pageSetUpPr fitToPage="1"/>
  </sheetPr>
  <dimension ref="A1:F34"/>
  <sheetViews>
    <sheetView view="pageLayout" zoomScaleNormal="100" workbookViewId="0">
      <selection activeCell="D42" sqref="D42"/>
    </sheetView>
  </sheetViews>
  <sheetFormatPr defaultRowHeight="15" x14ac:dyDescent="0.25"/>
  <cols>
    <col min="1" max="1" width="25.7109375" customWidth="1"/>
    <col min="4" max="4" width="22.140625" customWidth="1"/>
  </cols>
  <sheetData>
    <row r="1" spans="1:6" x14ac:dyDescent="0.25">
      <c r="A1" s="1"/>
      <c r="B1" s="1"/>
      <c r="C1" s="1"/>
      <c r="D1" s="1"/>
      <c r="E1" s="1"/>
      <c r="F1" s="1"/>
    </row>
    <row r="2" spans="1:6" ht="18" x14ac:dyDescent="0.25">
      <c r="A2" s="129" t="s">
        <v>31</v>
      </c>
      <c r="B2" s="129"/>
      <c r="C2" s="129"/>
      <c r="D2" s="129"/>
      <c r="E2" s="129"/>
      <c r="F2" s="129"/>
    </row>
    <row r="3" spans="1:6" ht="18" x14ac:dyDescent="0.25">
      <c r="A3" s="130" t="s">
        <v>32</v>
      </c>
      <c r="B3" s="130"/>
      <c r="C3" s="130"/>
      <c r="D3" s="130"/>
      <c r="E3" s="130"/>
      <c r="F3" s="130"/>
    </row>
    <row r="4" spans="1:6" ht="18.75" thickBot="1" x14ac:dyDescent="0.3">
      <c r="A4" s="131" t="s">
        <v>83</v>
      </c>
      <c r="B4" s="131"/>
      <c r="C4" s="131"/>
      <c r="D4" s="131"/>
      <c r="E4" s="131"/>
      <c r="F4" s="131"/>
    </row>
    <row r="5" spans="1:6" ht="15.75" thickTop="1" x14ac:dyDescent="0.25">
      <c r="A5" s="102" t="s">
        <v>33</v>
      </c>
      <c r="B5" s="103" t="s">
        <v>34</v>
      </c>
      <c r="C5" s="104" t="s">
        <v>35</v>
      </c>
      <c r="D5" s="105" t="s">
        <v>36</v>
      </c>
      <c r="E5" s="103" t="s">
        <v>34</v>
      </c>
      <c r="F5" s="106" t="s">
        <v>35</v>
      </c>
    </row>
    <row r="6" spans="1:6" x14ac:dyDescent="0.25">
      <c r="A6" s="107"/>
      <c r="B6" s="108"/>
      <c r="D6" s="109" t="s">
        <v>37</v>
      </c>
      <c r="E6" s="38"/>
      <c r="F6" s="110"/>
    </row>
    <row r="7" spans="1:6" x14ac:dyDescent="0.25">
      <c r="A7" s="107" t="s">
        <v>38</v>
      </c>
      <c r="B7" s="38">
        <v>3370</v>
      </c>
      <c r="C7" s="111">
        <f>B7/$B$18</f>
        <v>0.30175501432664759</v>
      </c>
      <c r="D7" s="112" t="s">
        <v>39</v>
      </c>
      <c r="E7" s="38">
        <v>1092</v>
      </c>
      <c r="F7" s="113">
        <f>+E7/$E$12</f>
        <v>0.29819770617149099</v>
      </c>
    </row>
    <row r="8" spans="1:6" x14ac:dyDescent="0.25">
      <c r="A8" s="107" t="s">
        <v>40</v>
      </c>
      <c r="B8" s="38">
        <v>1300</v>
      </c>
      <c r="C8" s="111">
        <f t="shared" ref="C8:C16" si="0">B8/$B$18</f>
        <v>0.11640401146131805</v>
      </c>
      <c r="D8" s="112" t="s">
        <v>41</v>
      </c>
      <c r="E8" s="38">
        <v>402</v>
      </c>
      <c r="F8" s="113">
        <f>+E8/$E$12</f>
        <v>0.10977607864554888</v>
      </c>
    </row>
    <row r="9" spans="1:6" x14ac:dyDescent="0.25">
      <c r="A9" s="107" t="s">
        <v>42</v>
      </c>
      <c r="B9" s="38">
        <v>725</v>
      </c>
      <c r="C9" s="111">
        <f t="shared" si="0"/>
        <v>6.49176217765043E-2</v>
      </c>
      <c r="D9" s="112" t="s">
        <v>43</v>
      </c>
      <c r="E9" s="38">
        <v>313</v>
      </c>
      <c r="F9" s="113">
        <f>+E9/$E$12</f>
        <v>8.5472419442927355E-2</v>
      </c>
    </row>
    <row r="10" spans="1:6" x14ac:dyDescent="0.25">
      <c r="A10" s="107" t="s">
        <v>44</v>
      </c>
      <c r="B10" s="38">
        <v>592</v>
      </c>
      <c r="C10" s="111">
        <f>B10/$B$18</f>
        <v>5.300859598853868E-2</v>
      </c>
      <c r="D10" s="112" t="s">
        <v>85</v>
      </c>
      <c r="E10" s="38">
        <v>238</v>
      </c>
      <c r="F10" s="113">
        <f>+E10/$E$12</f>
        <v>6.4991807755324954E-2</v>
      </c>
    </row>
    <row r="11" spans="1:6" x14ac:dyDescent="0.25">
      <c r="A11" s="107" t="s">
        <v>76</v>
      </c>
      <c r="B11" s="38">
        <v>409</v>
      </c>
      <c r="C11" s="111">
        <f t="shared" si="0"/>
        <v>3.6622492836676221E-2</v>
      </c>
      <c r="D11" s="112" t="s">
        <v>45</v>
      </c>
      <c r="E11" s="38">
        <f>E12-SUM(E7:E10)</f>
        <v>1617</v>
      </c>
      <c r="F11" s="113">
        <f>+E11/$E$12</f>
        <v>0.4415619879847078</v>
      </c>
    </row>
    <row r="12" spans="1:6" ht="15.75" thickBot="1" x14ac:dyDescent="0.3">
      <c r="A12" s="107" t="s">
        <v>79</v>
      </c>
      <c r="B12" s="38">
        <v>260</v>
      </c>
      <c r="C12" s="111">
        <f t="shared" si="0"/>
        <v>2.3280802292263609E-2</v>
      </c>
      <c r="D12" s="114" t="s">
        <v>46</v>
      </c>
      <c r="E12" s="115">
        <v>3662</v>
      </c>
      <c r="F12" s="116"/>
    </row>
    <row r="13" spans="1:6" x14ac:dyDescent="0.25">
      <c r="A13" s="107" t="s">
        <v>48</v>
      </c>
      <c r="B13" s="38">
        <v>253</v>
      </c>
      <c r="C13" s="111">
        <f t="shared" si="0"/>
        <v>2.2654011461318051E-2</v>
      </c>
      <c r="D13" s="109" t="s">
        <v>47</v>
      </c>
      <c r="F13" s="117"/>
    </row>
    <row r="14" spans="1:6" x14ac:dyDescent="0.25">
      <c r="A14" s="107" t="s">
        <v>75</v>
      </c>
      <c r="B14" s="38">
        <v>237</v>
      </c>
      <c r="C14" s="111">
        <f t="shared" si="0"/>
        <v>2.1221346704871059E-2</v>
      </c>
      <c r="D14" s="112" t="s">
        <v>52</v>
      </c>
      <c r="E14" s="38">
        <v>36</v>
      </c>
      <c r="F14" s="113">
        <f t="shared" ref="F14:F20" si="1">+E14/$E$21</f>
        <v>0.12720848056537101</v>
      </c>
    </row>
    <row r="15" spans="1:6" x14ac:dyDescent="0.25">
      <c r="A15" s="107" t="s">
        <v>84</v>
      </c>
      <c r="B15" s="38">
        <v>233</v>
      </c>
      <c r="C15" s="111">
        <f t="shared" si="0"/>
        <v>2.0863180515759312E-2</v>
      </c>
      <c r="D15" s="112" t="s">
        <v>49</v>
      </c>
      <c r="E15" s="38">
        <v>30</v>
      </c>
      <c r="F15" s="113">
        <f t="shared" si="1"/>
        <v>0.10600706713780919</v>
      </c>
    </row>
    <row r="16" spans="1:6" x14ac:dyDescent="0.25">
      <c r="A16" s="107" t="s">
        <v>50</v>
      </c>
      <c r="B16" s="38">
        <v>226</v>
      </c>
      <c r="C16" s="111">
        <f t="shared" si="0"/>
        <v>2.0236389684813755E-2</v>
      </c>
      <c r="D16" s="112" t="s">
        <v>56</v>
      </c>
      <c r="E16" s="38">
        <v>28</v>
      </c>
      <c r="F16" s="113">
        <f t="shared" si="1"/>
        <v>9.8939929328621903E-2</v>
      </c>
    </row>
    <row r="17" spans="1:6" x14ac:dyDescent="0.25">
      <c r="A17" s="107" t="s">
        <v>53</v>
      </c>
      <c r="B17" s="38">
        <v>3563</v>
      </c>
      <c r="C17" s="111">
        <f>B17/$B$18</f>
        <v>0.31903653295128942</v>
      </c>
      <c r="D17" s="112" t="s">
        <v>51</v>
      </c>
      <c r="E17" s="38">
        <v>24</v>
      </c>
      <c r="F17" s="113">
        <f t="shared" si="1"/>
        <v>8.4805653710247356E-2</v>
      </c>
    </row>
    <row r="18" spans="1:6" x14ac:dyDescent="0.25">
      <c r="A18" s="18" t="s">
        <v>55</v>
      </c>
      <c r="B18" s="20">
        <v>11168</v>
      </c>
      <c r="C18" s="20"/>
      <c r="D18" s="112" t="s">
        <v>54</v>
      </c>
      <c r="E18" s="38">
        <v>16</v>
      </c>
      <c r="F18" s="113">
        <f t="shared" si="1"/>
        <v>5.6537102473498232E-2</v>
      </c>
    </row>
    <row r="19" spans="1:6" x14ac:dyDescent="0.25">
      <c r="A19" s="118"/>
      <c r="B19" s="119"/>
      <c r="D19" s="112" t="s">
        <v>80</v>
      </c>
      <c r="E19" s="38">
        <v>12</v>
      </c>
      <c r="F19" s="113">
        <f t="shared" si="1"/>
        <v>4.2402826855123678E-2</v>
      </c>
    </row>
    <row r="20" spans="1:6" x14ac:dyDescent="0.25">
      <c r="A20" s="118"/>
      <c r="B20" s="119"/>
      <c r="D20" s="112" t="s">
        <v>57</v>
      </c>
      <c r="E20" s="38">
        <f>E21-SUM(E14:E19)</f>
        <v>137</v>
      </c>
      <c r="F20" s="113">
        <f t="shared" si="1"/>
        <v>0.48409893992932862</v>
      </c>
    </row>
    <row r="21" spans="1:6" ht="15.75" thickBot="1" x14ac:dyDescent="0.3">
      <c r="A21" s="120"/>
      <c r="B21" s="20"/>
      <c r="D21" s="114" t="s">
        <v>58</v>
      </c>
      <c r="E21" s="115">
        <v>283</v>
      </c>
      <c r="F21" s="121"/>
    </row>
    <row r="22" spans="1:6" x14ac:dyDescent="0.25">
      <c r="A22" s="122"/>
      <c r="B22" s="122"/>
      <c r="C22" s="122"/>
      <c r="D22" s="122"/>
      <c r="E22" s="123"/>
      <c r="F22" s="122"/>
    </row>
    <row r="23" spans="1:6" x14ac:dyDescent="0.25">
      <c r="A23" s="72" t="s">
        <v>59</v>
      </c>
    </row>
    <row r="24" spans="1:6" x14ac:dyDescent="0.25">
      <c r="A24" s="72" t="s">
        <v>60</v>
      </c>
    </row>
    <row r="25" spans="1:6" x14ac:dyDescent="0.25">
      <c r="A25" s="72" t="s">
        <v>61</v>
      </c>
    </row>
    <row r="26" spans="1:6" x14ac:dyDescent="0.25">
      <c r="A26" s="72" t="s">
        <v>86</v>
      </c>
    </row>
    <row r="27" spans="1:6" x14ac:dyDescent="0.25">
      <c r="A27" s="72"/>
    </row>
    <row r="28" spans="1:6" x14ac:dyDescent="0.25">
      <c r="A28" s="72"/>
      <c r="D28" s="101"/>
      <c r="E28" s="101"/>
    </row>
    <row r="29" spans="1:6" x14ac:dyDescent="0.25">
      <c r="A29" s="72"/>
    </row>
    <row r="30" spans="1:6" x14ac:dyDescent="0.25">
      <c r="A30" s="72"/>
    </row>
    <row r="31" spans="1:6" x14ac:dyDescent="0.25">
      <c r="A31" s="72"/>
    </row>
    <row r="32" spans="1:6" x14ac:dyDescent="0.25">
      <c r="A32" s="72"/>
    </row>
    <row r="33" spans="1:1" x14ac:dyDescent="0.25">
      <c r="A33" s="72"/>
    </row>
    <row r="34" spans="1:1" x14ac:dyDescent="0.25">
      <c r="A34" s="72"/>
    </row>
  </sheetData>
  <mergeCells count="3">
    <mergeCell ref="A2:F2"/>
    <mergeCell ref="A3:F3"/>
    <mergeCell ref="A4:F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3631D-EE16-438B-9D8A-22EE947BF157}">
  <sheetPr>
    <pageSetUpPr fitToPage="1"/>
  </sheetPr>
  <dimension ref="A1:F23"/>
  <sheetViews>
    <sheetView tabSelected="1" view="pageLayout" zoomScaleNormal="100" workbookViewId="0">
      <selection activeCell="D21" sqref="D21"/>
    </sheetView>
  </sheetViews>
  <sheetFormatPr defaultRowHeight="15" x14ac:dyDescent="0.25"/>
  <cols>
    <col min="1" max="1" width="26" customWidth="1"/>
    <col min="4" max="4" width="23.85546875" customWidth="1"/>
  </cols>
  <sheetData>
    <row r="1" spans="1:6" ht="45" customHeight="1" x14ac:dyDescent="0.3">
      <c r="A1" s="132" t="s">
        <v>62</v>
      </c>
      <c r="B1" s="132"/>
      <c r="C1" s="132"/>
      <c r="D1" s="132"/>
      <c r="E1" s="132"/>
      <c r="F1" s="132"/>
    </row>
    <row r="2" spans="1:6" ht="16.5" thickBot="1" x14ac:dyDescent="0.3">
      <c r="A2" s="133" t="s">
        <v>83</v>
      </c>
      <c r="B2" s="133"/>
      <c r="C2" s="133"/>
      <c r="D2" s="133"/>
      <c r="E2" s="133"/>
      <c r="F2" s="133"/>
    </row>
    <row r="3" spans="1:6" ht="15.75" thickTop="1" x14ac:dyDescent="0.25">
      <c r="A3" s="75" t="s">
        <v>63</v>
      </c>
      <c r="B3" s="76" t="s">
        <v>64</v>
      </c>
      <c r="C3" s="76" t="s">
        <v>34</v>
      </c>
      <c r="D3" s="77" t="s">
        <v>63</v>
      </c>
      <c r="E3" s="78" t="s">
        <v>64</v>
      </c>
      <c r="F3" s="79" t="s">
        <v>34</v>
      </c>
    </row>
    <row r="4" spans="1:6" x14ac:dyDescent="0.25">
      <c r="A4" s="80" t="s">
        <v>81</v>
      </c>
      <c r="B4" s="81">
        <v>1</v>
      </c>
      <c r="C4" s="81">
        <v>950</v>
      </c>
      <c r="D4" s="82" t="s">
        <v>77</v>
      </c>
      <c r="E4" s="83">
        <v>6</v>
      </c>
      <c r="F4" s="84">
        <v>415</v>
      </c>
    </row>
    <row r="5" spans="1:6" x14ac:dyDescent="0.25">
      <c r="A5" s="80" t="s">
        <v>65</v>
      </c>
      <c r="B5" s="85">
        <v>2</v>
      </c>
      <c r="C5" s="81">
        <v>718</v>
      </c>
      <c r="D5" s="82" t="s">
        <v>66</v>
      </c>
      <c r="E5" s="85">
        <v>7</v>
      </c>
      <c r="F5" s="84">
        <v>319</v>
      </c>
    </row>
    <row r="6" spans="1:6" x14ac:dyDescent="0.25">
      <c r="A6" s="80" t="s">
        <v>67</v>
      </c>
      <c r="B6" s="81">
        <v>3</v>
      </c>
      <c r="C6" s="81">
        <v>553</v>
      </c>
      <c r="D6" s="82" t="s">
        <v>87</v>
      </c>
      <c r="E6" s="83">
        <v>8</v>
      </c>
      <c r="F6" s="84">
        <v>304</v>
      </c>
    </row>
    <row r="7" spans="1:6" x14ac:dyDescent="0.25">
      <c r="A7" s="80" t="s">
        <v>69</v>
      </c>
      <c r="B7" s="85">
        <v>4</v>
      </c>
      <c r="C7" s="81">
        <v>470</v>
      </c>
      <c r="D7" s="82" t="s">
        <v>82</v>
      </c>
      <c r="E7" s="83">
        <v>9</v>
      </c>
      <c r="F7" s="84">
        <v>301</v>
      </c>
    </row>
    <row r="8" spans="1:6" ht="15.75" thickBot="1" x14ac:dyDescent="0.3">
      <c r="A8" s="80" t="s">
        <v>68</v>
      </c>
      <c r="B8" s="87">
        <v>5</v>
      </c>
      <c r="C8" s="88">
        <v>428</v>
      </c>
      <c r="D8" s="89" t="s">
        <v>78</v>
      </c>
      <c r="E8" s="90">
        <v>10</v>
      </c>
      <c r="F8" s="84">
        <v>282</v>
      </c>
    </row>
    <row r="9" spans="1:6" ht="15.75" thickTop="1" x14ac:dyDescent="0.25">
      <c r="A9" s="91"/>
      <c r="F9" s="91"/>
    </row>
    <row r="10" spans="1:6" ht="28.5" customHeight="1" x14ac:dyDescent="0.25">
      <c r="A10" s="92" t="s">
        <v>70</v>
      </c>
      <c r="B10" s="73"/>
      <c r="C10" s="73"/>
      <c r="D10" s="73"/>
      <c r="E10" s="73"/>
      <c r="F10" s="73"/>
    </row>
    <row r="11" spans="1:6" x14ac:dyDescent="0.25">
      <c r="A11" s="93"/>
      <c r="B11" s="94"/>
      <c r="C11" s="94"/>
      <c r="D11" s="94"/>
      <c r="E11" s="94"/>
      <c r="F11" s="94"/>
    </row>
    <row r="14" spans="1:6" ht="39" x14ac:dyDescent="0.3">
      <c r="A14" s="95" t="s">
        <v>71</v>
      </c>
      <c r="B14" s="73"/>
      <c r="C14" s="73"/>
      <c r="D14" s="73"/>
      <c r="E14" s="73"/>
      <c r="F14" s="73"/>
    </row>
    <row r="15" spans="1:6" ht="16.5" thickBot="1" x14ac:dyDescent="0.3">
      <c r="A15" s="96" t="s">
        <v>83</v>
      </c>
      <c r="B15" s="96"/>
      <c r="C15" s="96"/>
      <c r="D15" s="96"/>
      <c r="E15" s="96"/>
      <c r="F15" s="96"/>
    </row>
    <row r="16" spans="1:6" ht="15.75" thickTop="1" x14ac:dyDescent="0.25">
      <c r="A16" s="75" t="s">
        <v>63</v>
      </c>
      <c r="B16" s="76" t="s">
        <v>64</v>
      </c>
      <c r="C16" s="76" t="s">
        <v>34</v>
      </c>
      <c r="D16" s="77" t="s">
        <v>63</v>
      </c>
      <c r="E16" s="78" t="s">
        <v>64</v>
      </c>
      <c r="F16" s="79" t="s">
        <v>34</v>
      </c>
    </row>
    <row r="17" spans="1:6" x14ac:dyDescent="0.25">
      <c r="A17" s="80" t="s">
        <v>72</v>
      </c>
      <c r="B17" s="81">
        <v>1</v>
      </c>
      <c r="C17" s="86">
        <v>1368</v>
      </c>
      <c r="D17" s="97" t="s">
        <v>68</v>
      </c>
      <c r="E17" s="81">
        <v>6</v>
      </c>
      <c r="F17" s="84">
        <v>428</v>
      </c>
    </row>
    <row r="18" spans="1:6" x14ac:dyDescent="0.25">
      <c r="A18" s="80" t="s">
        <v>81</v>
      </c>
      <c r="B18" s="85">
        <v>2</v>
      </c>
      <c r="C18" s="86">
        <v>950</v>
      </c>
      <c r="D18" s="97" t="s">
        <v>77</v>
      </c>
      <c r="E18" s="81">
        <v>7</v>
      </c>
      <c r="F18" s="84">
        <v>415</v>
      </c>
    </row>
    <row r="19" spans="1:6" x14ac:dyDescent="0.25">
      <c r="A19" s="80" t="s">
        <v>65</v>
      </c>
      <c r="B19" s="85">
        <v>3</v>
      </c>
      <c r="C19" s="86">
        <v>718</v>
      </c>
      <c r="D19" s="97" t="s">
        <v>66</v>
      </c>
      <c r="E19" s="83">
        <v>8</v>
      </c>
      <c r="F19" s="84">
        <v>319</v>
      </c>
    </row>
    <row r="20" spans="1:6" x14ac:dyDescent="0.25">
      <c r="A20" s="80" t="s">
        <v>67</v>
      </c>
      <c r="B20" s="83">
        <v>4</v>
      </c>
      <c r="C20" s="86">
        <v>553</v>
      </c>
      <c r="D20" s="97" t="s">
        <v>87</v>
      </c>
      <c r="E20" s="83">
        <v>9</v>
      </c>
      <c r="F20" s="84">
        <v>304</v>
      </c>
    </row>
    <row r="21" spans="1:6" ht="15.75" thickBot="1" x14ac:dyDescent="0.3">
      <c r="A21" s="98" t="s">
        <v>69</v>
      </c>
      <c r="B21" s="87">
        <v>5</v>
      </c>
      <c r="C21" s="88">
        <v>470</v>
      </c>
      <c r="D21" s="99" t="s">
        <v>82</v>
      </c>
      <c r="E21" s="87">
        <v>10</v>
      </c>
      <c r="F21" s="100">
        <v>301</v>
      </c>
    </row>
    <row r="22" spans="1:6" ht="15.75" thickTop="1" x14ac:dyDescent="0.25"/>
    <row r="23" spans="1:6" ht="26.25" customHeight="1" x14ac:dyDescent="0.25">
      <c r="A23" s="92" t="s">
        <v>73</v>
      </c>
      <c r="B23" s="73"/>
      <c r="C23" s="73"/>
      <c r="D23" s="73"/>
      <c r="E23" s="73"/>
      <c r="F23" s="73"/>
    </row>
  </sheetData>
  <mergeCells count="2">
    <mergeCell ref="A1:F1"/>
    <mergeCell ref="A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UG Demo</vt:lpstr>
      <vt:lpstr>UG Origin</vt:lpstr>
      <vt:lpstr>UG Top Majors</vt:lpstr>
      <vt:lpstr>'UG Demo'!Print_Area</vt:lpstr>
      <vt:lpstr>'UG Origin'!Print_Area</vt:lpstr>
      <vt:lpstr>'UG Top Majors'!Print_Area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Urban</dc:creator>
  <cp:lastModifiedBy>Yuhao Liu</cp:lastModifiedBy>
  <cp:lastPrinted>2021-10-22T19:13:34Z</cp:lastPrinted>
  <dcterms:created xsi:type="dcterms:W3CDTF">2020-04-23T13:55:33Z</dcterms:created>
  <dcterms:modified xsi:type="dcterms:W3CDTF">2023-10-31T19:54:05Z</dcterms:modified>
</cp:coreProperties>
</file>