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hao1\Desktop\Student Report\2025\Tuition\"/>
    </mc:Choice>
  </mc:AlternateContent>
  <xr:revisionPtr revIDLastSave="0" documentId="13_ncr:1_{813BECDA-FD5F-4483-ABA4-C2722AEA10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ITHIST" sheetId="1" r:id="rId1"/>
  </sheets>
  <definedNames>
    <definedName name="_xlnm.Print_Area" localSheetId="0">TUITHIST!$A$1:$Y$153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6" i="1" l="1"/>
  <c r="Y6" i="1" s="1"/>
  <c r="V6" i="1"/>
  <c r="T6" i="1"/>
  <c r="R6" i="1"/>
  <c r="P6" i="1"/>
  <c r="N6" i="1"/>
  <c r="L6" i="1"/>
  <c r="J6" i="1"/>
  <c r="K6" i="1" s="1"/>
  <c r="H6" i="1"/>
  <c r="F6" i="1"/>
  <c r="F7" i="1"/>
  <c r="D6" i="1"/>
  <c r="B6" i="1"/>
  <c r="C6" i="1" s="1"/>
  <c r="Y77" i="1"/>
  <c r="W77" i="1"/>
  <c r="E77" i="1"/>
  <c r="C77" i="1"/>
  <c r="M77" i="1"/>
  <c r="K77" i="1"/>
  <c r="S77" i="1"/>
  <c r="U77" i="1"/>
  <c r="O77" i="1"/>
  <c r="Q77" i="1"/>
  <c r="I77" i="1"/>
  <c r="G77" i="1"/>
  <c r="R7" i="1"/>
  <c r="J7" i="1"/>
  <c r="V7" i="1"/>
  <c r="X7" i="1"/>
  <c r="B7" i="1"/>
  <c r="T7" i="1"/>
  <c r="P7" i="1"/>
  <c r="N7" i="1"/>
  <c r="L7" i="1"/>
  <c r="H7" i="1"/>
  <c r="D7" i="1"/>
  <c r="W78" i="1"/>
  <c r="Y78" i="1"/>
  <c r="U78" i="1"/>
  <c r="S78" i="1"/>
  <c r="Q78" i="1"/>
  <c r="O78" i="1"/>
  <c r="K78" i="1"/>
  <c r="M78" i="1"/>
  <c r="I78" i="1"/>
  <c r="G78" i="1"/>
  <c r="E78" i="1"/>
  <c r="C78" i="1"/>
  <c r="E6" i="1" l="1"/>
  <c r="G6" i="1"/>
  <c r="I6" i="1"/>
  <c r="M6" i="1"/>
  <c r="Q6" i="1"/>
  <c r="O6" i="1"/>
  <c r="S6" i="1"/>
  <c r="U6" i="1"/>
  <c r="W6" i="1"/>
  <c r="X8" i="1"/>
  <c r="Y7" i="1" s="1"/>
  <c r="V8" i="1"/>
  <c r="W7" i="1" s="1"/>
  <c r="T8" i="1"/>
  <c r="U7" i="1" s="1"/>
  <c r="R8" i="1"/>
  <c r="P8" i="1"/>
  <c r="Q7" i="1" s="1"/>
  <c r="N8" i="1"/>
  <c r="O7" i="1" s="1"/>
  <c r="L8" i="1"/>
  <c r="M7" i="1" s="1"/>
  <c r="J8" i="1"/>
  <c r="K7" i="1" s="1"/>
  <c r="H8" i="1"/>
  <c r="I7" i="1" s="1"/>
  <c r="F8" i="1"/>
  <c r="G7" i="1" s="1"/>
  <c r="D8" i="1"/>
  <c r="B8" i="1"/>
  <c r="C7" i="1" s="1"/>
  <c r="Y79" i="1"/>
  <c r="W79" i="1"/>
  <c r="U79" i="1"/>
  <c r="S79" i="1"/>
  <c r="Q79" i="1"/>
  <c r="O79" i="1"/>
  <c r="I79" i="1"/>
  <c r="G79" i="1"/>
  <c r="E122" i="1"/>
  <c r="M79" i="1"/>
  <c r="K79" i="1"/>
  <c r="E79" i="1"/>
  <c r="C79" i="1"/>
  <c r="C122" i="1"/>
  <c r="E123" i="1"/>
  <c r="C123" i="1"/>
  <c r="X9" i="1"/>
  <c r="V9" i="1"/>
  <c r="T9" i="1"/>
  <c r="R9" i="1"/>
  <c r="P9" i="1"/>
  <c r="N9" i="1"/>
  <c r="L9" i="1"/>
  <c r="J9" i="1"/>
  <c r="H9" i="1"/>
  <c r="F9" i="1"/>
  <c r="D9" i="1"/>
  <c r="Y80" i="1"/>
  <c r="W80" i="1"/>
  <c r="E8" i="1" l="1"/>
  <c r="E7" i="1"/>
  <c r="S8" i="1"/>
  <c r="S7" i="1"/>
  <c r="I8" i="1"/>
  <c r="K8" i="1"/>
  <c r="M8" i="1"/>
  <c r="O8" i="1"/>
  <c r="Q8" i="1"/>
  <c r="U8" i="1"/>
  <c r="G8" i="1"/>
  <c r="W8" i="1"/>
  <c r="Y8" i="1"/>
  <c r="U80" i="1"/>
  <c r="S80" i="1"/>
  <c r="M80" i="1"/>
  <c r="K80" i="1"/>
  <c r="Q80" i="1"/>
  <c r="O80" i="1"/>
  <c r="I80" i="1"/>
  <c r="G80" i="1"/>
  <c r="B9" i="1"/>
  <c r="C8" i="1" s="1"/>
  <c r="E80" i="1"/>
  <c r="C80" i="1"/>
  <c r="X10" i="1"/>
  <c r="Y10" i="1" s="1"/>
  <c r="V10" i="1"/>
  <c r="W10" i="1" s="1"/>
  <c r="T10" i="1"/>
  <c r="U10" i="1" s="1"/>
  <c r="R10" i="1"/>
  <c r="S10" i="1" s="1"/>
  <c r="P10" i="1"/>
  <c r="Q10" i="1" s="1"/>
  <c r="N10" i="1"/>
  <c r="O10" i="1" s="1"/>
  <c r="L10" i="1"/>
  <c r="M10" i="1" s="1"/>
  <c r="J10" i="1"/>
  <c r="K10" i="1" s="1"/>
  <c r="H10" i="1"/>
  <c r="I10" i="1" s="1"/>
  <c r="F10" i="1"/>
  <c r="G10" i="1" s="1"/>
  <c r="D10" i="1"/>
  <c r="E10" i="1" s="1"/>
  <c r="B10" i="1"/>
  <c r="C10" i="1" s="1"/>
  <c r="E124" i="1"/>
  <c r="C124" i="1"/>
  <c r="Y81" i="1"/>
  <c r="W81" i="1"/>
  <c r="U81" i="1"/>
  <c r="S81" i="1"/>
  <c r="Q81" i="1"/>
  <c r="O81" i="1"/>
  <c r="I81" i="1"/>
  <c r="G81" i="1"/>
  <c r="E81" i="1"/>
  <c r="M81" i="1"/>
  <c r="K81" i="1"/>
  <c r="C81" i="1"/>
  <c r="E22" i="1"/>
  <c r="C22" i="1"/>
  <c r="D21" i="1"/>
  <c r="E21" i="1" s="1"/>
  <c r="B21" i="1"/>
  <c r="D20" i="1"/>
  <c r="E19" i="1" s="1"/>
  <c r="B20" i="1"/>
  <c r="C19" i="1" s="1"/>
  <c r="E18" i="1"/>
  <c r="B18" i="1"/>
  <c r="E13" i="1"/>
  <c r="C13" i="1"/>
  <c r="P83" i="1"/>
  <c r="Q83" i="1" s="1"/>
  <c r="N83" i="1"/>
  <c r="H83" i="1"/>
  <c r="I83" i="1" s="1"/>
  <c r="F83" i="1"/>
  <c r="G83" i="1" s="1"/>
  <c r="T83" i="1"/>
  <c r="U83" i="1" s="1"/>
  <c r="R83" i="1"/>
  <c r="R12" i="1" s="1"/>
  <c r="S12" i="1" s="1"/>
  <c r="X83" i="1"/>
  <c r="Y83" i="1" s="1"/>
  <c r="V83" i="1"/>
  <c r="W83" i="1" s="1"/>
  <c r="L83" i="1"/>
  <c r="J83" i="1"/>
  <c r="D83" i="1"/>
  <c r="E83" i="1" s="1"/>
  <c r="B83" i="1"/>
  <c r="C83" i="1" s="1"/>
  <c r="D126" i="1"/>
  <c r="E126" i="1" s="1"/>
  <c r="B126" i="1"/>
  <c r="Y9" i="1" l="1"/>
  <c r="U9" i="1"/>
  <c r="E9" i="1"/>
  <c r="S9" i="1"/>
  <c r="I9" i="1"/>
  <c r="Q9" i="1"/>
  <c r="L12" i="1"/>
  <c r="M12" i="1" s="1"/>
  <c r="C9" i="1"/>
  <c r="O9" i="1"/>
  <c r="W9" i="1"/>
  <c r="M9" i="1"/>
  <c r="G9" i="1"/>
  <c r="K9" i="1"/>
  <c r="F12" i="1"/>
  <c r="G12" i="1" s="1"/>
  <c r="E20" i="1"/>
  <c r="B12" i="1"/>
  <c r="C12" i="1" s="1"/>
  <c r="H12" i="1"/>
  <c r="I12" i="1" s="1"/>
  <c r="D12" i="1"/>
  <c r="E12" i="1" s="1"/>
  <c r="C20" i="1"/>
  <c r="C21" i="1"/>
  <c r="C18" i="1"/>
  <c r="P12" i="1"/>
  <c r="Q12" i="1" s="1"/>
  <c r="J12" i="1"/>
  <c r="K12" i="1" s="1"/>
  <c r="N12" i="1"/>
  <c r="O12" i="1" s="1"/>
  <c r="V12" i="1"/>
  <c r="W12" i="1" s="1"/>
  <c r="C126" i="1"/>
  <c r="K83" i="1"/>
  <c r="O83" i="1"/>
  <c r="X12" i="1"/>
  <c r="Y12" i="1" s="1"/>
  <c r="M83" i="1"/>
  <c r="T12" i="1"/>
  <c r="U12" i="1" s="1"/>
  <c r="S83" i="1"/>
  <c r="Y13" i="1"/>
  <c r="W13" i="1"/>
  <c r="U13" i="1"/>
  <c r="S13" i="1"/>
  <c r="Q13" i="1"/>
  <c r="O13" i="1"/>
  <c r="M13" i="1"/>
  <c r="K13" i="1"/>
  <c r="I13" i="1"/>
  <c r="G13" i="1"/>
  <c r="Y84" i="1"/>
  <c r="W84" i="1"/>
  <c r="U84" i="1"/>
  <c r="S84" i="1"/>
  <c r="Q84" i="1"/>
  <c r="O84" i="1"/>
  <c r="M84" i="1"/>
  <c r="K84" i="1"/>
  <c r="I84" i="1"/>
  <c r="G84" i="1"/>
  <c r="E84" i="1"/>
  <c r="C84" i="1"/>
  <c r="C127" i="1"/>
  <c r="E127" i="1"/>
  <c r="R90" i="1"/>
  <c r="R19" i="1" s="1"/>
  <c r="R89" i="1"/>
  <c r="R18" i="1" s="1"/>
  <c r="R88" i="1"/>
  <c r="T88" i="1" s="1"/>
  <c r="T17" i="1" s="1"/>
  <c r="R87" i="1"/>
  <c r="R16" i="1" s="1"/>
  <c r="R86" i="1"/>
  <c r="S85" i="1" s="1"/>
  <c r="P91" i="1"/>
  <c r="N91" i="1"/>
  <c r="O90" i="1" s="1"/>
  <c r="P89" i="1"/>
  <c r="Q89" i="1" s="1"/>
  <c r="N89" i="1"/>
  <c r="O89" i="1" s="1"/>
  <c r="P88" i="1"/>
  <c r="P17" i="1" s="1"/>
  <c r="N88" i="1"/>
  <c r="N17" i="1" s="1"/>
  <c r="P87" i="1"/>
  <c r="N87" i="1"/>
  <c r="P86" i="1"/>
  <c r="N86" i="1"/>
  <c r="G130" i="1"/>
  <c r="G131" i="1"/>
  <c r="G132" i="1"/>
  <c r="X87" i="1"/>
  <c r="V87" i="1"/>
  <c r="X86" i="1"/>
  <c r="Y85" i="1" s="1"/>
  <c r="V86" i="1"/>
  <c r="L87" i="1"/>
  <c r="L86" i="1"/>
  <c r="J87" i="1"/>
  <c r="J86" i="1"/>
  <c r="H87" i="1"/>
  <c r="H86" i="1"/>
  <c r="I85" i="1" s="1"/>
  <c r="F87" i="1"/>
  <c r="F86" i="1"/>
  <c r="G85" i="1" s="1"/>
  <c r="D87" i="1"/>
  <c r="D86" i="1"/>
  <c r="E85" i="1" s="1"/>
  <c r="B87" i="1"/>
  <c r="B86" i="1"/>
  <c r="B130" i="1"/>
  <c r="D129" i="1"/>
  <c r="E129" i="1" s="1"/>
  <c r="B129" i="1"/>
  <c r="C128" i="1" s="1"/>
  <c r="E130" i="1"/>
  <c r="E131" i="1"/>
  <c r="C131" i="1"/>
  <c r="X88" i="1"/>
  <c r="V88" i="1"/>
  <c r="V17" i="1" s="1"/>
  <c r="L88" i="1"/>
  <c r="L17" i="1" s="1"/>
  <c r="J88" i="1"/>
  <c r="J17" i="1" s="1"/>
  <c r="H88" i="1"/>
  <c r="H17" i="1" s="1"/>
  <c r="F88" i="1"/>
  <c r="F17" i="1" s="1"/>
  <c r="D88" i="1"/>
  <c r="D17" i="1" s="1"/>
  <c r="E17" i="1" s="1"/>
  <c r="B88" i="1"/>
  <c r="X89" i="1"/>
  <c r="Y89" i="1" s="1"/>
  <c r="V89" i="1"/>
  <c r="V18" i="1" s="1"/>
  <c r="W18" i="1" s="1"/>
  <c r="L89" i="1"/>
  <c r="M89" i="1" s="1"/>
  <c r="J89" i="1"/>
  <c r="K89" i="1" s="1"/>
  <c r="H89" i="1"/>
  <c r="I89" i="1" s="1"/>
  <c r="F89" i="1"/>
  <c r="G89" i="1" s="1"/>
  <c r="D89" i="1"/>
  <c r="E89" i="1" s="1"/>
  <c r="B89" i="1"/>
  <c r="C89" i="1" s="1"/>
  <c r="H18" i="1"/>
  <c r="I18" i="1" s="1"/>
  <c r="F18" i="1"/>
  <c r="G18" i="1" s="1"/>
  <c r="F91" i="1"/>
  <c r="G90" i="1" s="1"/>
  <c r="D133" i="1"/>
  <c r="P19" i="1" s="1"/>
  <c r="B133" i="1"/>
  <c r="W90" i="1"/>
  <c r="H20" i="1"/>
  <c r="X95" i="1"/>
  <c r="X94" i="1"/>
  <c r="X93" i="1"/>
  <c r="X92" i="1"/>
  <c r="V95" i="1"/>
  <c r="V94" i="1"/>
  <c r="V93" i="1"/>
  <c r="V92" i="1"/>
  <c r="W91" i="1" s="1"/>
  <c r="X91" i="1"/>
  <c r="L91" i="1"/>
  <c r="M90" i="1" s="1"/>
  <c r="J91" i="1"/>
  <c r="K90" i="1" s="1"/>
  <c r="D91" i="1"/>
  <c r="E90" i="1" s="1"/>
  <c r="B91" i="1"/>
  <c r="C90" i="1" s="1"/>
  <c r="H91" i="1"/>
  <c r="D134" i="1"/>
  <c r="B134" i="1"/>
  <c r="C134" i="1" s="1"/>
  <c r="X24" i="1"/>
  <c r="X23" i="1"/>
  <c r="X22" i="1"/>
  <c r="X21" i="1"/>
  <c r="X20" i="1"/>
  <c r="Y19" i="1" s="1"/>
  <c r="V20" i="1"/>
  <c r="W19" i="1" s="1"/>
  <c r="L20" i="1"/>
  <c r="M19" i="1" s="1"/>
  <c r="J20" i="1"/>
  <c r="K19" i="1" s="1"/>
  <c r="F20" i="1"/>
  <c r="L92" i="1"/>
  <c r="M92" i="1" s="1"/>
  <c r="J92" i="1"/>
  <c r="K92" i="1" s="1"/>
  <c r="H92" i="1"/>
  <c r="I92" i="1" s="1"/>
  <c r="F92" i="1"/>
  <c r="G92" i="1" s="1"/>
  <c r="D92" i="1"/>
  <c r="E92" i="1" s="1"/>
  <c r="B92" i="1"/>
  <c r="C92" i="1" s="1"/>
  <c r="W21" i="1"/>
  <c r="L21" i="1"/>
  <c r="M21" i="1" s="1"/>
  <c r="J21" i="1"/>
  <c r="K21" i="1" s="1"/>
  <c r="F21" i="1"/>
  <c r="G21" i="1" s="1"/>
  <c r="H21" i="1"/>
  <c r="I21" i="1" s="1"/>
  <c r="D135" i="1"/>
  <c r="C135" i="1"/>
  <c r="D136" i="1"/>
  <c r="E136" i="1" s="1"/>
  <c r="C136" i="1"/>
  <c r="M93" i="1"/>
  <c r="K93" i="1"/>
  <c r="I93" i="1"/>
  <c r="G93" i="1"/>
  <c r="E93" i="1"/>
  <c r="C93" i="1"/>
  <c r="W22" i="1"/>
  <c r="M22" i="1"/>
  <c r="K22" i="1"/>
  <c r="I22" i="1"/>
  <c r="G22" i="1"/>
  <c r="Y21" i="1" l="1"/>
  <c r="K86" i="1"/>
  <c r="J16" i="1"/>
  <c r="K16" i="1" s="1"/>
  <c r="Q87" i="1"/>
  <c r="E133" i="1"/>
  <c r="G20" i="1"/>
  <c r="Y93" i="1"/>
  <c r="I20" i="1"/>
  <c r="G19" i="1"/>
  <c r="Y22" i="1"/>
  <c r="Y92" i="1"/>
  <c r="P16" i="1"/>
  <c r="Q16" i="1" s="1"/>
  <c r="G87" i="1"/>
  <c r="W86" i="1"/>
  <c r="Q86" i="1"/>
  <c r="I19" i="1"/>
  <c r="D15" i="1"/>
  <c r="I91" i="1"/>
  <c r="G91" i="1"/>
  <c r="I87" i="1"/>
  <c r="K91" i="1"/>
  <c r="C86" i="1"/>
  <c r="B15" i="1"/>
  <c r="C14" i="1" s="1"/>
  <c r="C87" i="1"/>
  <c r="B17" i="1"/>
  <c r="C17" i="1" s="1"/>
  <c r="B16" i="1"/>
  <c r="J15" i="1"/>
  <c r="K14" i="1" s="1"/>
  <c r="K20" i="1"/>
  <c r="J18" i="1"/>
  <c r="K18" i="1" s="1"/>
  <c r="D16" i="1"/>
  <c r="E16" i="1" s="1"/>
  <c r="M86" i="1"/>
  <c r="N18" i="1"/>
  <c r="O17" i="1" s="1"/>
  <c r="C130" i="1"/>
  <c r="E135" i="1"/>
  <c r="N20" i="1"/>
  <c r="R17" i="1"/>
  <c r="S16" i="1" s="1"/>
  <c r="G86" i="1"/>
  <c r="K85" i="1"/>
  <c r="G88" i="1"/>
  <c r="O88" i="1"/>
  <c r="E87" i="1"/>
  <c r="W20" i="1"/>
  <c r="M91" i="1"/>
  <c r="N19" i="1"/>
  <c r="M87" i="1"/>
  <c r="W17" i="1"/>
  <c r="L16" i="1"/>
  <c r="M16" i="1" s="1"/>
  <c r="P20" i="1"/>
  <c r="Q19" i="1" s="1"/>
  <c r="P18" i="1"/>
  <c r="Q17" i="1" s="1"/>
  <c r="X15" i="1"/>
  <c r="C129" i="1"/>
  <c r="G129" i="1" s="1"/>
  <c r="T89" i="1"/>
  <c r="T18" i="1" s="1"/>
  <c r="U17" i="1" s="1"/>
  <c r="C91" i="1"/>
  <c r="S18" i="1"/>
  <c r="S88" i="1"/>
  <c r="P15" i="1"/>
  <c r="Q14" i="1" s="1"/>
  <c r="I17" i="1"/>
  <c r="X18" i="1"/>
  <c r="Y18" i="1" s="1"/>
  <c r="E132" i="1"/>
  <c r="X16" i="1"/>
  <c r="O87" i="1"/>
  <c r="C133" i="1"/>
  <c r="Y88" i="1"/>
  <c r="Q88" i="1"/>
  <c r="G17" i="1"/>
  <c r="Y91" i="1"/>
  <c r="M88" i="1"/>
  <c r="N15" i="1"/>
  <c r="O14" i="1" s="1"/>
  <c r="W88" i="1"/>
  <c r="V16" i="1"/>
  <c r="W16" i="1" s="1"/>
  <c r="L18" i="1"/>
  <c r="M18" i="1" s="1"/>
  <c r="W92" i="1"/>
  <c r="W93" i="1"/>
  <c r="C85" i="1"/>
  <c r="I88" i="1"/>
  <c r="Y87" i="1"/>
  <c r="F15" i="1"/>
  <c r="S86" i="1"/>
  <c r="E128" i="1"/>
  <c r="M85" i="1"/>
  <c r="S87" i="1"/>
  <c r="M20" i="1"/>
  <c r="E134" i="1"/>
  <c r="Y90" i="1"/>
  <c r="W89" i="1"/>
  <c r="H16" i="1"/>
  <c r="I16" i="1" s="1"/>
  <c r="T86" i="1"/>
  <c r="E88" i="1"/>
  <c r="L15" i="1"/>
  <c r="Y20" i="1"/>
  <c r="Q90" i="1"/>
  <c r="H15" i="1"/>
  <c r="E91" i="1"/>
  <c r="C132" i="1"/>
  <c r="V15" i="1"/>
  <c r="K87" i="1"/>
  <c r="N16" i="1"/>
  <c r="O16" i="1" s="1"/>
  <c r="O85" i="1"/>
  <c r="W85" i="1"/>
  <c r="T90" i="1"/>
  <c r="T19" i="1" s="1"/>
  <c r="S89" i="1"/>
  <c r="W87" i="1"/>
  <c r="I90" i="1"/>
  <c r="F16" i="1"/>
  <c r="G16" i="1" s="1"/>
  <c r="O86" i="1"/>
  <c r="T87" i="1"/>
  <c r="R15" i="1"/>
  <c r="I86" i="1"/>
  <c r="K88" i="1"/>
  <c r="C88" i="1"/>
  <c r="X17" i="1"/>
  <c r="E86" i="1"/>
  <c r="Q85" i="1"/>
  <c r="Y86" i="1"/>
  <c r="C15" i="1" l="1"/>
  <c r="C16" i="1"/>
  <c r="E14" i="1"/>
  <c r="E15" i="1"/>
  <c r="K15" i="1"/>
  <c r="O18" i="1"/>
  <c r="K17" i="1"/>
  <c r="S17" i="1"/>
  <c r="U18" i="1"/>
  <c r="Q15" i="1"/>
  <c r="O19" i="1"/>
  <c r="Y17" i="1"/>
  <c r="Q18" i="1"/>
  <c r="M17" i="1"/>
  <c r="U88" i="1"/>
  <c r="Y15" i="1"/>
  <c r="Y14" i="1"/>
  <c r="O15" i="1"/>
  <c r="S15" i="1"/>
  <c r="S14" i="1"/>
  <c r="I14" i="1"/>
  <c r="I15" i="1"/>
  <c r="U87" i="1"/>
  <c r="T16" i="1"/>
  <c r="U16" i="1" s="1"/>
  <c r="G14" i="1"/>
  <c r="G15" i="1"/>
  <c r="M14" i="1"/>
  <c r="M15" i="1"/>
  <c r="W15" i="1"/>
  <c r="W14" i="1"/>
  <c r="T15" i="1"/>
  <c r="U85" i="1"/>
  <c r="U86" i="1"/>
  <c r="U89" i="1"/>
  <c r="Y16" i="1"/>
  <c r="U15" i="1" l="1"/>
  <c r="U14" i="1"/>
</calcChain>
</file>

<file path=xl/sharedStrings.xml><?xml version="1.0" encoding="utf-8"?>
<sst xmlns="http://schemas.openxmlformats.org/spreadsheetml/2006/main" count="84" uniqueCount="31">
  <si>
    <t>Salina</t>
  </si>
  <si>
    <t>Veterinary Medicine</t>
  </si>
  <si>
    <t>Resident</t>
  </si>
  <si>
    <t>% chg</t>
  </si>
  <si>
    <t>%chg</t>
  </si>
  <si>
    <t>Salina - Undergraduate</t>
  </si>
  <si>
    <t>Main Campus</t>
  </si>
  <si>
    <t>Fees</t>
  </si>
  <si>
    <t>Semester Fall</t>
  </si>
  <si>
    <t>Non-Resident</t>
  </si>
  <si>
    <t>Non- Resident</t>
  </si>
  <si>
    <t xml:space="preserve"> </t>
  </si>
  <si>
    <t xml:space="preserve">Fees </t>
  </si>
  <si>
    <t>Non- Resident*</t>
  </si>
  <si>
    <t xml:space="preserve">per semester </t>
  </si>
  <si>
    <t>* VetMed prior to 2007-08 based on 15 cr hrs tuition per semester; more recent years based on 20 cr hrs per semester</t>
  </si>
  <si>
    <t>* VetMed prior to 2007-08 based on 15 cr hrs per semester; more recent years based on 20 cr hrs per semester</t>
  </si>
  <si>
    <t>Resident*</t>
  </si>
  <si>
    <t>Olathe</t>
  </si>
  <si>
    <t>Manhattan Graduate</t>
  </si>
  <si>
    <t>Olathe Graduate</t>
  </si>
  <si>
    <t>Salina Graduate</t>
  </si>
  <si>
    <t>Manhattan - Undergraduate</t>
  </si>
  <si>
    <t>Manhattan - Graduate</t>
  </si>
  <si>
    <t>Salina - Graduate</t>
  </si>
  <si>
    <t>Olathe - Graduate</t>
  </si>
  <si>
    <t>UG = 15 cr hrs per semester, Grad = 12 cr hrs per semester</t>
  </si>
  <si>
    <t>Updated October 2025</t>
  </si>
  <si>
    <t>Campus Privilege Fees Only -                    Fall 1992 to Present</t>
  </si>
  <si>
    <t>Tuition Only - Fall 1992 to Present - per semester</t>
  </si>
  <si>
    <t>Tuition and Fees - Fall 1992 to Present -  per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</si>
</sst>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\ ;\(&quot;$&quot;#,##0\)"/>
    <numFmt numFmtId="165" formatCode="&quot;$&quot;#,##0.00\ ;\(&quot;$&quot;#,##0.00\)"/>
    <numFmt numFmtId="166" formatCode="&quot;$&quot;#,##0.0"/>
  </numFmts>
  <fonts count="10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0" fontId="7" fillId="0" borderId="0" applyFont="0" applyFill="0" applyBorder="0" applyAlignment="0" applyProtection="0"/>
    <xf numFmtId="0" fontId="7" fillId="0" borderId="1" applyNumberFormat="0" applyFont="0" applyFill="0" applyAlignment="0" applyProtection="0"/>
  </cellStyleXfs>
  <cellXfs count="184">
    <xf numFmtId="1" fontId="0" fillId="0" borderId="0" xfId="0" applyNumberFormat="1"/>
    <xf numFmtId="1" fontId="3" fillId="0" borderId="0" xfId="0" applyNumberFormat="1" applyFont="1"/>
    <xf numFmtId="165" fontId="0" fillId="0" borderId="0" xfId="0" applyNumberFormat="1"/>
    <xf numFmtId="4" fontId="0" fillId="0" borderId="0" xfId="0" applyNumberFormat="1"/>
    <xf numFmtId="4" fontId="3" fillId="0" borderId="0" xfId="0" applyNumberFormat="1" applyFont="1"/>
    <xf numFmtId="1" fontId="5" fillId="0" borderId="0" xfId="0" applyNumberFormat="1" applyFont="1"/>
    <xf numFmtId="1" fontId="3" fillId="0" borderId="0" xfId="0" applyNumberFormat="1" applyFont="1" applyAlignment="1">
      <alignment horizontal="centerContinuous"/>
    </xf>
    <xf numFmtId="165" fontId="0" fillId="0" borderId="0" xfId="0" applyNumberFormat="1" applyAlignment="1">
      <alignment horizontal="centerContinuous"/>
    </xf>
    <xf numFmtId="1" fontId="0" fillId="0" borderId="0" xfId="0" applyNumberFormat="1" applyAlignment="1">
      <alignment horizontal="centerContinuous"/>
    </xf>
    <xf numFmtId="1" fontId="4" fillId="0" borderId="0" xfId="0" applyNumberFormat="1" applyFont="1" applyAlignment="1">
      <alignment horizontal="centerContinuous"/>
    </xf>
    <xf numFmtId="1" fontId="2" fillId="0" borderId="0" xfId="0" applyNumberFormat="1" applyFont="1"/>
    <xf numFmtId="1" fontId="3" fillId="0" borderId="2" xfId="0" applyNumberFormat="1" applyFont="1" applyBorder="1" applyAlignment="1">
      <alignment horizontal="centerContinuous"/>
    </xf>
    <xf numFmtId="165" fontId="0" fillId="0" borderId="2" xfId="0" applyNumberFormat="1" applyBorder="1" applyAlignment="1">
      <alignment horizontal="centerContinuous"/>
    </xf>
    <xf numFmtId="1" fontId="0" fillId="0" borderId="3" xfId="0" applyNumberFormat="1" applyBorder="1" applyAlignment="1">
      <alignment horizontal="centerContinuous"/>
    </xf>
    <xf numFmtId="1" fontId="3" fillId="0" borderId="4" xfId="0" applyNumberFormat="1" applyFont="1" applyBorder="1"/>
    <xf numFmtId="1" fontId="0" fillId="0" borderId="4" xfId="0" applyNumberFormat="1" applyBorder="1"/>
    <xf numFmtId="10" fontId="0" fillId="0" borderId="4" xfId="0" applyNumberFormat="1" applyBorder="1"/>
    <xf numFmtId="1" fontId="3" fillId="0" borderId="6" xfId="0" applyNumberFormat="1" applyFont="1" applyBorder="1"/>
    <xf numFmtId="10" fontId="0" fillId="0" borderId="6" xfId="0" applyNumberFormat="1" applyBorder="1"/>
    <xf numFmtId="1" fontId="0" fillId="0" borderId="7" xfId="0" applyNumberFormat="1" applyBorder="1"/>
    <xf numFmtId="10" fontId="0" fillId="0" borderId="9" xfId="0" applyNumberFormat="1" applyBorder="1"/>
    <xf numFmtId="10" fontId="0" fillId="0" borderId="10" xfId="0" applyNumberFormat="1" applyBorder="1"/>
    <xf numFmtId="1" fontId="3" fillId="0" borderId="11" xfId="0" applyNumberFormat="1" applyFont="1" applyBorder="1" applyAlignment="1">
      <alignment horizontal="centerContinuous"/>
    </xf>
    <xf numFmtId="1" fontId="0" fillId="0" borderId="12" xfId="0" applyNumberFormat="1" applyBorder="1" applyAlignment="1">
      <alignment horizontal="centerContinuous"/>
    </xf>
    <xf numFmtId="1" fontId="0" fillId="0" borderId="6" xfId="0" applyNumberFormat="1" applyBorder="1"/>
    <xf numFmtId="1" fontId="0" fillId="0" borderId="8" xfId="0" applyNumberFormat="1" applyBorder="1"/>
    <xf numFmtId="1" fontId="0" fillId="0" borderId="13" xfId="0" applyNumberFormat="1" applyBorder="1" applyAlignment="1">
      <alignment horizontal="centerContinuous"/>
    </xf>
    <xf numFmtId="1" fontId="3" fillId="0" borderId="14" xfId="0" applyNumberFormat="1" applyFont="1" applyBorder="1" applyAlignment="1">
      <alignment horizontal="centerContinuous"/>
    </xf>
    <xf numFmtId="1" fontId="3" fillId="0" borderId="8" xfId="0" applyNumberFormat="1" applyFont="1" applyBorder="1"/>
    <xf numFmtId="1" fontId="0" fillId="0" borderId="15" xfId="0" applyNumberFormat="1" applyBorder="1"/>
    <xf numFmtId="4" fontId="0" fillId="0" borderId="16" xfId="0" applyNumberFormat="1" applyBorder="1"/>
    <xf numFmtId="1" fontId="0" fillId="0" borderId="16" xfId="0" applyNumberFormat="1" applyBorder="1"/>
    <xf numFmtId="1" fontId="3" fillId="0" borderId="16" xfId="0" applyNumberFormat="1" applyFont="1" applyBorder="1"/>
    <xf numFmtId="1" fontId="3" fillId="0" borderId="17" xfId="0" applyNumberFormat="1" applyFont="1" applyBorder="1" applyAlignment="1">
      <alignment horizontal="center" wrapText="1"/>
    </xf>
    <xf numFmtId="1" fontId="3" fillId="0" borderId="18" xfId="0" applyNumberFormat="1" applyFont="1" applyBorder="1" applyAlignment="1">
      <alignment horizontal="center" wrapText="1"/>
    </xf>
    <xf numFmtId="1" fontId="3" fillId="0" borderId="20" xfId="0" applyNumberFormat="1" applyFont="1" applyBorder="1" applyAlignment="1">
      <alignment horizontal="center" wrapText="1"/>
    </xf>
    <xf numFmtId="1" fontId="3" fillId="0" borderId="21" xfId="0" applyNumberFormat="1" applyFont="1" applyBorder="1" applyAlignment="1">
      <alignment horizontal="center" wrapText="1"/>
    </xf>
    <xf numFmtId="1" fontId="3" fillId="0" borderId="22" xfId="0" applyNumberFormat="1" applyFont="1" applyBorder="1" applyAlignment="1">
      <alignment horizontal="center" wrapText="1"/>
    </xf>
    <xf numFmtId="1" fontId="0" fillId="0" borderId="23" xfId="0" applyNumberFormat="1" applyBorder="1"/>
    <xf numFmtId="1" fontId="3" fillId="0" borderId="24" xfId="0" applyNumberFormat="1" applyFont="1" applyBorder="1" applyAlignment="1">
      <alignment horizontal="center" wrapText="1"/>
    </xf>
    <xf numFmtId="1" fontId="2" fillId="0" borderId="0" xfId="0" applyNumberFormat="1" applyFont="1" applyAlignment="1">
      <alignment horizontal="centerContinuous" wrapText="1"/>
    </xf>
    <xf numFmtId="1" fontId="0" fillId="0" borderId="0" xfId="0" applyNumberFormat="1" applyAlignment="1">
      <alignment horizontal="centerContinuous" wrapText="1"/>
    </xf>
    <xf numFmtId="4" fontId="0" fillId="0" borderId="0" xfId="0" applyNumberFormat="1" applyAlignment="1">
      <alignment horizontal="centerContinuous" wrapText="1"/>
    </xf>
    <xf numFmtId="1" fontId="3" fillId="0" borderId="3" xfId="0" applyNumberFormat="1" applyFont="1" applyBorder="1" applyAlignment="1">
      <alignment horizontal="centerContinuous"/>
    </xf>
    <xf numFmtId="1" fontId="3" fillId="0" borderId="25" xfId="0" applyNumberFormat="1" applyFont="1" applyBorder="1" applyAlignment="1">
      <alignment horizontal="centerContinuous"/>
    </xf>
    <xf numFmtId="10" fontId="0" fillId="0" borderId="26" xfId="0" applyNumberFormat="1" applyBorder="1"/>
    <xf numFmtId="1" fontId="0" fillId="0" borderId="27" xfId="0" applyNumberFormat="1" applyBorder="1"/>
    <xf numFmtId="1" fontId="0" fillId="0" borderId="22" xfId="0" applyNumberFormat="1" applyBorder="1"/>
    <xf numFmtId="10" fontId="0" fillId="0" borderId="0" xfId="0" applyNumberFormat="1"/>
    <xf numFmtId="1" fontId="0" fillId="0" borderId="28" xfId="0" applyNumberFormat="1" applyBorder="1"/>
    <xf numFmtId="10" fontId="0" fillId="0" borderId="30" xfId="0" applyNumberFormat="1" applyBorder="1"/>
    <xf numFmtId="10" fontId="0" fillId="0" borderId="32" xfId="0" applyNumberFormat="1" applyBorder="1"/>
    <xf numFmtId="10" fontId="0" fillId="0" borderId="34" xfId="0" applyNumberFormat="1" applyBorder="1"/>
    <xf numFmtId="1" fontId="0" fillId="0" borderId="35" xfId="0" applyNumberFormat="1" applyBorder="1"/>
    <xf numFmtId="10" fontId="0" fillId="0" borderId="38" xfId="0" applyNumberFormat="1" applyBorder="1"/>
    <xf numFmtId="10" fontId="0" fillId="0" borderId="39" xfId="0" applyNumberFormat="1" applyBorder="1"/>
    <xf numFmtId="10" fontId="0" fillId="0" borderId="40" xfId="0" applyNumberFormat="1" applyBorder="1"/>
    <xf numFmtId="4" fontId="0" fillId="0" borderId="42" xfId="0" applyNumberFormat="1" applyBorder="1"/>
    <xf numFmtId="1" fontId="0" fillId="0" borderId="43" xfId="0" applyNumberFormat="1" applyBorder="1"/>
    <xf numFmtId="10" fontId="0" fillId="0" borderId="44" xfId="0" applyNumberFormat="1" applyBorder="1"/>
    <xf numFmtId="1" fontId="0" fillId="0" borderId="45" xfId="0" applyNumberFormat="1" applyBorder="1"/>
    <xf numFmtId="1" fontId="0" fillId="0" borderId="44" xfId="0" applyNumberFormat="1" applyBorder="1"/>
    <xf numFmtId="1" fontId="0" fillId="0" borderId="42" xfId="0" applyNumberFormat="1" applyBorder="1"/>
    <xf numFmtId="1" fontId="0" fillId="0" borderId="41" xfId="0" applyNumberFormat="1" applyBorder="1"/>
    <xf numFmtId="1" fontId="0" fillId="0" borderId="5" xfId="0" applyNumberFormat="1" applyBorder="1"/>
    <xf numFmtId="10" fontId="0" fillId="0" borderId="18" xfId="0" applyNumberFormat="1" applyBorder="1"/>
    <xf numFmtId="4" fontId="0" fillId="0" borderId="19" xfId="0" applyNumberFormat="1" applyBorder="1"/>
    <xf numFmtId="10" fontId="0" fillId="0" borderId="20" xfId="0" applyNumberFormat="1" applyBorder="1"/>
    <xf numFmtId="10" fontId="0" fillId="0" borderId="46" xfId="0" applyNumberFormat="1" applyBorder="1"/>
    <xf numFmtId="10" fontId="0" fillId="0" borderId="22" xfId="0" applyNumberFormat="1" applyBorder="1"/>
    <xf numFmtId="1" fontId="0" fillId="0" borderId="47" xfId="0" applyNumberFormat="1" applyBorder="1"/>
    <xf numFmtId="10" fontId="0" fillId="0" borderId="48" xfId="0" applyNumberFormat="1" applyBorder="1"/>
    <xf numFmtId="1" fontId="6" fillId="0" borderId="24" xfId="0" applyNumberFormat="1" applyFont="1" applyBorder="1" applyAlignment="1">
      <alignment horizontal="right" wrapText="1"/>
    </xf>
    <xf numFmtId="1" fontId="0" fillId="0" borderId="21" xfId="0" applyNumberFormat="1" applyBorder="1"/>
    <xf numFmtId="1" fontId="0" fillId="0" borderId="18" xfId="0" applyNumberFormat="1" applyBorder="1"/>
    <xf numFmtId="1" fontId="0" fillId="0" borderId="19" xfId="0" applyNumberFormat="1" applyBorder="1"/>
    <xf numFmtId="1" fontId="0" fillId="0" borderId="17" xfId="0" applyNumberFormat="1" applyBorder="1"/>
    <xf numFmtId="1" fontId="0" fillId="0" borderId="24" xfId="0" applyNumberFormat="1" applyBorder="1"/>
    <xf numFmtId="10" fontId="6" fillId="0" borderId="18" xfId="0" applyNumberFormat="1" applyFont="1" applyBorder="1" applyAlignment="1">
      <alignment horizontal="right" wrapText="1"/>
    </xf>
    <xf numFmtId="10" fontId="6" fillId="0" borderId="9" xfId="0" applyNumberFormat="1" applyFont="1" applyBorder="1" applyAlignment="1">
      <alignment horizontal="right" wrapText="1"/>
    </xf>
    <xf numFmtId="10" fontId="6" fillId="0" borderId="26" xfId="0" applyNumberFormat="1" applyFont="1" applyBorder="1" applyAlignment="1">
      <alignment horizontal="right" wrapText="1"/>
    </xf>
    <xf numFmtId="10" fontId="6" fillId="0" borderId="4" xfId="0" applyNumberFormat="1" applyFont="1" applyBorder="1" applyAlignment="1">
      <alignment horizontal="right" wrapText="1"/>
    </xf>
    <xf numFmtId="1" fontId="6" fillId="0" borderId="27" xfId="0" applyNumberFormat="1" applyFont="1" applyBorder="1" applyAlignment="1">
      <alignment horizontal="right" wrapText="1"/>
    </xf>
    <xf numFmtId="10" fontId="6" fillId="0" borderId="50" xfId="0" applyNumberFormat="1" applyFont="1" applyBorder="1" applyAlignment="1">
      <alignment horizontal="right" wrapText="1"/>
    </xf>
    <xf numFmtId="10" fontId="6" fillId="0" borderId="22" xfId="0" applyNumberFormat="1" applyFont="1" applyBorder="1" applyAlignment="1">
      <alignment horizontal="right" wrapText="1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" fontId="3" fillId="0" borderId="6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 wrapText="1"/>
    </xf>
    <xf numFmtId="1" fontId="3" fillId="0" borderId="7" xfId="0" applyNumberFormat="1" applyFont="1" applyBorder="1" applyAlignment="1">
      <alignment horizontal="center" wrapText="1"/>
    </xf>
    <xf numFmtId="1" fontId="3" fillId="0" borderId="8" xfId="0" applyNumberFormat="1" applyFont="1" applyBorder="1" applyAlignment="1">
      <alignment horizontal="center" wrapText="1"/>
    </xf>
    <xf numFmtId="10" fontId="6" fillId="0" borderId="50" xfId="0" applyNumberFormat="1" applyFont="1" applyBorder="1" applyAlignment="1">
      <alignment horizontal="right"/>
    </xf>
    <xf numFmtId="1" fontId="6" fillId="0" borderId="0" xfId="0" applyNumberFormat="1" applyFont="1" applyAlignment="1">
      <alignment horizontal="right"/>
    </xf>
    <xf numFmtId="1" fontId="3" fillId="0" borderId="4" xfId="0" applyNumberFormat="1" applyFont="1" applyBorder="1" applyAlignment="1">
      <alignment horizontal="center" wrapText="1"/>
    </xf>
    <xf numFmtId="10" fontId="6" fillId="0" borderId="4" xfId="0" applyNumberFormat="1" applyFont="1" applyBorder="1" applyAlignment="1">
      <alignment horizontal="right"/>
    </xf>
    <xf numFmtId="10" fontId="6" fillId="0" borderId="9" xfId="0" applyNumberFormat="1" applyFont="1" applyBorder="1" applyAlignment="1">
      <alignment horizontal="right"/>
    </xf>
    <xf numFmtId="1" fontId="6" fillId="0" borderId="24" xfId="0" applyNumberFormat="1" applyFont="1" applyBorder="1" applyAlignment="1">
      <alignment wrapText="1"/>
    </xf>
    <xf numFmtId="1" fontId="6" fillId="0" borderId="0" xfId="0" applyNumberFormat="1" applyFont="1"/>
    <xf numFmtId="4" fontId="0" fillId="0" borderId="0" xfId="0" applyNumberFormat="1" applyAlignment="1">
      <alignment horizontal="centerContinuous"/>
    </xf>
    <xf numFmtId="10" fontId="0" fillId="0" borderId="50" xfId="0" applyNumberFormat="1" applyBorder="1" applyAlignment="1">
      <alignment horizontal="right"/>
    </xf>
    <xf numFmtId="10" fontId="0" fillId="0" borderId="26" xfId="0" applyNumberFormat="1" applyBorder="1" applyAlignment="1">
      <alignment horizontal="right"/>
    </xf>
    <xf numFmtId="1" fontId="0" fillId="2" borderId="4" xfId="0" applyNumberFormat="1" applyFill="1" applyBorder="1"/>
    <xf numFmtId="4" fontId="0" fillId="2" borderId="7" xfId="0" applyNumberFormat="1" applyFill="1" applyBorder="1"/>
    <xf numFmtId="10" fontId="0" fillId="2" borderId="6" xfId="0" applyNumberFormat="1" applyFill="1" applyBorder="1"/>
    <xf numFmtId="4" fontId="0" fillId="2" borderId="16" xfId="0" applyNumberFormat="1" applyFill="1" applyBorder="1"/>
    <xf numFmtId="10" fontId="6" fillId="0" borderId="22" xfId="0" applyNumberFormat="1" applyFont="1" applyBorder="1" applyAlignment="1">
      <alignment horizontal="right"/>
    </xf>
    <xf numFmtId="1" fontId="0" fillId="0" borderId="46" xfId="0" applyNumberFormat="1" applyBorder="1"/>
    <xf numFmtId="1" fontId="0" fillId="0" borderId="38" xfId="0" applyNumberFormat="1" applyBorder="1"/>
    <xf numFmtId="1" fontId="3" fillId="0" borderId="38" xfId="0" applyNumberFormat="1" applyFont="1" applyBorder="1"/>
    <xf numFmtId="1" fontId="0" fillId="0" borderId="51" xfId="0" applyNumberFormat="1" applyBorder="1"/>
    <xf numFmtId="1" fontId="8" fillId="0" borderId="14" xfId="0" applyNumberFormat="1" applyFont="1" applyBorder="1" applyAlignment="1">
      <alignment horizontal="centerContinuous"/>
    </xf>
    <xf numFmtId="165" fontId="0" fillId="0" borderId="12" xfId="0" applyNumberFormat="1" applyBorder="1" applyAlignment="1">
      <alignment horizontal="centerContinuous"/>
    </xf>
    <xf numFmtId="1" fontId="0" fillId="0" borderId="52" xfId="0" applyNumberFormat="1" applyBorder="1" applyAlignment="1">
      <alignment horizontal="centerContinuous"/>
    </xf>
    <xf numFmtId="10" fontId="6" fillId="0" borderId="20" xfId="0" applyNumberFormat="1" applyFont="1" applyBorder="1" applyAlignment="1">
      <alignment horizontal="right"/>
    </xf>
    <xf numFmtId="10" fontId="6" fillId="0" borderId="20" xfId="0" applyNumberFormat="1" applyFont="1" applyBorder="1" applyAlignment="1">
      <alignment horizontal="right" wrapText="1"/>
    </xf>
    <xf numFmtId="10" fontId="0" fillId="0" borderId="53" xfId="0" applyNumberFormat="1" applyBorder="1"/>
    <xf numFmtId="10" fontId="0" fillId="0" borderId="54" xfId="0" applyNumberFormat="1" applyBorder="1"/>
    <xf numFmtId="10" fontId="0" fillId="0" borderId="55" xfId="0" applyNumberFormat="1" applyBorder="1"/>
    <xf numFmtId="10" fontId="6" fillId="0" borderId="26" xfId="0" applyNumberFormat="1" applyFont="1" applyBorder="1" applyAlignment="1">
      <alignment horizontal="right"/>
    </xf>
    <xf numFmtId="10" fontId="0" fillId="0" borderId="50" xfId="0" applyNumberFormat="1" applyBorder="1"/>
    <xf numFmtId="1" fontId="0" fillId="0" borderId="26" xfId="0" applyNumberFormat="1" applyBorder="1"/>
    <xf numFmtId="4" fontId="6" fillId="2" borderId="21" xfId="0" applyNumberFormat="1" applyFont="1" applyFill="1" applyBorder="1" applyAlignment="1">
      <alignment horizontal="right"/>
    </xf>
    <xf numFmtId="10" fontId="6" fillId="2" borderId="22" xfId="0" applyNumberFormat="1" applyFont="1" applyFill="1" applyBorder="1" applyAlignment="1">
      <alignment horizontal="right" wrapText="1"/>
    </xf>
    <xf numFmtId="4" fontId="0" fillId="2" borderId="21" xfId="0" applyNumberFormat="1" applyFill="1" applyBorder="1"/>
    <xf numFmtId="10" fontId="0" fillId="2" borderId="22" xfId="0" applyNumberFormat="1" applyFill="1" applyBorder="1"/>
    <xf numFmtId="10" fontId="0" fillId="2" borderId="4" xfId="0" applyNumberFormat="1" applyFill="1" applyBorder="1"/>
    <xf numFmtId="4" fontId="0" fillId="2" borderId="0" xfId="0" applyNumberFormat="1" applyFill="1"/>
    <xf numFmtId="4" fontId="0" fillId="2" borderId="39" xfId="0" applyNumberFormat="1" applyFill="1" applyBorder="1"/>
    <xf numFmtId="4" fontId="0" fillId="2" borderId="37" xfId="0" applyNumberFormat="1" applyFill="1" applyBorder="1"/>
    <xf numFmtId="4" fontId="0" fillId="2" borderId="33" xfId="0" applyNumberFormat="1" applyFill="1" applyBorder="1"/>
    <xf numFmtId="10" fontId="6" fillId="2" borderId="22" xfId="0" applyNumberFormat="1" applyFont="1" applyFill="1" applyBorder="1" applyAlignment="1">
      <alignment horizontal="right"/>
    </xf>
    <xf numFmtId="1" fontId="8" fillId="0" borderId="2" xfId="0" applyNumberFormat="1" applyFont="1" applyBorder="1" applyAlignment="1">
      <alignment horizontal="centerContinuous"/>
    </xf>
    <xf numFmtId="4" fontId="6" fillId="2" borderId="17" xfId="0" applyNumberFormat="1" applyFont="1" applyFill="1" applyBorder="1" applyAlignment="1">
      <alignment horizontal="right" wrapText="1"/>
    </xf>
    <xf numFmtId="10" fontId="6" fillId="2" borderId="50" xfId="0" applyNumberFormat="1" applyFont="1" applyFill="1" applyBorder="1" applyAlignment="1">
      <alignment horizontal="right"/>
    </xf>
    <xf numFmtId="4" fontId="6" fillId="2" borderId="21" xfId="0" applyNumberFormat="1" applyFont="1" applyFill="1" applyBorder="1" applyAlignment="1">
      <alignment horizontal="right" wrapText="1"/>
    </xf>
    <xf numFmtId="10" fontId="6" fillId="2" borderId="20" xfId="0" applyNumberFormat="1" applyFont="1" applyFill="1" applyBorder="1" applyAlignment="1">
      <alignment horizontal="right"/>
    </xf>
    <xf numFmtId="4" fontId="6" fillId="2" borderId="17" xfId="0" applyNumberFormat="1" applyFont="1" applyFill="1" applyBorder="1" applyAlignment="1">
      <alignment wrapText="1"/>
    </xf>
    <xf numFmtId="4" fontId="6" fillId="2" borderId="21" xfId="0" applyNumberFormat="1" applyFont="1" applyFill="1" applyBorder="1" applyAlignment="1">
      <alignment wrapText="1"/>
    </xf>
    <xf numFmtId="10" fontId="6" fillId="2" borderId="26" xfId="0" applyNumberFormat="1" applyFont="1" applyFill="1" applyBorder="1" applyAlignment="1">
      <alignment horizontal="right" wrapText="1"/>
    </xf>
    <xf numFmtId="10" fontId="6" fillId="2" borderId="20" xfId="0" applyNumberFormat="1" applyFont="1" applyFill="1" applyBorder="1" applyAlignment="1">
      <alignment horizontal="right" wrapText="1"/>
    </xf>
    <xf numFmtId="4" fontId="9" fillId="2" borderId="8" xfId="1" applyFont="1" applyFill="1" applyBorder="1"/>
    <xf numFmtId="10" fontId="0" fillId="2" borderId="26" xfId="0" applyNumberFormat="1" applyFill="1" applyBorder="1"/>
    <xf numFmtId="4" fontId="9" fillId="2" borderId="7" xfId="1" applyFont="1" applyFill="1" applyBorder="1"/>
    <xf numFmtId="10" fontId="0" fillId="2" borderId="9" xfId="0" applyNumberFormat="1" applyFill="1" applyBorder="1"/>
    <xf numFmtId="4" fontId="0" fillId="2" borderId="36" xfId="0" applyNumberFormat="1" applyFill="1" applyBorder="1"/>
    <xf numFmtId="10" fontId="0" fillId="2" borderId="0" xfId="0" applyNumberFormat="1" applyFill="1"/>
    <xf numFmtId="4" fontId="0" fillId="2" borderId="49" xfId="0" applyNumberFormat="1" applyFill="1" applyBorder="1"/>
    <xf numFmtId="10" fontId="0" fillId="2" borderId="55" xfId="0" applyNumberFormat="1" applyFill="1" applyBorder="1"/>
    <xf numFmtId="4" fontId="0" fillId="2" borderId="29" xfId="0" applyNumberFormat="1" applyFill="1" applyBorder="1"/>
    <xf numFmtId="10" fontId="0" fillId="2" borderId="39" xfId="0" applyNumberFormat="1" applyFill="1" applyBorder="1"/>
    <xf numFmtId="4" fontId="0" fillId="2" borderId="31" xfId="0" applyNumberFormat="1" applyFill="1" applyBorder="1"/>
    <xf numFmtId="10" fontId="0" fillId="2" borderId="32" xfId="0" applyNumberFormat="1" applyFill="1" applyBorder="1"/>
    <xf numFmtId="4" fontId="0" fillId="2" borderId="8" xfId="0" applyNumberFormat="1" applyFill="1" applyBorder="1"/>
    <xf numFmtId="10" fontId="0" fillId="2" borderId="30" xfId="0" applyNumberFormat="1" applyFill="1" applyBorder="1"/>
    <xf numFmtId="4" fontId="6" fillId="2" borderId="19" xfId="0" applyNumberFormat="1" applyFont="1" applyFill="1" applyBorder="1" applyAlignment="1">
      <alignment horizontal="right" wrapText="1"/>
    </xf>
    <xf numFmtId="10" fontId="6" fillId="2" borderId="18" xfId="0" applyNumberFormat="1" applyFont="1" applyFill="1" applyBorder="1" applyAlignment="1">
      <alignment horizontal="right" wrapText="1"/>
    </xf>
    <xf numFmtId="10" fontId="0" fillId="2" borderId="38" xfId="0" applyNumberFormat="1" applyFill="1" applyBorder="1"/>
    <xf numFmtId="10" fontId="0" fillId="2" borderId="53" xfId="0" applyNumberFormat="1" applyFill="1" applyBorder="1"/>
    <xf numFmtId="4" fontId="0" fillId="2" borderId="17" xfId="0" applyNumberFormat="1" applyFill="1" applyBorder="1"/>
    <xf numFmtId="10" fontId="0" fillId="2" borderId="46" xfId="0" applyNumberFormat="1" applyFill="1" applyBorder="1"/>
    <xf numFmtId="4" fontId="0" fillId="2" borderId="19" xfId="0" applyNumberFormat="1" applyFill="1" applyBorder="1"/>
    <xf numFmtId="10" fontId="0" fillId="2" borderId="54" xfId="0" applyNumberFormat="1" applyFill="1" applyBorder="1"/>
    <xf numFmtId="1" fontId="3" fillId="0" borderId="56" xfId="0" applyNumberFormat="1" applyFont="1" applyBorder="1" applyAlignment="1">
      <alignment horizontal="center"/>
    </xf>
    <xf numFmtId="10" fontId="6" fillId="0" borderId="4" xfId="8" applyFont="1" applyBorder="1" applyAlignment="1">
      <alignment horizontal="right"/>
    </xf>
    <xf numFmtId="165" fontId="6" fillId="0" borderId="0" xfId="0" applyNumberFormat="1" applyFont="1"/>
    <xf numFmtId="166" fontId="0" fillId="0" borderId="0" xfId="0" applyNumberFormat="1" applyAlignment="1">
      <alignment horizontal="centerContinuous"/>
    </xf>
    <xf numFmtId="166" fontId="0" fillId="0" borderId="0" xfId="0" applyNumberFormat="1"/>
    <xf numFmtId="166" fontId="8" fillId="0" borderId="14" xfId="0" applyNumberFormat="1" applyFont="1" applyBorder="1" applyAlignment="1">
      <alignment horizontal="centerContinuous"/>
    </xf>
    <xf numFmtId="166" fontId="3" fillId="0" borderId="17" xfId="0" applyNumberFormat="1" applyFont="1" applyBorder="1" applyAlignment="1">
      <alignment horizontal="center" wrapText="1"/>
    </xf>
    <xf numFmtId="166" fontId="6" fillId="0" borderId="17" xfId="0" applyNumberFormat="1" applyFont="1" applyBorder="1" applyAlignment="1">
      <alignment horizontal="right" wrapText="1"/>
    </xf>
    <xf numFmtId="166" fontId="0" fillId="0" borderId="8" xfId="0" applyNumberFormat="1" applyBorder="1"/>
    <xf numFmtId="166" fontId="0" fillId="0" borderId="17" xfId="0" applyNumberFormat="1" applyBorder="1"/>
    <xf numFmtId="166" fontId="0" fillId="0" borderId="29" xfId="0" applyNumberFormat="1" applyBorder="1"/>
    <xf numFmtId="166" fontId="0" fillId="0" borderId="41" xfId="0" applyNumberFormat="1" applyBorder="1"/>
    <xf numFmtId="166" fontId="3" fillId="0" borderId="0" xfId="0" applyNumberFormat="1" applyFont="1" applyAlignment="1">
      <alignment horizontal="centerContinuous"/>
    </xf>
    <xf numFmtId="166" fontId="6" fillId="0" borderId="17" xfId="0" applyNumberFormat="1" applyFont="1" applyBorder="1" applyAlignment="1">
      <alignment wrapText="1"/>
    </xf>
    <xf numFmtId="166" fontId="0" fillId="0" borderId="8" xfId="1" applyNumberFormat="1" applyFont="1" applyBorder="1"/>
    <xf numFmtId="166" fontId="0" fillId="0" borderId="36" xfId="0" applyNumberFormat="1" applyBorder="1"/>
    <xf numFmtId="166" fontId="0" fillId="0" borderId="0" xfId="0" applyNumberFormat="1" applyAlignment="1">
      <alignment horizontal="centerContinuous" wrapText="1"/>
    </xf>
    <xf numFmtId="166" fontId="6" fillId="0" borderId="0" xfId="0" applyNumberFormat="1" applyFont="1" applyAlignment="1">
      <alignment horizontal="centerContinuous"/>
    </xf>
    <xf numFmtId="166" fontId="3" fillId="0" borderId="0" xfId="0" applyNumberFormat="1" applyFont="1"/>
    <xf numFmtId="166" fontId="3" fillId="0" borderId="14" xfId="0" applyNumberFormat="1" applyFont="1" applyBorder="1" applyAlignment="1">
      <alignment horizontal="centerContinuous"/>
    </xf>
    <xf numFmtId="166" fontId="6" fillId="0" borderId="17" xfId="0" applyNumberFormat="1" applyFont="1" applyBorder="1" applyAlignment="1">
      <alignment horizontal="right"/>
    </xf>
    <xf numFmtId="166" fontId="0" fillId="0" borderId="8" xfId="5" applyNumberFormat="1" applyFont="1" applyBorder="1"/>
  </cellXfs>
  <cellStyles count="10">
    <cellStyle name="Comma" xfId="1" builtinId="3"/>
    <cellStyle name="Comma0" xfId="2" xr:uid="{00000000-0005-0000-0000-000001000000}"/>
    <cellStyle name="Currency0" xfId="3" xr:uid="{00000000-0005-0000-0000-000003000000}"/>
    <cellStyle name="Date" xfId="4" xr:uid="{00000000-0005-0000-0000-000004000000}"/>
    <cellStyle name="Fixed" xfId="5" xr:uid="{00000000-0005-0000-0000-000005000000}"/>
    <cellStyle name="Heading 1" xfId="6" builtinId="16" customBuiltin="1"/>
    <cellStyle name="Heading 2" xfId="7" builtinId="17" customBuiltin="1"/>
    <cellStyle name="Normal" xfId="0" builtinId="0"/>
    <cellStyle name="Percent" xfId="8" builtinId="5"/>
    <cellStyle name="Total" xfId="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53"/>
  <sheetViews>
    <sheetView tabSelected="1" view="pageBreakPreview" topLeftCell="A134" zoomScale="115" zoomScaleNormal="115" zoomScaleSheetLayoutView="115" workbookViewId="0">
      <selection activeCell="V142" sqref="V142"/>
    </sheetView>
  </sheetViews>
  <sheetFormatPr defaultColWidth="10.28515625" defaultRowHeight="12.75" x14ac:dyDescent="0.2"/>
  <cols>
    <col min="1" max="1" width="9.5703125" customWidth="1"/>
    <col min="2" max="2" width="9.7109375" style="166" customWidth="1"/>
    <col min="3" max="3" width="7.7109375" customWidth="1"/>
    <col min="4" max="4" width="10.140625" style="2" customWidth="1"/>
    <col min="5" max="5" width="7.7109375" customWidth="1"/>
    <col min="6" max="6" width="9.7109375" customWidth="1"/>
    <col min="7" max="7" width="8.28515625" customWidth="1"/>
    <col min="8" max="8" width="10.42578125" customWidth="1"/>
    <col min="9" max="9" width="7.7109375" customWidth="1"/>
    <col min="10" max="10" width="9.7109375" customWidth="1"/>
    <col min="11" max="11" width="7.7109375" customWidth="1"/>
    <col min="12" max="12" width="10.7109375" customWidth="1"/>
    <col min="13" max="13" width="7.7109375" customWidth="1"/>
    <col min="14" max="14" width="10.140625" customWidth="1"/>
    <col min="15" max="15" width="7.7109375" customWidth="1"/>
    <col min="16" max="16" width="10" customWidth="1"/>
    <col min="17" max="17" width="7.7109375" customWidth="1"/>
    <col min="18" max="18" width="9.140625" customWidth="1"/>
    <col min="19" max="19" width="7.85546875" customWidth="1"/>
    <col min="20" max="20" width="9.85546875" customWidth="1"/>
    <col min="21" max="21" width="7.7109375" customWidth="1"/>
    <col min="22" max="22" width="10.140625" customWidth="1"/>
    <col min="23" max="23" width="8.85546875" bestFit="1" customWidth="1"/>
    <col min="24" max="24" width="10.7109375" bestFit="1" customWidth="1"/>
    <col min="25" max="25" width="7.7109375" customWidth="1"/>
  </cols>
  <sheetData>
    <row r="1" spans="1:25" ht="18" x14ac:dyDescent="0.25">
      <c r="A1" s="9" t="s">
        <v>30</v>
      </c>
      <c r="B1" s="165"/>
      <c r="C1" s="8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x14ac:dyDescent="0.2">
      <c r="A2" s="5" t="s">
        <v>27</v>
      </c>
      <c r="D2" s="164" t="s">
        <v>11</v>
      </c>
    </row>
    <row r="3" spans="1:25" ht="13.5" thickBot="1" x14ac:dyDescent="0.25">
      <c r="C3" s="6"/>
      <c r="D3" s="7"/>
      <c r="E3" s="8"/>
      <c r="F3" s="6"/>
      <c r="G3" s="6"/>
      <c r="H3" s="7"/>
      <c r="I3" s="8"/>
      <c r="J3" s="6"/>
      <c r="K3" s="6"/>
      <c r="L3" s="7"/>
      <c r="M3" s="8"/>
      <c r="N3" s="8"/>
      <c r="O3" s="8"/>
      <c r="P3" s="8"/>
      <c r="Q3" s="8"/>
      <c r="R3" s="8"/>
      <c r="S3" s="8"/>
      <c r="T3" s="8"/>
      <c r="U3" s="8"/>
      <c r="V3" s="6"/>
      <c r="W3" s="6"/>
      <c r="X3" s="7"/>
      <c r="Y3" s="8"/>
    </row>
    <row r="4" spans="1:25" ht="13.5" thickTop="1" x14ac:dyDescent="0.2">
      <c r="A4" s="38"/>
      <c r="B4" s="167" t="s">
        <v>22</v>
      </c>
      <c r="C4" s="11"/>
      <c r="D4" s="12"/>
      <c r="E4" s="23"/>
      <c r="F4" s="22" t="s">
        <v>5</v>
      </c>
      <c r="G4" s="11"/>
      <c r="H4" s="12"/>
      <c r="I4" s="26"/>
      <c r="J4" s="110" t="s">
        <v>23</v>
      </c>
      <c r="K4" s="131"/>
      <c r="L4" s="111"/>
      <c r="M4" s="112"/>
      <c r="N4" s="110" t="s">
        <v>24</v>
      </c>
      <c r="O4" s="131"/>
      <c r="P4" s="111"/>
      <c r="Q4" s="112"/>
      <c r="R4" s="110" t="s">
        <v>25</v>
      </c>
      <c r="S4" s="131"/>
      <c r="T4" s="111"/>
      <c r="U4" s="112"/>
      <c r="V4" s="27" t="s">
        <v>1</v>
      </c>
      <c r="W4" s="11"/>
      <c r="X4" s="12"/>
      <c r="Y4" s="13"/>
    </row>
    <row r="5" spans="1:25" ht="25.5" x14ac:dyDescent="0.2">
      <c r="A5" s="39" t="s">
        <v>8</v>
      </c>
      <c r="B5" s="168" t="s">
        <v>2</v>
      </c>
      <c r="C5" s="87" t="s">
        <v>3</v>
      </c>
      <c r="D5" s="168" t="s">
        <v>9</v>
      </c>
      <c r="E5" s="88" t="s">
        <v>4</v>
      </c>
      <c r="F5" s="89" t="s">
        <v>2</v>
      </c>
      <c r="G5" s="87" t="s">
        <v>3</v>
      </c>
      <c r="H5" s="168" t="s">
        <v>10</v>
      </c>
      <c r="I5" s="87" t="s">
        <v>4</v>
      </c>
      <c r="J5" s="90" t="s">
        <v>2</v>
      </c>
      <c r="K5" s="87" t="s">
        <v>3</v>
      </c>
      <c r="L5" s="168" t="s">
        <v>10</v>
      </c>
      <c r="M5" s="88" t="s">
        <v>4</v>
      </c>
      <c r="N5" s="90" t="s">
        <v>2</v>
      </c>
      <c r="O5" s="87" t="s">
        <v>3</v>
      </c>
      <c r="P5" s="168" t="s">
        <v>10</v>
      </c>
      <c r="Q5" s="88" t="s">
        <v>4</v>
      </c>
      <c r="R5" s="90" t="s">
        <v>2</v>
      </c>
      <c r="S5" s="87" t="s">
        <v>3</v>
      </c>
      <c r="T5" s="168" t="s">
        <v>10</v>
      </c>
      <c r="U5" s="88" t="s">
        <v>4</v>
      </c>
      <c r="V5" s="90" t="s">
        <v>17</v>
      </c>
      <c r="W5" s="87" t="s">
        <v>3</v>
      </c>
      <c r="X5" s="168" t="s">
        <v>13</v>
      </c>
      <c r="Y5" s="93" t="s">
        <v>4</v>
      </c>
    </row>
    <row r="6" spans="1:25" x14ac:dyDescent="0.2">
      <c r="A6" s="72">
        <v>2025</v>
      </c>
      <c r="B6" s="169">
        <f>B77+B120</f>
        <v>5789.75</v>
      </c>
      <c r="C6" s="91">
        <f>(B6-B7)/B7</f>
        <v>3.1949024151145172E-2</v>
      </c>
      <c r="D6" s="169">
        <f>D77+B120</f>
        <v>14766.800000000001</v>
      </c>
      <c r="E6" s="95">
        <f>(D6-D7)/D7</f>
        <v>3.3803674753832121E-2</v>
      </c>
      <c r="F6" s="169">
        <f>F77+D120</f>
        <v>5448.45</v>
      </c>
      <c r="G6" s="91">
        <f>(F6-F7)/F7</f>
        <v>7.4803965083592217E-2</v>
      </c>
      <c r="H6" s="169">
        <f>H77+D120</f>
        <v>14123.1</v>
      </c>
      <c r="I6" s="91">
        <f>(H6-H7)/H7</f>
        <v>7.797991825332308E-2</v>
      </c>
      <c r="J6" s="169">
        <f>J77+B120</f>
        <v>6239.12</v>
      </c>
      <c r="K6" s="91">
        <f>(J6-J7)/J7</f>
        <v>3.2160298574623741E-2</v>
      </c>
      <c r="L6" s="169">
        <f>L77+B120</f>
        <v>13347.08</v>
      </c>
      <c r="M6" s="113">
        <f t="shared" ref="M6:M7" si="0">(L6-L7)/L7</f>
        <v>3.3670169264702107E-2</v>
      </c>
      <c r="N6" s="169">
        <f>N77+D120</f>
        <v>6079.92</v>
      </c>
      <c r="O6" s="91">
        <f t="shared" ref="O6" si="1">(N6-N7)/N7</f>
        <v>4.9441786283891641E-2</v>
      </c>
      <c r="P6" s="169">
        <f>P77+D120</f>
        <v>13187.88</v>
      </c>
      <c r="Q6" s="113">
        <f t="shared" ref="Q6" si="2">(P6-P7)/P7</f>
        <v>4.3843735455866575E-2</v>
      </c>
      <c r="R6" s="169">
        <f>R77+F120</f>
        <v>5749.92</v>
      </c>
      <c r="S6" s="91">
        <f t="shared" ref="S6" si="3">(R6-R7)/R7</f>
        <v>3.4992223950233214E-2</v>
      </c>
      <c r="T6" s="169">
        <f>T77+F120</f>
        <v>5749.92</v>
      </c>
      <c r="U6" s="113">
        <f t="shared" ref="U6" si="4">(T6-T7)/T7</f>
        <v>3.4992223950233214E-2</v>
      </c>
      <c r="V6" s="169">
        <f>V77+B120</f>
        <v>12705.400000000001</v>
      </c>
      <c r="W6" s="91">
        <f>(V6-V7)/V7</f>
        <v>2.4017924786820764E-2</v>
      </c>
      <c r="X6" s="169">
        <f>X77+B120</f>
        <v>28190.600000000002</v>
      </c>
      <c r="Y6" s="94">
        <f>(X6-X7)/X7</f>
        <v>2.4553879701980818E-2</v>
      </c>
    </row>
    <row r="7" spans="1:25" x14ac:dyDescent="0.2">
      <c r="A7" s="72">
        <v>2024</v>
      </c>
      <c r="B7" s="169">
        <f>B78+B121</f>
        <v>5610.5</v>
      </c>
      <c r="C7" s="91">
        <f>(B7-B8)/B8</f>
        <v>2.549058314324151E-2</v>
      </c>
      <c r="D7" s="169">
        <f>D78+B121</f>
        <v>14283.95</v>
      </c>
      <c r="E7" s="95">
        <f>(D7-D8)/D8</f>
        <v>2.7013482654886668E-2</v>
      </c>
      <c r="F7" s="169">
        <f>F78+D121</f>
        <v>5069.25</v>
      </c>
      <c r="G7" s="91">
        <f>(F7-F8)/F8</f>
        <v>2.6143195481872761E-2</v>
      </c>
      <c r="H7" s="169">
        <f>H78+D121</f>
        <v>13101.45</v>
      </c>
      <c r="I7" s="91">
        <f>(H7-H8)/H8</f>
        <v>2.7274651863003416E-2</v>
      </c>
      <c r="J7" s="169">
        <f>J78+B121</f>
        <v>6044.72</v>
      </c>
      <c r="K7" s="91">
        <f>(J7-J8)/J8</f>
        <v>2.5669218656676009E-2</v>
      </c>
      <c r="L7" s="169">
        <f>L78+B121</f>
        <v>12912.320000000002</v>
      </c>
      <c r="M7" s="113">
        <f t="shared" si="0"/>
        <v>2.6909581388838713E-2</v>
      </c>
      <c r="N7" s="169">
        <f>N78+D121</f>
        <v>5793.48</v>
      </c>
      <c r="O7" s="91">
        <f t="shared" ref="O7" si="5">(N7-N8)/N8</f>
        <v>2.6361104615319073E-2</v>
      </c>
      <c r="P7" s="169">
        <f>P78+D121</f>
        <v>12633.96</v>
      </c>
      <c r="Q7" s="113">
        <f t="shared" ref="Q7" si="6">(P7-P8)/P8</f>
        <v>2.7251439164796554E-2</v>
      </c>
      <c r="R7" s="169">
        <f>R78+F121</f>
        <v>5555.52</v>
      </c>
      <c r="S7" s="91">
        <f t="shared" ref="S7" si="7">(R7-R8)/R8</f>
        <v>2.80004440990342E-2</v>
      </c>
      <c r="T7" s="169">
        <f>T78+F121</f>
        <v>5555.52</v>
      </c>
      <c r="U7" s="113">
        <f t="shared" ref="U7" si="8">(T7-T8)/T8</f>
        <v>2.80004440990342E-2</v>
      </c>
      <c r="V7" s="169">
        <f>V78+B121</f>
        <v>12407.400000000001</v>
      </c>
      <c r="W7" s="91">
        <f>(V7-V8)/V8</f>
        <v>2.6861234610406272E-2</v>
      </c>
      <c r="X7" s="169">
        <f>X78+B121</f>
        <v>27515</v>
      </c>
      <c r="Y7" s="94">
        <f>(X7-X8)/X8</f>
        <v>2.7482687952966166E-2</v>
      </c>
    </row>
    <row r="8" spans="1:25" x14ac:dyDescent="0.2">
      <c r="A8" s="72">
        <v>2023</v>
      </c>
      <c r="B8" s="169">
        <f>B79+B122</f>
        <v>5471.04</v>
      </c>
      <c r="C8" s="91">
        <f>(B8-B9)/B9</f>
        <v>4.7301462114802309E-2</v>
      </c>
      <c r="D8" s="169">
        <f>D79+B122</f>
        <v>13908.24</v>
      </c>
      <c r="E8" s="95">
        <f>(D8-D9)/D9</f>
        <v>4.8931176580609685E-2</v>
      </c>
      <c r="F8" s="169">
        <f>+F79+D122</f>
        <v>4940.1000000000004</v>
      </c>
      <c r="G8" s="91">
        <f>(F8-F9)/F9</f>
        <v>4.6520495710200269E-2</v>
      </c>
      <c r="H8" s="169">
        <f>H79+D122</f>
        <v>12753.6</v>
      </c>
      <c r="I8" s="91">
        <f>(H8-H9)/H9</f>
        <v>4.8643315244203289E-2</v>
      </c>
      <c r="J8" s="169">
        <f>J79+B122</f>
        <v>5893.44</v>
      </c>
      <c r="K8" s="91">
        <f>(J8-J9)/J9</f>
        <v>4.7491752929132033E-2</v>
      </c>
      <c r="L8" s="169">
        <f>L79+B122</f>
        <v>12573.96</v>
      </c>
      <c r="M8" s="113">
        <f t="shared" ref="M8" si="9">(L8-L9)/L9</f>
        <v>4.8822885665096113E-2</v>
      </c>
      <c r="N8" s="169">
        <f>N79+D122</f>
        <v>5644.68</v>
      </c>
      <c r="O8" s="91">
        <f t="shared" ref="O8" si="10">(N8-N9)/N9</f>
        <v>4.6939683952815475E-2</v>
      </c>
      <c r="P8" s="169">
        <f>P79+D122</f>
        <v>12298.8</v>
      </c>
      <c r="Q8" s="113">
        <f t="shared" ref="Q8" si="11">(P8-P9)/P9</f>
        <v>4.8598322078985068E-2</v>
      </c>
      <c r="R8" s="169">
        <f>R79+F122</f>
        <v>5404.2</v>
      </c>
      <c r="S8" s="91">
        <f t="shared" ref="S8" si="12">(R8-R9)/R9</f>
        <v>5.0011657729074302E-2</v>
      </c>
      <c r="T8" s="169">
        <f>T79+F122</f>
        <v>5404.2</v>
      </c>
      <c r="U8" s="113">
        <f t="shared" ref="U8" si="13">(T8-T9)/T9</f>
        <v>5.0011657729074302E-2</v>
      </c>
      <c r="V8" s="169">
        <f>V79+B122</f>
        <v>12082.84</v>
      </c>
      <c r="W8" s="91">
        <f>(V8-V9)/V9</f>
        <v>2.9602639526085057E-2</v>
      </c>
      <c r="X8" s="169">
        <f>X79+B122</f>
        <v>26779.040000000001</v>
      </c>
      <c r="Y8" s="94">
        <f>(X8-X9)/X9</f>
        <v>2.9826822912660873E-2</v>
      </c>
    </row>
    <row r="9" spans="1:25" x14ac:dyDescent="0.2">
      <c r="A9" s="72">
        <v>2022</v>
      </c>
      <c r="B9" s="169">
        <f>B80+B123</f>
        <v>5223.9399999999996</v>
      </c>
      <c r="C9" s="91">
        <f>(B9-B10)/B10</f>
        <v>2.679472857861266E-3</v>
      </c>
      <c r="D9" s="169">
        <f>D80+B123</f>
        <v>13259.44</v>
      </c>
      <c r="E9" s="95">
        <f>(D9-D10)/D10</f>
        <v>1.0539444399146687E-3</v>
      </c>
      <c r="F9" s="169">
        <f>+F80+D123</f>
        <v>4720.5</v>
      </c>
      <c r="G9" s="91">
        <f>(F9-F10)/F10</f>
        <v>0</v>
      </c>
      <c r="H9" s="169">
        <f>H80+D123</f>
        <v>12162</v>
      </c>
      <c r="I9" s="91">
        <f>(H9-H10)/H10</f>
        <v>0</v>
      </c>
      <c r="J9" s="169">
        <f>J80+B123</f>
        <v>5626.24</v>
      </c>
      <c r="K9" s="91">
        <f>(J9-J10)/J10</f>
        <v>2.4874026242452489E-3</v>
      </c>
      <c r="L9" s="169">
        <f>L80+B123</f>
        <v>11988.640000000001</v>
      </c>
      <c r="M9" s="113">
        <f t="shared" ref="M9" si="14">(L9-L10)/L10</f>
        <v>1.1657931568944595E-3</v>
      </c>
      <c r="N9" s="169">
        <f>N80+D123</f>
        <v>5391.6</v>
      </c>
      <c r="O9" s="91">
        <f t="shared" ref="O9" si="15">(N9-N10)/N10</f>
        <v>0</v>
      </c>
      <c r="P9" s="169">
        <f>P80+D123</f>
        <v>11728.8</v>
      </c>
      <c r="Q9" s="113">
        <f t="shared" ref="Q9" si="16">(P9-P10)/P10</f>
        <v>0</v>
      </c>
      <c r="R9" s="169">
        <f>R80+F123</f>
        <v>5146.8</v>
      </c>
      <c r="S9" s="91">
        <f t="shared" ref="S9" si="17">(R9-R10)/R10</f>
        <v>0</v>
      </c>
      <c r="T9" s="169">
        <f>T80+F123</f>
        <v>5146.8</v>
      </c>
      <c r="U9" s="113">
        <f t="shared" ref="U9" si="18">(T9-T10)/T10</f>
        <v>0</v>
      </c>
      <c r="V9" s="169">
        <f>V80+B123</f>
        <v>11735.44</v>
      </c>
      <c r="W9" s="91">
        <f>(V9-V10)/V10</f>
        <v>1.1909758835915727E-3</v>
      </c>
      <c r="X9" s="169">
        <f>X80+B123</f>
        <v>26003.439999999999</v>
      </c>
      <c r="Y9" s="94">
        <f>(X9-X10)/X10</f>
        <v>5.3714041219751708E-4</v>
      </c>
    </row>
    <row r="10" spans="1:25" x14ac:dyDescent="0.2">
      <c r="A10" s="72">
        <v>2021</v>
      </c>
      <c r="B10" s="169">
        <f>B81+B124</f>
        <v>5209.9799999999996</v>
      </c>
      <c r="C10" s="91">
        <f>(B10-B11)/B11</f>
        <v>9.6860465116278219E-3</v>
      </c>
      <c r="D10" s="169">
        <f>D81+B124</f>
        <v>13245.48</v>
      </c>
      <c r="E10" s="95">
        <f>(D10-D11)/D11</f>
        <v>1.1259734310581734E-2</v>
      </c>
      <c r="F10" s="169">
        <f>+F81+D124</f>
        <v>4720.5</v>
      </c>
      <c r="G10" s="91">
        <f>(F10-F11)/F11</f>
        <v>-7.1135304312708678E-3</v>
      </c>
      <c r="H10" s="169">
        <f>H81+D124</f>
        <v>12162</v>
      </c>
      <c r="I10" s="91">
        <f>(H10-H11)/H11</f>
        <v>-2.8344034429351622E-3</v>
      </c>
      <c r="J10" s="169">
        <f>J81+B124</f>
        <v>5612.2800000000007</v>
      </c>
      <c r="K10" s="91">
        <f>(J10-J11)/J11</f>
        <v>6.0553912342028605E-3</v>
      </c>
      <c r="L10" s="169">
        <f>L81+B124</f>
        <v>11974.68</v>
      </c>
      <c r="M10" s="113">
        <f t="shared" ref="M10:M22" si="19">(L10-L11)/L11</f>
        <v>-1.8854242204495164E-3</v>
      </c>
      <c r="N10" s="169">
        <f>N81+D124</f>
        <v>5391.6</v>
      </c>
      <c r="O10" s="91">
        <f t="shared" ref="O10:O19" si="20">(N10-N11)/N11</f>
        <v>-4.1686906765025311E-3</v>
      </c>
      <c r="P10" s="169">
        <f>P81+D124</f>
        <v>11728.8</v>
      </c>
      <c r="Q10" s="113">
        <f t="shared" ref="Q10:Q19" si="21">(P10-P11)/P11</f>
        <v>-2.9387836988889844E-3</v>
      </c>
      <c r="R10" s="169">
        <f>R81+F124</f>
        <v>5146.8</v>
      </c>
      <c r="S10" s="91">
        <f t="shared" ref="S10:S18" si="22">(R10-R11)/R11</f>
        <v>-0.12353121487687743</v>
      </c>
      <c r="T10" s="169">
        <f>T81+F124</f>
        <v>5146.8</v>
      </c>
      <c r="U10" s="113">
        <f t="shared" ref="U10:U18" si="23">(T10-T11)/T11</f>
        <v>-0.12353121487687743</v>
      </c>
      <c r="V10" s="169">
        <f>V81+B124</f>
        <v>11721.48</v>
      </c>
      <c r="W10" s="91">
        <f>(V10-V11)/V11</f>
        <v>-5.9854201304518362E-4</v>
      </c>
      <c r="X10" s="169">
        <f>X81+B124</f>
        <v>25989.48</v>
      </c>
      <c r="Y10" s="94">
        <f>(X10-X11)/X11</f>
        <v>-2.7003635104727315E-4</v>
      </c>
    </row>
    <row r="11" spans="1:25" x14ac:dyDescent="0.2">
      <c r="A11" s="72">
        <v>2020</v>
      </c>
      <c r="B11" s="169">
        <v>5160</v>
      </c>
      <c r="C11" s="91">
        <v>0</v>
      </c>
      <c r="D11" s="169">
        <v>13098</v>
      </c>
      <c r="E11" s="95">
        <v>0</v>
      </c>
      <c r="F11" s="169">
        <v>4754.32</v>
      </c>
      <c r="G11" s="91">
        <v>0</v>
      </c>
      <c r="H11" s="169">
        <v>12196.57</v>
      </c>
      <c r="I11" s="91">
        <v>0</v>
      </c>
      <c r="J11" s="169">
        <v>5578.5</v>
      </c>
      <c r="K11" s="91">
        <v>0</v>
      </c>
      <c r="L11" s="169">
        <v>11997.3</v>
      </c>
      <c r="M11" s="113">
        <v>0</v>
      </c>
      <c r="N11" s="169">
        <v>5414.17</v>
      </c>
      <c r="O11" s="91">
        <v>0</v>
      </c>
      <c r="P11" s="169">
        <v>11763.369999999999</v>
      </c>
      <c r="Q11" s="113">
        <v>0</v>
      </c>
      <c r="R11" s="169">
        <v>5872.2</v>
      </c>
      <c r="S11" s="91">
        <v>0</v>
      </c>
      <c r="T11" s="169">
        <v>5872.2</v>
      </c>
      <c r="U11" s="113">
        <v>0</v>
      </c>
      <c r="V11" s="169">
        <v>11728.5</v>
      </c>
      <c r="W11" s="91">
        <v>0</v>
      </c>
      <c r="X11" s="169">
        <v>25996.5</v>
      </c>
      <c r="Y11" s="94">
        <v>0</v>
      </c>
    </row>
    <row r="12" spans="1:25" x14ac:dyDescent="0.2">
      <c r="A12" s="72">
        <v>2019</v>
      </c>
      <c r="B12" s="169">
        <f>B83+B126</f>
        <v>5160</v>
      </c>
      <c r="C12" s="91">
        <f>(B12-B13)/B13</f>
        <v>5.553931598947676E-3</v>
      </c>
      <c r="D12" s="169">
        <f>D83+B126</f>
        <v>13098</v>
      </c>
      <c r="E12" s="95">
        <f>(D12-D13)/D13</f>
        <v>1.6649202468273373E-2</v>
      </c>
      <c r="F12" s="169">
        <f>+F83+D126</f>
        <v>4754.32</v>
      </c>
      <c r="G12" s="91">
        <f>(F12-F13)/F13</f>
        <v>2.0617081883466434E-4</v>
      </c>
      <c r="H12" s="169">
        <f>H83+D126</f>
        <v>12196.57</v>
      </c>
      <c r="I12" s="91">
        <f>(H12-H13)/H13</f>
        <v>1.4682086407006899E-2</v>
      </c>
      <c r="J12" s="169">
        <f>J83+B126</f>
        <v>5578.5</v>
      </c>
      <c r="K12" s="91">
        <f>(J12-J13)/J13</f>
        <v>1.9015782551512563E-2</v>
      </c>
      <c r="L12" s="169">
        <f>L83+B126</f>
        <v>11997.3</v>
      </c>
      <c r="M12" s="113">
        <f t="shared" si="19"/>
        <v>1.6858218063466202E-2</v>
      </c>
      <c r="N12" s="169">
        <f>N83+D126</f>
        <v>5414.17</v>
      </c>
      <c r="O12" s="91">
        <f t="shared" si="20"/>
        <v>1.4119304186903795E-2</v>
      </c>
      <c r="P12" s="169">
        <f>P83+D126</f>
        <v>11763.369999999999</v>
      </c>
      <c r="Q12" s="113">
        <f t="shared" si="21"/>
        <v>1.4574289807398196E-2</v>
      </c>
      <c r="R12" s="169">
        <f>R83+F126</f>
        <v>5872.2</v>
      </c>
      <c r="S12" s="91">
        <f t="shared" si="22"/>
        <v>1.3042128144084368E-2</v>
      </c>
      <c r="T12" s="169">
        <f>T83+F126</f>
        <v>5872.2</v>
      </c>
      <c r="U12" s="113">
        <f t="shared" si="23"/>
        <v>1.3042128144084368E-2</v>
      </c>
      <c r="V12" s="169">
        <f>V83+B126</f>
        <v>11728.5</v>
      </c>
      <c r="W12" s="91">
        <f>(V12-V13)/V13</f>
        <v>2.435897435897436E-3</v>
      </c>
      <c r="X12" s="169">
        <f>X83+B126</f>
        <v>25996.5</v>
      </c>
      <c r="Y12" s="94">
        <f>(X12-X13)/X13</f>
        <v>1.0975046210720887E-3</v>
      </c>
    </row>
    <row r="13" spans="1:25" s="97" customFormat="1" x14ac:dyDescent="0.2">
      <c r="A13" s="72">
        <v>2018</v>
      </c>
      <c r="B13" s="169">
        <v>5131.5</v>
      </c>
      <c r="C13" s="91">
        <f>(B13-B14)/B14</f>
        <v>1.2629501726689689E-2</v>
      </c>
      <c r="D13" s="169">
        <v>12883.5</v>
      </c>
      <c r="E13" s="95">
        <f>(D13-D14)/D14</f>
        <v>1.1740223024972515E-2</v>
      </c>
      <c r="F13" s="169">
        <v>4753.34</v>
      </c>
      <c r="G13" s="91">
        <f>(F13-F14)/F14</f>
        <v>0</v>
      </c>
      <c r="H13" s="169">
        <v>12020.09</v>
      </c>
      <c r="I13" s="91">
        <f>(H13-H14)/H14</f>
        <v>0</v>
      </c>
      <c r="J13" s="169">
        <v>5474.4</v>
      </c>
      <c r="K13" s="91">
        <f>(J13-J14)/J14</f>
        <v>1.2615145573600647E-2</v>
      </c>
      <c r="L13" s="169">
        <v>11798.4</v>
      </c>
      <c r="M13" s="113">
        <f t="shared" si="19"/>
        <v>1.1713457613747482E-2</v>
      </c>
      <c r="N13" s="169">
        <v>5338.79</v>
      </c>
      <c r="O13" s="91">
        <f t="shared" si="20"/>
        <v>0</v>
      </c>
      <c r="P13" s="169">
        <v>11594.39</v>
      </c>
      <c r="Q13" s="113">
        <f t="shared" si="21"/>
        <v>0</v>
      </c>
      <c r="R13" s="169">
        <v>5796.6</v>
      </c>
      <c r="S13" s="91">
        <f t="shared" si="22"/>
        <v>7.8589560802588467E-3</v>
      </c>
      <c r="T13" s="169">
        <v>5796.6</v>
      </c>
      <c r="U13" s="113">
        <f t="shared" si="23"/>
        <v>7.8589560802588467E-3</v>
      </c>
      <c r="V13" s="169">
        <v>11700</v>
      </c>
      <c r="W13" s="91">
        <f>(V13-V14)/V14</f>
        <v>1.1123470522803114E-3</v>
      </c>
      <c r="X13" s="169">
        <v>25968</v>
      </c>
      <c r="Y13" s="94">
        <f>(X13-X14)/X14</f>
        <v>5.0086688499325759E-4</v>
      </c>
    </row>
    <row r="14" spans="1:25" s="97" customFormat="1" x14ac:dyDescent="0.2">
      <c r="A14" s="72">
        <v>2017</v>
      </c>
      <c r="B14" s="169">
        <v>5067.5</v>
      </c>
      <c r="C14" s="91">
        <f>(B14-B15)/B15</f>
        <v>2.6485035701625564E-2</v>
      </c>
      <c r="D14" s="169">
        <v>12734</v>
      </c>
      <c r="E14" s="95">
        <f>(D14-D15)/D15</f>
        <v>2.7992492280368927E-2</v>
      </c>
      <c r="F14" s="169">
        <v>4753.34</v>
      </c>
      <c r="G14" s="91">
        <f>(F14-F15)/F15</f>
        <v>2.6408754836926517E-2</v>
      </c>
      <c r="H14" s="169">
        <v>12020.09</v>
      </c>
      <c r="I14" s="91">
        <f>(H14-H15)/H15</f>
        <v>2.7969629796870552E-2</v>
      </c>
      <c r="J14" s="169">
        <v>5406.2</v>
      </c>
      <c r="K14" s="91">
        <f>(J14-J15)/J15</f>
        <v>2.6711359687022356E-2</v>
      </c>
      <c r="L14" s="169">
        <v>11661.8</v>
      </c>
      <c r="M14" s="113">
        <f t="shared" si="19"/>
        <v>2.7946847660812207E-2</v>
      </c>
      <c r="N14" s="169">
        <v>5338.79</v>
      </c>
      <c r="O14" s="91">
        <f t="shared" si="20"/>
        <v>2.6721976060802014E-2</v>
      </c>
      <c r="P14" s="169">
        <v>11594.39</v>
      </c>
      <c r="Q14" s="113">
        <f t="shared" si="21"/>
        <v>2.795893976792338E-2</v>
      </c>
      <c r="R14" s="169">
        <v>5751.4</v>
      </c>
      <c r="S14" s="91">
        <f t="shared" si="22"/>
        <v>2.6852347795036702E-2</v>
      </c>
      <c r="T14" s="169">
        <v>5751.4</v>
      </c>
      <c r="U14" s="113">
        <f t="shared" si="23"/>
        <v>2.6852347795036702E-2</v>
      </c>
      <c r="V14" s="169">
        <v>11687</v>
      </c>
      <c r="W14" s="91">
        <f>(V14-V15)/V15</f>
        <v>2.1391747063982716E-5</v>
      </c>
      <c r="X14" s="169">
        <v>25955</v>
      </c>
      <c r="Y14" s="94">
        <f>(X14-X15)/X15</f>
        <v>9.632148258025987E-6</v>
      </c>
    </row>
    <row r="15" spans="1:25" s="97" customFormat="1" x14ac:dyDescent="0.2">
      <c r="A15" s="72">
        <v>2016</v>
      </c>
      <c r="B15" s="169">
        <f>B86+B129</f>
        <v>4936.75</v>
      </c>
      <c r="C15" s="91">
        <f>(B15-B16)/B16</f>
        <v>5.6034482758620649E-2</v>
      </c>
      <c r="D15" s="169">
        <f>D86+B129</f>
        <v>12387.25</v>
      </c>
      <c r="E15" s="95">
        <f>(D15-D16)/D16</f>
        <v>5.7446881162340112E-2</v>
      </c>
      <c r="F15" s="169">
        <f>F86+D129</f>
        <v>4631.04</v>
      </c>
      <c r="G15" s="91">
        <f>(F15-F16)/F16</f>
        <v>5.3217619125593585E-2</v>
      </c>
      <c r="H15" s="169">
        <f>H86+D129</f>
        <v>11693.04</v>
      </c>
      <c r="I15" s="91">
        <f>(H15-H16)/H16</f>
        <v>5.6373452440320021E-2</v>
      </c>
      <c r="J15" s="169">
        <f>J86+B129</f>
        <v>5265.5499999999993</v>
      </c>
      <c r="K15" s="91">
        <f>(J15-J16)/J16</f>
        <v>5.6088168635551994E-2</v>
      </c>
      <c r="L15" s="169">
        <f>L86+B129</f>
        <v>11344.75</v>
      </c>
      <c r="M15" s="113">
        <f t="shared" si="19"/>
        <v>5.7381327417956915E-2</v>
      </c>
      <c r="N15" s="169">
        <f>N86+D129</f>
        <v>5199.8399999999992</v>
      </c>
      <c r="O15" s="91">
        <f t="shared" si="20"/>
        <v>5.374252225086306E-2</v>
      </c>
      <c r="P15" s="169">
        <f>P86+D129</f>
        <v>11279.04</v>
      </c>
      <c r="Q15" s="113">
        <f t="shared" si="21"/>
        <v>5.6303522060641542E-2</v>
      </c>
      <c r="R15" s="169">
        <f>R86+F129</f>
        <v>5600.9999999999991</v>
      </c>
      <c r="S15" s="91">
        <f t="shared" si="22"/>
        <v>4.9702012819070975E-2</v>
      </c>
      <c r="T15" s="169">
        <f>T86+F129</f>
        <v>5600.9999999999991</v>
      </c>
      <c r="U15" s="113">
        <f t="shared" si="23"/>
        <v>4.9702012819070975E-2</v>
      </c>
      <c r="V15" s="169">
        <f>V86+B129</f>
        <v>11686.75</v>
      </c>
      <c r="W15" s="91">
        <f>(V15-V16)/V16</f>
        <v>3.0186966141586589E-2</v>
      </c>
      <c r="X15" s="169">
        <f>X86+B129</f>
        <v>25954.75</v>
      </c>
      <c r="Y15" s="94">
        <f>(X15-X16)/X16</f>
        <v>3.0101641907740451E-2</v>
      </c>
    </row>
    <row r="16" spans="1:25" x14ac:dyDescent="0.2">
      <c r="A16" s="72">
        <v>2015</v>
      </c>
      <c r="B16" s="169">
        <f>B87+B130</f>
        <v>4674.8</v>
      </c>
      <c r="C16" s="91">
        <f>(B16-B17)/B17</f>
        <v>3.4888869211015756E-2</v>
      </c>
      <c r="D16" s="169">
        <f>D87+B130</f>
        <v>11714.3</v>
      </c>
      <c r="E16" s="95">
        <f>(D16-D17)/D17</f>
        <v>3.5545694029454795E-2</v>
      </c>
      <c r="F16" s="169">
        <f>F87+D130</f>
        <v>4397.04</v>
      </c>
      <c r="G16" s="91">
        <f>(F16-F17)/F17</f>
        <v>3.2736291765899608E-2</v>
      </c>
      <c r="H16" s="169">
        <f>H87+D130</f>
        <v>11069.04</v>
      </c>
      <c r="I16" s="91">
        <f>(H16-H17)/H17</f>
        <v>3.4764367364795982E-2</v>
      </c>
      <c r="J16" s="169">
        <f>J87+B130</f>
        <v>4985.9000000000005</v>
      </c>
      <c r="K16" s="91">
        <f>(J16-J17)/J17</f>
        <v>3.5084805580352506E-2</v>
      </c>
      <c r="L16" s="169">
        <f>L87+B130</f>
        <v>10729.099999999999</v>
      </c>
      <c r="M16" s="113">
        <f t="shared" si="19"/>
        <v>3.5537453310040344E-2</v>
      </c>
      <c r="N16" s="169">
        <f>N87+D130</f>
        <v>4934.6400000000003</v>
      </c>
      <c r="O16" s="91">
        <f t="shared" si="20"/>
        <v>3.3138205662889678E-2</v>
      </c>
      <c r="P16" s="169">
        <f>P87+D130</f>
        <v>10677.84</v>
      </c>
      <c r="Q16" s="113">
        <f t="shared" si="21"/>
        <v>3.4638326570003326E-2</v>
      </c>
      <c r="R16" s="169">
        <f>R87+F130</f>
        <v>5335.8</v>
      </c>
      <c r="S16" s="91">
        <f t="shared" si="22"/>
        <v>3.0594506895352806E-2</v>
      </c>
      <c r="T16" s="169">
        <f>T87+F130</f>
        <v>5335.8</v>
      </c>
      <c r="U16" s="113">
        <f t="shared" si="23"/>
        <v>3.0594506895352806E-2</v>
      </c>
      <c r="V16" s="169">
        <f>V87+B130</f>
        <v>11344.3</v>
      </c>
      <c r="W16" s="91">
        <f>(V16-V17)/V17</f>
        <v>2.9830151511025037E-2</v>
      </c>
      <c r="X16" s="169">
        <f>X87+B130</f>
        <v>25196.3</v>
      </c>
      <c r="Y16" s="94">
        <f>(X16-X17)/X17</f>
        <v>2.9862215264635734E-2</v>
      </c>
    </row>
    <row r="17" spans="1:25" x14ac:dyDescent="0.2">
      <c r="A17" s="72">
        <v>2014</v>
      </c>
      <c r="B17" s="169">
        <f>B88+405.7</f>
        <v>4517.2</v>
      </c>
      <c r="C17" s="91">
        <f t="shared" ref="C17:C22" si="24">(B17-B18)/B18</f>
        <v>5.2298087450788552E-2</v>
      </c>
      <c r="D17" s="169">
        <f>D88+405.7</f>
        <v>11312.2</v>
      </c>
      <c r="E17" s="95">
        <f t="shared" ref="E17:E22" si="25">(D17-D18)/D18</f>
        <v>5.9671013189448438E-2</v>
      </c>
      <c r="F17" s="169">
        <f>F88+365.16</f>
        <v>4257.66</v>
      </c>
      <c r="G17" s="91">
        <f t="shared" ref="G17:G22" si="26">(F17-F18)/F18</f>
        <v>5.658045591935796E-2</v>
      </c>
      <c r="H17" s="169">
        <f>H88+365.16</f>
        <v>10697.16</v>
      </c>
      <c r="I17" s="91">
        <f t="shared" ref="I17:I22" si="27">(H17-H18)/H18</f>
        <v>5.2542713093171808E-2</v>
      </c>
      <c r="J17" s="169">
        <f>J88+405.7</f>
        <v>4816.9000000000005</v>
      </c>
      <c r="K17" s="91">
        <f t="shared" ref="K17:K22" si="28">(J17-J18)/J18</f>
        <v>5.1977549193037625E-2</v>
      </c>
      <c r="L17" s="169">
        <f>L88+405.7</f>
        <v>10360.900000000001</v>
      </c>
      <c r="M17" s="113">
        <f t="shared" si="19"/>
        <v>5.0918459463023251E-2</v>
      </c>
      <c r="N17" s="169">
        <f>N88+D131</f>
        <v>4776.3600000000006</v>
      </c>
      <c r="O17" s="91">
        <f t="shared" si="20"/>
        <v>5.5698485531655302E-2</v>
      </c>
      <c r="P17" s="169">
        <f>P88+D131</f>
        <v>10320.36</v>
      </c>
      <c r="Q17" s="113">
        <f t="shared" si="21"/>
        <v>5.262964640221289E-2</v>
      </c>
      <c r="R17" s="169">
        <f>R88+F131</f>
        <v>5177.4000000000005</v>
      </c>
      <c r="S17" s="91">
        <f t="shared" si="22"/>
        <v>4.2275637154245677E-2</v>
      </c>
      <c r="T17" s="169">
        <f>T88+F131</f>
        <v>5177.4000000000005</v>
      </c>
      <c r="U17" s="113">
        <f t="shared" si="23"/>
        <v>4.2275637154245677E-2</v>
      </c>
      <c r="V17" s="169">
        <f>V88+405.7</f>
        <v>11015.7</v>
      </c>
      <c r="W17" s="91">
        <f t="shared" ref="W17:W22" si="29">(V17-V18)/V18</f>
        <v>3.6703464242355793E-2</v>
      </c>
      <c r="X17" s="169">
        <f>X88+405.7</f>
        <v>24465.7</v>
      </c>
      <c r="Y17" s="94">
        <f t="shared" ref="Y17:Y22" si="30">(X17-X18)/X18</f>
        <v>3.5817559071453065E-2</v>
      </c>
    </row>
    <row r="18" spans="1:25" x14ac:dyDescent="0.2">
      <c r="A18" s="72">
        <v>2013</v>
      </c>
      <c r="B18" s="169">
        <f>(261*15)+377.7</f>
        <v>4292.7</v>
      </c>
      <c r="C18" s="91">
        <f t="shared" si="24"/>
        <v>6.6959958243233073E-2</v>
      </c>
      <c r="D18" s="169">
        <v>10675.2</v>
      </c>
      <c r="E18" s="95">
        <f t="shared" si="25"/>
        <v>5.9804622349297266E-2</v>
      </c>
      <c r="F18" s="169">
        <f>323.16+(247.1*15)</f>
        <v>4029.66</v>
      </c>
      <c r="G18" s="91">
        <f t="shared" si="26"/>
        <v>6.0810917534077809E-2</v>
      </c>
      <c r="H18" s="169">
        <f>(656*15)+323.16</f>
        <v>10163.16</v>
      </c>
      <c r="I18" s="91">
        <f t="shared" si="27"/>
        <v>6.6438614900314774E-2</v>
      </c>
      <c r="J18" s="169">
        <f>J89+B132</f>
        <v>4578.9000000000005</v>
      </c>
      <c r="K18" s="91">
        <f t="shared" si="28"/>
        <v>6.7019318155337626E-2</v>
      </c>
      <c r="L18" s="169">
        <f>L89+B132</f>
        <v>9858.9000000000015</v>
      </c>
      <c r="M18" s="113">
        <f t="shared" si="19"/>
        <v>6.8622775260682237E-2</v>
      </c>
      <c r="N18" s="169">
        <f>N89+D132</f>
        <v>4524.3600000000006</v>
      </c>
      <c r="O18" s="91">
        <f t="shared" si="20"/>
        <v>6.4640465354875623E-2</v>
      </c>
      <c r="P18" s="169">
        <f>P89+D132</f>
        <v>9804.36</v>
      </c>
      <c r="Q18" s="113">
        <f t="shared" si="21"/>
        <v>6.7529311336039524E-2</v>
      </c>
      <c r="R18" s="169">
        <f>R89+F132</f>
        <v>4967.4000000000005</v>
      </c>
      <c r="S18" s="91">
        <f t="shared" si="22"/>
        <v>5.8537728812837114E-2</v>
      </c>
      <c r="T18" s="169">
        <f>T89+F132</f>
        <v>4967.4000000000005</v>
      </c>
      <c r="U18" s="113">
        <f t="shared" si="23"/>
        <v>5.8537728812837114E-2</v>
      </c>
      <c r="V18" s="169">
        <f>V89+B132</f>
        <v>10625.7</v>
      </c>
      <c r="W18" s="91">
        <f t="shared" si="29"/>
        <v>3.1120815138282458E-2</v>
      </c>
      <c r="X18" s="169">
        <f>X89+B132</f>
        <v>23619.7</v>
      </c>
      <c r="Y18" s="94">
        <f t="shared" si="30"/>
        <v>3.0482963221499966E-2</v>
      </c>
    </row>
    <row r="19" spans="1:25" x14ac:dyDescent="0.2">
      <c r="A19" s="72">
        <v>2012</v>
      </c>
      <c r="B19" s="169">
        <v>4023.3</v>
      </c>
      <c r="C19" s="91">
        <f t="shared" si="24"/>
        <v>5.0881546297505596E-2</v>
      </c>
      <c r="D19" s="169">
        <v>10072.799999999999</v>
      </c>
      <c r="E19" s="95">
        <f t="shared" si="25"/>
        <v>5.347487318935306E-2</v>
      </c>
      <c r="F19" s="169">
        <v>3798.66</v>
      </c>
      <c r="G19" s="91">
        <f t="shared" si="26"/>
        <v>5.0223942493779337E-2</v>
      </c>
      <c r="H19" s="169">
        <v>9530</v>
      </c>
      <c r="I19" s="91">
        <f t="shared" si="27"/>
        <v>5.3038674033149172E-2</v>
      </c>
      <c r="J19" s="169">
        <v>4291.3</v>
      </c>
      <c r="K19" s="91">
        <f t="shared" si="28"/>
        <v>5.1273885350318515E-2</v>
      </c>
      <c r="L19" s="169">
        <v>9225.7999999999993</v>
      </c>
      <c r="M19" s="113">
        <f t="shared" si="19"/>
        <v>5.3233632056624153E-2</v>
      </c>
      <c r="N19" s="169">
        <f>N90+D133</f>
        <v>4249.66</v>
      </c>
      <c r="O19" s="91">
        <f t="shared" si="20"/>
        <v>5.0814013293242602E-2</v>
      </c>
      <c r="P19" s="169">
        <f>P90+D133</f>
        <v>9184.16</v>
      </c>
      <c r="Q19" s="113">
        <f t="shared" si="21"/>
        <v>5.2968530730919866E-2</v>
      </c>
      <c r="R19" s="169">
        <f>R90+F133</f>
        <v>4692.7</v>
      </c>
      <c r="S19" s="91"/>
      <c r="T19" s="169">
        <f>T90+F133</f>
        <v>4692.7</v>
      </c>
      <c r="U19" s="113"/>
      <c r="V19" s="169">
        <v>10305</v>
      </c>
      <c r="W19" s="91">
        <f t="shared" si="29"/>
        <v>5.3411704574495275E-2</v>
      </c>
      <c r="X19" s="169">
        <v>22921</v>
      </c>
      <c r="Y19" s="94">
        <f t="shared" si="30"/>
        <v>2.9948999078837989E-2</v>
      </c>
    </row>
    <row r="20" spans="1:25" x14ac:dyDescent="0.2">
      <c r="A20" s="72">
        <v>2011</v>
      </c>
      <c r="B20" s="169">
        <f>7657/2</f>
        <v>3828.5</v>
      </c>
      <c r="C20" s="91">
        <f t="shared" si="24"/>
        <v>3.8096529284164862E-2</v>
      </c>
      <c r="D20" s="169">
        <f>19123/2</f>
        <v>9561.5</v>
      </c>
      <c r="E20" s="95">
        <f t="shared" si="25"/>
        <v>3.9067594001304065E-2</v>
      </c>
      <c r="F20" s="169">
        <f>7234/2</f>
        <v>3617</v>
      </c>
      <c r="G20" s="91">
        <f t="shared" si="26"/>
        <v>4.6537197351974487E-2</v>
      </c>
      <c r="H20" s="169">
        <f>18100/2</f>
        <v>9050</v>
      </c>
      <c r="I20" s="91">
        <f t="shared" si="27"/>
        <v>4.3930438473854465E-2</v>
      </c>
      <c r="J20" s="169">
        <f>8164/2</f>
        <v>4082</v>
      </c>
      <c r="K20" s="91">
        <f t="shared" si="28"/>
        <v>3.8280554495739541E-2</v>
      </c>
      <c r="L20" s="169">
        <f>17519/2</f>
        <v>8759.5</v>
      </c>
      <c r="M20" s="113">
        <f t="shared" si="19"/>
        <v>3.9024968863056758E-2</v>
      </c>
      <c r="N20" s="169">
        <f>N91+D134</f>
        <v>4044.16</v>
      </c>
      <c r="O20" s="91"/>
      <c r="P20" s="169">
        <f>P91+D134</f>
        <v>8722.16</v>
      </c>
      <c r="Q20" s="113"/>
      <c r="R20" s="132"/>
      <c r="S20" s="133"/>
      <c r="T20" s="154"/>
      <c r="U20" s="135"/>
      <c r="V20" s="169">
        <f>19565/2</f>
        <v>9782.5</v>
      </c>
      <c r="W20" s="91">
        <f t="shared" si="29"/>
        <v>4.872427101200686E-2</v>
      </c>
      <c r="X20" s="169">
        <f>44509/2</f>
        <v>22254.5</v>
      </c>
      <c r="Y20" s="94">
        <f t="shared" si="30"/>
        <v>4.9443553711213804E-2</v>
      </c>
    </row>
    <row r="21" spans="1:25" s="92" customFormat="1" x14ac:dyDescent="0.2">
      <c r="A21" s="72">
        <v>2010</v>
      </c>
      <c r="B21" s="169">
        <f>7376/2</f>
        <v>3688</v>
      </c>
      <c r="C21" s="91">
        <f t="shared" si="24"/>
        <v>7.3731712642841549E-2</v>
      </c>
      <c r="D21" s="169">
        <f>18404/2</f>
        <v>9202</v>
      </c>
      <c r="E21" s="95">
        <f t="shared" si="25"/>
        <v>4.7079907831479535E-2</v>
      </c>
      <c r="F21" s="169">
        <f>6912.32/2</f>
        <v>3456.16</v>
      </c>
      <c r="G21" s="91">
        <f t="shared" si="26"/>
        <v>7.2955084503719167E-2</v>
      </c>
      <c r="H21" s="169">
        <f>17338.32/2</f>
        <v>8669.16</v>
      </c>
      <c r="I21" s="91">
        <f t="shared" si="27"/>
        <v>4.7106228168075026E-2</v>
      </c>
      <c r="J21" s="169">
        <f>7863/2</f>
        <v>3931.5</v>
      </c>
      <c r="K21" s="91">
        <f t="shared" si="28"/>
        <v>6.2337872892347546E-2</v>
      </c>
      <c r="L21" s="169">
        <f>16861/2</f>
        <v>8430.5</v>
      </c>
      <c r="M21" s="113">
        <f t="shared" si="19"/>
        <v>4.482698790402536E-2</v>
      </c>
      <c r="N21" s="132"/>
      <c r="O21" s="133"/>
      <c r="P21" s="154"/>
      <c r="Q21" s="135"/>
      <c r="R21" s="132"/>
      <c r="S21" s="133"/>
      <c r="T21" s="154"/>
      <c r="U21" s="135"/>
      <c r="V21" s="169">
        <v>9328</v>
      </c>
      <c r="W21" s="91">
        <f t="shared" si="29"/>
        <v>5.2613761390244589E-2</v>
      </c>
      <c r="X21" s="169">
        <f>42412/2</f>
        <v>21206</v>
      </c>
      <c r="Y21" s="94">
        <f t="shared" si="30"/>
        <v>3.9815632048641754E-2</v>
      </c>
    </row>
    <row r="22" spans="1:25" x14ac:dyDescent="0.2">
      <c r="A22" s="72">
        <v>2009</v>
      </c>
      <c r="B22" s="169">
        <v>3434.75</v>
      </c>
      <c r="C22" s="78">
        <f t="shared" si="24"/>
        <v>3.6592726724007846E-2</v>
      </c>
      <c r="D22" s="169">
        <v>8788.25</v>
      </c>
      <c r="E22" s="79">
        <f t="shared" si="25"/>
        <v>3.8064020789038505E-2</v>
      </c>
      <c r="F22" s="169">
        <v>3221.16</v>
      </c>
      <c r="G22" s="78">
        <f t="shared" si="26"/>
        <v>3.5190220011183743E-2</v>
      </c>
      <c r="H22" s="169">
        <v>8279.16</v>
      </c>
      <c r="I22" s="78">
        <f t="shared" si="27"/>
        <v>3.759794264057871E-2</v>
      </c>
      <c r="J22" s="169">
        <v>3700.8</v>
      </c>
      <c r="K22" s="78">
        <f t="shared" si="28"/>
        <v>3.6783863286174584E-2</v>
      </c>
      <c r="L22" s="169">
        <v>8068.8</v>
      </c>
      <c r="M22" s="114">
        <f t="shared" si="19"/>
        <v>3.798803627709528E-2</v>
      </c>
      <c r="N22" s="132"/>
      <c r="O22" s="155"/>
      <c r="P22" s="154"/>
      <c r="Q22" s="139"/>
      <c r="R22" s="132"/>
      <c r="S22" s="155"/>
      <c r="T22" s="154"/>
      <c r="U22" s="139"/>
      <c r="V22" s="169">
        <v>8861.75</v>
      </c>
      <c r="W22" s="78">
        <f t="shared" si="29"/>
        <v>3.8101095296667255E-2</v>
      </c>
      <c r="X22" s="169">
        <f>40788/2</f>
        <v>20394</v>
      </c>
      <c r="Y22" s="81">
        <f t="shared" si="30"/>
        <v>3.8576120999159726E-2</v>
      </c>
    </row>
    <row r="23" spans="1:25" x14ac:dyDescent="0.2">
      <c r="A23" s="72">
        <v>2008</v>
      </c>
      <c r="B23" s="169">
        <v>3313.5</v>
      </c>
      <c r="C23" s="71">
        <v>6.2870890136327184E-2</v>
      </c>
      <c r="D23" s="169">
        <v>8466</v>
      </c>
      <c r="E23" s="20">
        <v>6.0237946149029428E-2</v>
      </c>
      <c r="F23" s="169">
        <v>3111.66</v>
      </c>
      <c r="G23" s="54">
        <v>0</v>
      </c>
      <c r="H23" s="169">
        <v>7979.16</v>
      </c>
      <c r="I23" s="54">
        <v>0</v>
      </c>
      <c r="J23" s="169">
        <v>3569.5</v>
      </c>
      <c r="K23" s="54">
        <v>6.2667460553736232E-2</v>
      </c>
      <c r="L23" s="169">
        <v>7773.5</v>
      </c>
      <c r="M23" s="115">
        <v>6.0360114581912427E-2</v>
      </c>
      <c r="N23" s="152"/>
      <c r="O23" s="156"/>
      <c r="P23" s="104"/>
      <c r="Q23" s="157"/>
      <c r="R23" s="152"/>
      <c r="S23" s="156"/>
      <c r="T23" s="104"/>
      <c r="U23" s="157"/>
      <c r="V23" s="169">
        <v>8536.5</v>
      </c>
      <c r="W23" s="54">
        <v>5.9020408163265307E-2</v>
      </c>
      <c r="X23" s="169">
        <f>39273/2</f>
        <v>19636.5</v>
      </c>
      <c r="Y23" s="16">
        <v>5.8531356083616225E-2</v>
      </c>
    </row>
    <row r="24" spans="1:25" x14ac:dyDescent="0.2">
      <c r="A24" s="70">
        <v>2007</v>
      </c>
      <c r="B24" s="170">
        <v>3117.5</v>
      </c>
      <c r="C24" s="71">
        <v>7.8906385187748743E-2</v>
      </c>
      <c r="D24" s="170">
        <v>7985</v>
      </c>
      <c r="E24" s="20">
        <v>2.9392806497357225E-2</v>
      </c>
      <c r="F24" s="170">
        <v>3111.66</v>
      </c>
      <c r="G24" s="54">
        <v>8.5298733912315558E-2</v>
      </c>
      <c r="H24" s="170">
        <v>7979.16</v>
      </c>
      <c r="I24" s="54">
        <v>3.1618958963617959E-2</v>
      </c>
      <c r="J24" s="170">
        <v>3359</v>
      </c>
      <c r="K24" s="54">
        <v>5.7619647355163728E-2</v>
      </c>
      <c r="L24" s="170">
        <v>7331</v>
      </c>
      <c r="M24" s="115">
        <v>2.5601566871852267E-2</v>
      </c>
      <c r="N24" s="152"/>
      <c r="O24" s="156"/>
      <c r="P24" s="104"/>
      <c r="Q24" s="157"/>
      <c r="R24" s="152"/>
      <c r="S24" s="156"/>
      <c r="T24" s="104"/>
      <c r="U24" s="157"/>
      <c r="V24" s="170">
        <v>6125</v>
      </c>
      <c r="W24" s="54">
        <v>9.2871799446873043E-2</v>
      </c>
      <c r="X24" s="170">
        <f>37110/2</f>
        <v>18555</v>
      </c>
      <c r="Y24" s="16">
        <v>4.9739300048764021E-2</v>
      </c>
    </row>
    <row r="25" spans="1:25" x14ac:dyDescent="0.2">
      <c r="A25" s="46">
        <v>2006</v>
      </c>
      <c r="B25" s="171">
        <v>2889.5</v>
      </c>
      <c r="C25" s="65">
        <v>0.12782982045277128</v>
      </c>
      <c r="D25" s="171">
        <v>7757</v>
      </c>
      <c r="E25" s="67">
        <v>7.3336100733361012E-2</v>
      </c>
      <c r="F25" s="171">
        <v>2867.1</v>
      </c>
      <c r="G25" s="68">
        <v>0.16738599348534197</v>
      </c>
      <c r="H25" s="171">
        <v>7734.6</v>
      </c>
      <c r="I25" s="68">
        <v>8.6167673079623697E-2</v>
      </c>
      <c r="J25" s="171">
        <v>3176</v>
      </c>
      <c r="K25" s="68">
        <v>0.10971348707197764</v>
      </c>
      <c r="L25" s="171">
        <v>7148</v>
      </c>
      <c r="M25" s="116">
        <v>6.8460388639760839E-2</v>
      </c>
      <c r="N25" s="158"/>
      <c r="O25" s="159"/>
      <c r="P25" s="160"/>
      <c r="Q25" s="161"/>
      <c r="R25" s="158"/>
      <c r="S25" s="159"/>
      <c r="T25" s="160"/>
      <c r="U25" s="161"/>
      <c r="V25" s="171">
        <v>5604.5</v>
      </c>
      <c r="W25" s="68">
        <v>0.10281385281385282</v>
      </c>
      <c r="X25" s="171">
        <v>13329.5</v>
      </c>
      <c r="Y25" s="69">
        <v>5.3132653867425141E-2</v>
      </c>
    </row>
    <row r="26" spans="1:25" x14ac:dyDescent="0.2">
      <c r="A26" s="29">
        <v>2005</v>
      </c>
      <c r="B26" s="170">
        <v>2562</v>
      </c>
      <c r="C26" s="18">
        <v>9.8392282958199351E-2</v>
      </c>
      <c r="D26" s="170">
        <v>7227</v>
      </c>
      <c r="E26" s="20">
        <v>7.6648044692737435E-2</v>
      </c>
      <c r="F26" s="170">
        <v>2456</v>
      </c>
      <c r="G26" s="54">
        <v>0.10109840842860346</v>
      </c>
      <c r="H26" s="170">
        <v>7121</v>
      </c>
      <c r="I26" s="54">
        <v>7.7225625898192277E-2</v>
      </c>
      <c r="J26" s="170">
        <v>2862</v>
      </c>
      <c r="K26" s="54">
        <v>9.8445595854922283E-2</v>
      </c>
      <c r="L26" s="170">
        <v>6690</v>
      </c>
      <c r="M26" s="115">
        <v>7.5995174909529548E-2</v>
      </c>
      <c r="N26" s="152"/>
      <c r="O26" s="156"/>
      <c r="P26" s="104"/>
      <c r="Q26" s="157"/>
      <c r="R26" s="152"/>
      <c r="S26" s="156"/>
      <c r="T26" s="104"/>
      <c r="U26" s="157"/>
      <c r="V26" s="170">
        <v>5082</v>
      </c>
      <c r="W26" s="54">
        <v>0.10538336052202284</v>
      </c>
      <c r="X26" s="170">
        <v>12657</v>
      </c>
      <c r="Y26" s="16">
        <v>6.8777707409753003E-2</v>
      </c>
    </row>
    <row r="27" spans="1:25" x14ac:dyDescent="0.2">
      <c r="A27" s="49">
        <v>2004</v>
      </c>
      <c r="B27" s="172">
        <v>2332.5</v>
      </c>
      <c r="C27" s="50">
        <v>0.14901477832512317</v>
      </c>
      <c r="D27" s="172">
        <v>6712.5</v>
      </c>
      <c r="E27" s="51">
        <v>0.12343096234309624</v>
      </c>
      <c r="F27" s="172">
        <v>2230.5</v>
      </c>
      <c r="G27" s="50">
        <v>0.18301298370672095</v>
      </c>
      <c r="H27" s="172">
        <v>6610.5</v>
      </c>
      <c r="I27" s="50">
        <v>0.18484941362455848</v>
      </c>
      <c r="J27" s="172">
        <v>2605.5</v>
      </c>
      <c r="K27" s="50">
        <v>0.15083922261484098</v>
      </c>
      <c r="L27" s="172">
        <v>6217.5</v>
      </c>
      <c r="M27" s="51">
        <v>0.12229241877256318</v>
      </c>
      <c r="N27" s="148"/>
      <c r="O27" s="153"/>
      <c r="P27" s="150"/>
      <c r="Q27" s="151"/>
      <c r="R27" s="148"/>
      <c r="S27" s="153"/>
      <c r="T27" s="150"/>
      <c r="U27" s="151"/>
      <c r="V27" s="172">
        <v>4597.5</v>
      </c>
      <c r="W27" s="50">
        <v>0.13799504950495051</v>
      </c>
      <c r="X27" s="172">
        <v>11842.5</v>
      </c>
      <c r="Y27" s="52">
        <v>6.8215131356409969E-2</v>
      </c>
    </row>
    <row r="28" spans="1:25" x14ac:dyDescent="0.2">
      <c r="A28" s="29">
        <v>2003</v>
      </c>
      <c r="B28" s="170">
        <v>2030</v>
      </c>
      <c r="C28" s="18">
        <v>0.17903296065050095</v>
      </c>
      <c r="D28" s="170">
        <v>5975</v>
      </c>
      <c r="E28" s="20">
        <v>0.1164572336151726</v>
      </c>
      <c r="F28" s="170">
        <v>1885.44</v>
      </c>
      <c r="G28" s="18">
        <v>0.21824419934482156</v>
      </c>
      <c r="H28" s="170">
        <v>5579.19</v>
      </c>
      <c r="I28" s="18">
        <v>0.18746089110807451</v>
      </c>
      <c r="J28" s="170">
        <v>2264</v>
      </c>
      <c r="K28" s="18">
        <v>0.1808887961610682</v>
      </c>
      <c r="L28" s="170">
        <v>5540</v>
      </c>
      <c r="M28" s="20">
        <v>0.11603545527800162</v>
      </c>
      <c r="N28" s="152"/>
      <c r="O28" s="103"/>
      <c r="P28" s="104"/>
      <c r="Q28" s="143"/>
      <c r="R28" s="152"/>
      <c r="S28" s="103"/>
      <c r="T28" s="104"/>
      <c r="U28" s="143"/>
      <c r="V28" s="170">
        <v>4040</v>
      </c>
      <c r="W28" s="18">
        <v>0.18893466745144202</v>
      </c>
      <c r="X28" s="170">
        <v>11086.25</v>
      </c>
      <c r="Y28" s="16">
        <v>9.8709149921954356E-2</v>
      </c>
    </row>
    <row r="29" spans="1:25" x14ac:dyDescent="0.2">
      <c r="A29" s="49">
        <v>2002</v>
      </c>
      <c r="B29" s="172">
        <v>1721.75</v>
      </c>
      <c r="C29" s="50">
        <v>0.2146384479717813</v>
      </c>
      <c r="D29" s="172">
        <v>5351.75</v>
      </c>
      <c r="E29" s="51">
        <v>9.6445400532677736E-2</v>
      </c>
      <c r="F29" s="172">
        <v>1547.67</v>
      </c>
      <c r="G29" s="50">
        <v>0.28251864125932064</v>
      </c>
      <c r="H29" s="172">
        <v>4698.42</v>
      </c>
      <c r="I29" s="50">
        <v>0.18916867012526889</v>
      </c>
      <c r="J29" s="172">
        <v>1917.2</v>
      </c>
      <c r="K29" s="50">
        <v>0.1892059553349876</v>
      </c>
      <c r="L29" s="172">
        <v>4964</v>
      </c>
      <c r="M29" s="51">
        <v>9.2429577464788734E-2</v>
      </c>
      <c r="N29" s="148"/>
      <c r="O29" s="153"/>
      <c r="P29" s="150"/>
      <c r="Q29" s="151"/>
      <c r="R29" s="148"/>
      <c r="S29" s="153"/>
      <c r="T29" s="150"/>
      <c r="U29" s="151"/>
      <c r="V29" s="172">
        <v>3398</v>
      </c>
      <c r="W29" s="50">
        <v>0.18334475668265934</v>
      </c>
      <c r="X29" s="172">
        <v>10090.25</v>
      </c>
      <c r="Y29" s="52">
        <v>7.8681552365762894E-2</v>
      </c>
    </row>
    <row r="30" spans="1:25" x14ac:dyDescent="0.2">
      <c r="A30" s="49">
        <v>2001</v>
      </c>
      <c r="B30" s="172">
        <v>1417.5</v>
      </c>
      <c r="C30" s="50">
        <v>1.9600791224599894E-2</v>
      </c>
      <c r="D30" s="172">
        <v>4881</v>
      </c>
      <c r="E30" s="51">
        <v>2.2359532910928417E-2</v>
      </c>
      <c r="F30" s="172">
        <v>1207</v>
      </c>
      <c r="G30" s="50">
        <v>2.7618853017300143E-2</v>
      </c>
      <c r="H30" s="172">
        <v>3951.5</v>
      </c>
      <c r="I30" s="50">
        <v>3.0227659064126243E-2</v>
      </c>
      <c r="J30" s="172">
        <v>1612</v>
      </c>
      <c r="K30" s="50">
        <v>2.1028629338738166E-2</v>
      </c>
      <c r="L30" s="172">
        <v>4544</v>
      </c>
      <c r="M30" s="51">
        <v>1.897116203973637E-2</v>
      </c>
      <c r="N30" s="148"/>
      <c r="O30" s="153"/>
      <c r="P30" s="150"/>
      <c r="Q30" s="151"/>
      <c r="R30" s="148"/>
      <c r="S30" s="153"/>
      <c r="T30" s="150"/>
      <c r="U30" s="151"/>
      <c r="V30" s="172">
        <v>2918</v>
      </c>
      <c r="W30" s="50">
        <v>2.8551286570320761E-2</v>
      </c>
      <c r="X30" s="172">
        <v>9405</v>
      </c>
      <c r="Y30" s="52">
        <v>2.9443957968476358E-2</v>
      </c>
    </row>
    <row r="31" spans="1:25" x14ac:dyDescent="0.2">
      <c r="A31" s="29">
        <v>2000</v>
      </c>
      <c r="B31" s="170">
        <v>1390.25</v>
      </c>
      <c r="C31" s="18">
        <v>7.2930735095504531E-2</v>
      </c>
      <c r="D31" s="170">
        <v>4774.25</v>
      </c>
      <c r="E31" s="20">
        <v>3.8501277937897656E-2</v>
      </c>
      <c r="F31" s="170">
        <v>1174.56</v>
      </c>
      <c r="G31" s="18">
        <v>0.15105544775680602</v>
      </c>
      <c r="H31" s="170">
        <v>3835.56</v>
      </c>
      <c r="I31" s="18">
        <v>6.0669161018425538E-2</v>
      </c>
      <c r="J31" s="170">
        <v>1578.8</v>
      </c>
      <c r="K31" s="18">
        <v>5.8318809491888987E-2</v>
      </c>
      <c r="L31" s="170">
        <v>4459.3999999999996</v>
      </c>
      <c r="M31" s="20">
        <v>3.6394905642837316E-2</v>
      </c>
      <c r="N31" s="152"/>
      <c r="O31" s="103"/>
      <c r="P31" s="104"/>
      <c r="Q31" s="143"/>
      <c r="R31" s="152"/>
      <c r="S31" s="103"/>
      <c r="T31" s="104"/>
      <c r="U31" s="143"/>
      <c r="V31" s="170">
        <v>2837</v>
      </c>
      <c r="W31" s="18">
        <v>4.802364240857037E-2</v>
      </c>
      <c r="X31" s="170">
        <v>9136</v>
      </c>
      <c r="Y31" s="16">
        <v>3.2083145051965654E-2</v>
      </c>
    </row>
    <row r="32" spans="1:25" x14ac:dyDescent="0.2">
      <c r="A32" s="29">
        <v>1999</v>
      </c>
      <c r="B32" s="170">
        <v>1295.75</v>
      </c>
      <c r="C32" s="18">
        <v>1.8871633575781404E-2</v>
      </c>
      <c r="D32" s="170">
        <v>4597.25</v>
      </c>
      <c r="E32" s="20">
        <v>2.2520017793594305E-2</v>
      </c>
      <c r="F32" s="170">
        <v>1020.42</v>
      </c>
      <c r="G32" s="18">
        <v>4.0501682471703798E-2</v>
      </c>
      <c r="H32" s="170">
        <v>3616.17</v>
      </c>
      <c r="I32" s="18">
        <v>2.8577523679494912E-2</v>
      </c>
      <c r="J32" s="170">
        <v>1491.8</v>
      </c>
      <c r="K32" s="18">
        <v>1.9685577580314546E-2</v>
      </c>
      <c r="L32" s="170">
        <v>4302.8</v>
      </c>
      <c r="M32" s="20">
        <v>2.2528517110265985E-2</v>
      </c>
      <c r="N32" s="152"/>
      <c r="O32" s="103"/>
      <c r="P32" s="104"/>
      <c r="Q32" s="143"/>
      <c r="R32" s="152"/>
      <c r="S32" s="103"/>
      <c r="T32" s="104"/>
      <c r="U32" s="143"/>
      <c r="V32" s="170">
        <v>2707</v>
      </c>
      <c r="W32" s="18">
        <v>2.1509433962264152E-2</v>
      </c>
      <c r="X32" s="170">
        <v>8852</v>
      </c>
      <c r="Y32" s="16">
        <v>2.323430817246561E-2</v>
      </c>
    </row>
    <row r="33" spans="1:25" x14ac:dyDescent="0.2">
      <c r="A33" s="29">
        <v>1998</v>
      </c>
      <c r="B33" s="170">
        <v>1271.75</v>
      </c>
      <c r="C33" s="18">
        <v>3.1009323064450749E-2</v>
      </c>
      <c r="D33" s="170">
        <v>4496</v>
      </c>
      <c r="E33" s="20">
        <v>2.5138231773356893E-2</v>
      </c>
      <c r="F33" s="170">
        <v>980.7</v>
      </c>
      <c r="G33" s="18">
        <v>5.3157216494845359E-2</v>
      </c>
      <c r="H33" s="170">
        <v>3515.7</v>
      </c>
      <c r="I33" s="18">
        <v>3.2147260877223888E-2</v>
      </c>
      <c r="J33" s="170">
        <v>1463</v>
      </c>
      <c r="K33" s="18">
        <v>2.6954934718517544E-2</v>
      </c>
      <c r="L33" s="170">
        <v>4208</v>
      </c>
      <c r="M33" s="20">
        <v>2.4542267238020856E-2</v>
      </c>
      <c r="N33" s="152"/>
      <c r="O33" s="103"/>
      <c r="P33" s="104"/>
      <c r="Q33" s="143"/>
      <c r="R33" s="152"/>
      <c r="S33" s="103"/>
      <c r="T33" s="104"/>
      <c r="U33" s="143"/>
      <c r="V33" s="170">
        <v>2650</v>
      </c>
      <c r="W33" s="18">
        <v>2.6892970626986007E-2</v>
      </c>
      <c r="X33" s="170">
        <v>8651</v>
      </c>
      <c r="Y33" s="16">
        <v>2.4120275829411938E-2</v>
      </c>
    </row>
    <row r="34" spans="1:25" x14ac:dyDescent="0.2">
      <c r="A34" s="29">
        <v>1997</v>
      </c>
      <c r="B34" s="170">
        <v>1233.5</v>
      </c>
      <c r="C34" s="18">
        <v>3.9612305099030763E-2</v>
      </c>
      <c r="D34" s="170">
        <v>4385.75</v>
      </c>
      <c r="E34" s="20">
        <v>4.0139926479307482E-2</v>
      </c>
      <c r="F34" s="170">
        <v>931.2</v>
      </c>
      <c r="G34" s="18">
        <v>0.18352821555668544</v>
      </c>
      <c r="H34" s="170">
        <v>3406.2</v>
      </c>
      <c r="I34" s="18">
        <v>0.19524177135237547</v>
      </c>
      <c r="J34" s="170">
        <v>1424.6</v>
      </c>
      <c r="K34" s="18">
        <v>4.0233661920408843E-2</v>
      </c>
      <c r="L34" s="170">
        <v>4107.2</v>
      </c>
      <c r="M34" s="20">
        <v>3.9929104949993854E-2</v>
      </c>
      <c r="N34" s="152"/>
      <c r="O34" s="103"/>
      <c r="P34" s="104"/>
      <c r="Q34" s="143"/>
      <c r="R34" s="152"/>
      <c r="S34" s="103"/>
      <c r="T34" s="104"/>
      <c r="U34" s="143"/>
      <c r="V34" s="170">
        <v>2580.6</v>
      </c>
      <c r="W34" s="18">
        <v>3.9935522869232284E-2</v>
      </c>
      <c r="X34" s="170">
        <v>8447.25</v>
      </c>
      <c r="Y34" s="16">
        <v>3.9981532779316716E-2</v>
      </c>
    </row>
    <row r="35" spans="1:25" x14ac:dyDescent="0.2">
      <c r="A35" s="29">
        <v>1996</v>
      </c>
      <c r="B35" s="170">
        <v>1186.5</v>
      </c>
      <c r="C35" s="18">
        <v>7.917595161216967E-2</v>
      </c>
      <c r="D35" s="170">
        <v>4216.5</v>
      </c>
      <c r="E35" s="20">
        <v>6.5189657567987516E-2</v>
      </c>
      <c r="F35" s="170">
        <v>786.8</v>
      </c>
      <c r="G35" s="18">
        <v>2.7422303473491776E-2</v>
      </c>
      <c r="H35" s="170">
        <v>2849.8</v>
      </c>
      <c r="I35" s="18">
        <v>2.9254550707887891E-2</v>
      </c>
      <c r="J35" s="170">
        <v>1369.5</v>
      </c>
      <c r="K35" s="18">
        <v>7.3738680465717937E-2</v>
      </c>
      <c r="L35" s="170">
        <v>3949.5</v>
      </c>
      <c r="M35" s="20">
        <v>6.3279893389330905E-2</v>
      </c>
      <c r="N35" s="152"/>
      <c r="O35" s="103"/>
      <c r="P35" s="104"/>
      <c r="Q35" s="143"/>
      <c r="R35" s="152"/>
      <c r="S35" s="103"/>
      <c r="T35" s="104"/>
      <c r="U35" s="143"/>
      <c r="V35" s="170">
        <v>2481.5</v>
      </c>
      <c r="W35" s="18">
        <v>3.7654979196721734E-2</v>
      </c>
      <c r="X35" s="170">
        <v>8122.5</v>
      </c>
      <c r="Y35" s="16">
        <v>3.2549625307476709E-2</v>
      </c>
    </row>
    <row r="36" spans="1:25" x14ac:dyDescent="0.2">
      <c r="A36" s="29">
        <v>1995</v>
      </c>
      <c r="B36" s="170">
        <v>1099.45</v>
      </c>
      <c r="C36" s="18">
        <v>5.4577718095055482E-2</v>
      </c>
      <c r="D36" s="170">
        <v>3958.45</v>
      </c>
      <c r="E36" s="20">
        <v>6.5660712603141602E-2</v>
      </c>
      <c r="F36" s="170">
        <v>765.8</v>
      </c>
      <c r="G36" s="18">
        <v>6.3906640733537093E-2</v>
      </c>
      <c r="H36" s="170">
        <v>2768.8</v>
      </c>
      <c r="I36" s="18">
        <v>6.8292306505131559E-2</v>
      </c>
      <c r="J36" s="170">
        <v>1275.45</v>
      </c>
      <c r="K36" s="18">
        <v>5.6229555711978879E-2</v>
      </c>
      <c r="L36" s="170">
        <v>3714.45</v>
      </c>
      <c r="M36" s="20">
        <v>6.5365475900245121E-2</v>
      </c>
      <c r="N36" s="152"/>
      <c r="O36" s="103"/>
      <c r="P36" s="104"/>
      <c r="Q36" s="143"/>
      <c r="R36" s="152"/>
      <c r="S36" s="103"/>
      <c r="T36" s="104"/>
      <c r="U36" s="143"/>
      <c r="V36" s="170">
        <v>2391.4499999999998</v>
      </c>
      <c r="W36" s="18">
        <v>6.2606918308857673E-2</v>
      </c>
      <c r="X36" s="170">
        <v>7866.45</v>
      </c>
      <c r="Y36" s="16">
        <v>6.7715862125129742E-2</v>
      </c>
    </row>
    <row r="37" spans="1:25" x14ac:dyDescent="0.2">
      <c r="A37" s="29">
        <v>1994</v>
      </c>
      <c r="B37" s="170">
        <v>1042.55</v>
      </c>
      <c r="C37" s="18">
        <v>5.569338261353856E-2</v>
      </c>
      <c r="D37" s="170">
        <v>3714.55</v>
      </c>
      <c r="E37" s="20">
        <v>0.12679922949750497</v>
      </c>
      <c r="F37" s="170">
        <v>719.8</v>
      </c>
      <c r="G37" s="18">
        <v>0.12328339575530588</v>
      </c>
      <c r="H37" s="170">
        <v>2591.8000000000002</v>
      </c>
      <c r="I37" s="18">
        <v>0.21293523025084235</v>
      </c>
      <c r="J37" s="170">
        <v>1207.55</v>
      </c>
      <c r="K37" s="18">
        <v>1.3427888044983426E-2</v>
      </c>
      <c r="L37" s="170">
        <v>3486.55</v>
      </c>
      <c r="M37" s="20">
        <v>4.610220282087853E-3</v>
      </c>
      <c r="N37" s="152"/>
      <c r="O37" s="103"/>
      <c r="P37" s="104"/>
      <c r="Q37" s="143"/>
      <c r="R37" s="152"/>
      <c r="S37" s="103"/>
      <c r="T37" s="104"/>
      <c r="U37" s="143"/>
      <c r="V37" s="170">
        <v>2250.5500000000002</v>
      </c>
      <c r="W37" s="18">
        <v>5.2864260485134845E-2</v>
      </c>
      <c r="X37" s="170">
        <v>7367.55</v>
      </c>
      <c r="Y37" s="16">
        <v>0.12851245682425652</v>
      </c>
    </row>
    <row r="38" spans="1:25" x14ac:dyDescent="0.2">
      <c r="A38" s="29">
        <v>1993</v>
      </c>
      <c r="B38" s="170">
        <v>987.55</v>
      </c>
      <c r="C38" s="18">
        <v>7.2899125427779793E-2</v>
      </c>
      <c r="D38" s="170">
        <v>3296.55</v>
      </c>
      <c r="E38" s="20">
        <v>9.6492541036771073E-2</v>
      </c>
      <c r="F38" s="170">
        <v>640.79999999999995</v>
      </c>
      <c r="G38" s="18">
        <v>8.0971659919028341E-2</v>
      </c>
      <c r="H38" s="170">
        <v>2136.8000000000002</v>
      </c>
      <c r="I38" s="18">
        <v>9.9855878114062296E-2</v>
      </c>
      <c r="J38" s="170">
        <v>1191.55</v>
      </c>
      <c r="K38" s="18">
        <v>7.4000630943260093E-2</v>
      </c>
      <c r="L38" s="170">
        <v>3470.55</v>
      </c>
      <c r="M38" s="20">
        <v>7.7994688533755879E-2</v>
      </c>
      <c r="N38" s="152"/>
      <c r="O38" s="103"/>
      <c r="P38" s="104"/>
      <c r="Q38" s="143"/>
      <c r="R38" s="152"/>
      <c r="S38" s="103"/>
      <c r="T38" s="104"/>
      <c r="U38" s="143"/>
      <c r="V38" s="170">
        <v>2137.5500000000002</v>
      </c>
      <c r="W38" s="18">
        <v>7.6607318240197508E-2</v>
      </c>
      <c r="X38" s="170">
        <v>6528.55</v>
      </c>
      <c r="Y38" s="16">
        <v>7.9018915948400589E-2</v>
      </c>
    </row>
    <row r="39" spans="1:25" ht="13.5" customHeight="1" x14ac:dyDescent="0.2">
      <c r="A39" s="29">
        <v>1992</v>
      </c>
      <c r="B39" s="170">
        <v>920.45</v>
      </c>
      <c r="C39" s="18">
        <v>8.358349520277826E-2</v>
      </c>
      <c r="D39" s="170">
        <v>3006.45</v>
      </c>
      <c r="E39" s="20">
        <v>0.11828376945823803</v>
      </c>
      <c r="F39" s="170">
        <v>592.79999999999995</v>
      </c>
      <c r="G39" s="18"/>
      <c r="H39" s="170">
        <v>1942.8</v>
      </c>
      <c r="I39" s="18"/>
      <c r="J39" s="170">
        <v>1109.45</v>
      </c>
      <c r="K39" s="18">
        <v>8.6152038768417441E-2</v>
      </c>
      <c r="L39" s="170">
        <v>3219.45</v>
      </c>
      <c r="M39" s="20">
        <v>0.11846653580920288</v>
      </c>
      <c r="N39" s="152"/>
      <c r="O39" s="103"/>
      <c r="P39" s="104"/>
      <c r="Q39" s="143"/>
      <c r="R39" s="152"/>
      <c r="S39" s="103"/>
      <c r="T39" s="104"/>
      <c r="U39" s="143"/>
      <c r="V39" s="170">
        <v>1985.45</v>
      </c>
      <c r="W39" s="18">
        <v>9.2437205975405098E-2</v>
      </c>
      <c r="X39" s="170">
        <v>6050.45</v>
      </c>
      <c r="Y39" s="16">
        <v>0.1216064659047725</v>
      </c>
    </row>
    <row r="40" spans="1:25" ht="13.5" hidden="1" thickTop="1" x14ac:dyDescent="0.2">
      <c r="A40" s="46">
        <v>1988</v>
      </c>
      <c r="B40" s="171">
        <v>681.4</v>
      </c>
      <c r="C40" s="65">
        <v>2.3661083151806504E-2</v>
      </c>
      <c r="D40" s="66">
        <v>1896.4</v>
      </c>
      <c r="E40" s="67">
        <v>8.3254791077599741E-2</v>
      </c>
      <c r="F40" s="73"/>
      <c r="G40" s="74"/>
      <c r="H40" s="75"/>
      <c r="I40" s="74"/>
      <c r="J40" s="76"/>
      <c r="K40" s="74"/>
      <c r="L40" s="75"/>
      <c r="M40" s="74"/>
      <c r="N40" s="106"/>
      <c r="O40" s="106"/>
      <c r="P40" s="106"/>
      <c r="Q40" s="106"/>
      <c r="R40" s="106"/>
      <c r="S40" s="106"/>
      <c r="T40" s="106"/>
      <c r="U40" s="106"/>
      <c r="V40" s="76"/>
      <c r="W40" s="74"/>
      <c r="X40" s="75"/>
      <c r="Y40" s="47"/>
    </row>
    <row r="41" spans="1:25" ht="13.5" hidden="1" thickTop="1" x14ac:dyDescent="0.2">
      <c r="A41" s="29">
        <v>1987</v>
      </c>
      <c r="B41" s="170">
        <v>665.65</v>
      </c>
      <c r="C41" s="18">
        <v>2.211132437619958E-2</v>
      </c>
      <c r="D41" s="30">
        <v>1750.65</v>
      </c>
      <c r="E41" s="20">
        <v>8.9898832684824959E-2</v>
      </c>
      <c r="F41" s="19"/>
      <c r="G41" s="24"/>
      <c r="H41" s="31"/>
      <c r="I41" s="24"/>
      <c r="J41" s="25"/>
      <c r="K41" s="24"/>
      <c r="L41" s="31"/>
      <c r="M41" s="24"/>
      <c r="N41" s="107"/>
      <c r="O41" s="107"/>
      <c r="P41" s="107"/>
      <c r="Q41" s="107"/>
      <c r="R41" s="107"/>
      <c r="S41" s="107"/>
      <c r="T41" s="107"/>
      <c r="U41" s="107"/>
      <c r="V41" s="25"/>
      <c r="W41" s="24"/>
      <c r="X41" s="31"/>
      <c r="Y41" s="15"/>
    </row>
    <row r="42" spans="1:25" ht="13.5" hidden="1" thickTop="1" x14ac:dyDescent="0.2">
      <c r="A42" s="29">
        <v>1986</v>
      </c>
      <c r="B42" s="170">
        <v>651.25</v>
      </c>
      <c r="C42" s="18">
        <v>4.1167066346922465E-2</v>
      </c>
      <c r="D42" s="30">
        <v>1606.25</v>
      </c>
      <c r="E42" s="20">
        <v>5.1554828150572829E-2</v>
      </c>
      <c r="F42" s="19"/>
      <c r="G42" s="24"/>
      <c r="H42" s="31"/>
      <c r="I42" s="24"/>
      <c r="J42" s="25"/>
      <c r="K42" s="24"/>
      <c r="L42" s="31"/>
      <c r="M42" s="24"/>
      <c r="N42" s="107"/>
      <c r="O42" s="107"/>
      <c r="P42" s="107"/>
      <c r="Q42" s="107"/>
      <c r="R42" s="107"/>
      <c r="S42" s="107"/>
      <c r="T42" s="107"/>
      <c r="U42" s="107"/>
      <c r="V42" s="25"/>
      <c r="W42" s="24"/>
      <c r="X42" s="31"/>
      <c r="Y42" s="15"/>
    </row>
    <row r="43" spans="1:25" ht="13.5" hidden="1" thickTop="1" x14ac:dyDescent="0.2">
      <c r="A43" s="29">
        <v>1985</v>
      </c>
      <c r="B43" s="170">
        <v>625.5</v>
      </c>
      <c r="C43" s="18">
        <v>5.9271803556308213E-2</v>
      </c>
      <c r="D43" s="30">
        <v>1527.5</v>
      </c>
      <c r="E43" s="20">
        <v>6.7808458580915762E-2</v>
      </c>
      <c r="F43" s="19"/>
      <c r="G43" s="24"/>
      <c r="H43" s="31"/>
      <c r="I43" s="24"/>
      <c r="J43" s="28"/>
      <c r="K43" s="17"/>
      <c r="L43" s="32"/>
      <c r="M43" s="17"/>
      <c r="N43" s="108"/>
      <c r="O43" s="108"/>
      <c r="P43" s="108"/>
      <c r="Q43" s="108"/>
      <c r="R43" s="108"/>
      <c r="S43" s="108"/>
      <c r="T43" s="108"/>
      <c r="U43" s="108"/>
      <c r="V43" s="28"/>
      <c r="W43" s="17"/>
      <c r="X43" s="32"/>
      <c r="Y43" s="14"/>
    </row>
    <row r="44" spans="1:25" ht="13.5" hidden="1" thickTop="1" x14ac:dyDescent="0.2">
      <c r="A44" s="29">
        <v>1984</v>
      </c>
      <c r="B44" s="170">
        <v>590.5</v>
      </c>
      <c r="C44" s="18">
        <v>7.2661217075386017E-2</v>
      </c>
      <c r="D44" s="30">
        <v>1430.5</v>
      </c>
      <c r="E44" s="20">
        <v>6.7139127191346515E-2</v>
      </c>
      <c r="F44" s="19"/>
      <c r="G44" s="24"/>
      <c r="H44" s="31"/>
      <c r="I44" s="24"/>
      <c r="J44" s="25"/>
      <c r="K44" s="24"/>
      <c r="L44" s="31"/>
      <c r="M44" s="24"/>
      <c r="N44" s="107"/>
      <c r="O44" s="107"/>
      <c r="P44" s="107"/>
      <c r="Q44" s="107"/>
      <c r="R44" s="107"/>
      <c r="S44" s="107"/>
      <c r="T44" s="107"/>
      <c r="U44" s="107"/>
      <c r="V44" s="25"/>
      <c r="W44" s="17"/>
      <c r="X44" s="31"/>
      <c r="Y44" s="15"/>
    </row>
    <row r="45" spans="1:25" ht="13.5" hidden="1" thickTop="1" x14ac:dyDescent="0.2">
      <c r="A45" s="29">
        <v>1983</v>
      </c>
      <c r="B45" s="170">
        <v>550.5</v>
      </c>
      <c r="C45" s="18">
        <v>0.18962722852512157</v>
      </c>
      <c r="D45" s="30">
        <v>1340.5</v>
      </c>
      <c r="E45" s="20">
        <v>0.19607405755074728</v>
      </c>
      <c r="F45" s="19"/>
      <c r="G45" s="24"/>
      <c r="H45" s="31"/>
      <c r="I45" s="24"/>
      <c r="J45" s="25"/>
      <c r="K45" s="24"/>
      <c r="L45" s="31"/>
      <c r="M45" s="24"/>
      <c r="N45" s="107"/>
      <c r="O45" s="107"/>
      <c r="P45" s="107"/>
      <c r="Q45" s="107"/>
      <c r="R45" s="107"/>
      <c r="S45" s="107"/>
      <c r="T45" s="107"/>
      <c r="U45" s="107"/>
      <c r="V45" s="25"/>
      <c r="W45" s="24"/>
      <c r="X45" s="31"/>
      <c r="Y45" s="15"/>
    </row>
    <row r="46" spans="1:25" ht="13.5" hidden="1" thickTop="1" x14ac:dyDescent="0.2">
      <c r="A46" s="29">
        <v>1982</v>
      </c>
      <c r="B46" s="170">
        <v>462.75</v>
      </c>
      <c r="C46" s="18">
        <v>3.0623608017817373E-2</v>
      </c>
      <c r="D46" s="30">
        <v>1120.75</v>
      </c>
      <c r="E46" s="20">
        <v>1.2420957542908763E-2</v>
      </c>
      <c r="F46" s="19"/>
      <c r="G46" s="24"/>
      <c r="H46" s="31"/>
      <c r="I46" s="24"/>
      <c r="J46" s="25"/>
      <c r="K46" s="24"/>
      <c r="L46" s="31"/>
      <c r="M46" s="24"/>
      <c r="N46" s="107"/>
      <c r="O46" s="107"/>
      <c r="P46" s="107"/>
      <c r="Q46" s="107"/>
      <c r="R46" s="107"/>
      <c r="S46" s="107"/>
      <c r="T46" s="107"/>
      <c r="U46" s="107"/>
      <c r="V46" s="25"/>
      <c r="W46" s="24"/>
      <c r="X46" s="31"/>
      <c r="Y46" s="15"/>
    </row>
    <row r="47" spans="1:25" ht="13.5" hidden="1" thickTop="1" x14ac:dyDescent="0.2">
      <c r="A47" s="29">
        <v>1981</v>
      </c>
      <c r="B47" s="170">
        <v>449</v>
      </c>
      <c r="C47" s="18">
        <v>0.17539267015706805</v>
      </c>
      <c r="D47" s="30">
        <v>1107</v>
      </c>
      <c r="E47" s="20">
        <v>0.20065075921908893</v>
      </c>
      <c r="F47" s="19"/>
      <c r="G47" s="24"/>
      <c r="H47" s="31"/>
      <c r="I47" s="24"/>
      <c r="J47" s="25"/>
      <c r="K47" s="24"/>
      <c r="L47" s="31"/>
      <c r="M47" s="24"/>
      <c r="N47" s="107"/>
      <c r="O47" s="107"/>
      <c r="P47" s="107"/>
      <c r="Q47" s="107"/>
      <c r="R47" s="107"/>
      <c r="S47" s="107"/>
      <c r="T47" s="107"/>
      <c r="U47" s="107"/>
      <c r="V47" s="25"/>
      <c r="W47" s="24"/>
      <c r="X47" s="31"/>
      <c r="Y47" s="15"/>
    </row>
    <row r="48" spans="1:25" ht="13.5" hidden="1" thickTop="1" x14ac:dyDescent="0.2">
      <c r="A48" s="29">
        <v>1980</v>
      </c>
      <c r="B48" s="170">
        <v>382</v>
      </c>
      <c r="C48" s="18">
        <v>9.7701149425287362E-2</v>
      </c>
      <c r="D48" s="30">
        <v>922</v>
      </c>
      <c r="E48" s="20">
        <v>9.37129300118624E-2</v>
      </c>
      <c r="F48" s="19"/>
      <c r="G48" s="24"/>
      <c r="H48" s="31"/>
      <c r="I48" s="24"/>
      <c r="J48" s="25"/>
      <c r="K48" s="24"/>
      <c r="L48" s="31"/>
      <c r="M48" s="24"/>
      <c r="N48" s="107"/>
      <c r="O48" s="107"/>
      <c r="P48" s="107"/>
      <c r="Q48" s="107"/>
      <c r="R48" s="107"/>
      <c r="S48" s="107"/>
      <c r="T48" s="107"/>
      <c r="U48" s="107"/>
      <c r="V48" s="25"/>
      <c r="W48" s="24"/>
      <c r="X48" s="31"/>
      <c r="Y48" s="15"/>
    </row>
    <row r="49" spans="1:25" ht="13.5" hidden="1" thickTop="1" x14ac:dyDescent="0.2">
      <c r="A49" s="29">
        <v>1979</v>
      </c>
      <c r="B49" s="170">
        <v>348</v>
      </c>
      <c r="C49" s="18">
        <v>0</v>
      </c>
      <c r="D49" s="30">
        <v>843</v>
      </c>
      <c r="E49" s="20">
        <v>0</v>
      </c>
      <c r="F49" s="19"/>
      <c r="G49" s="24"/>
      <c r="H49" s="31"/>
      <c r="I49" s="24"/>
      <c r="J49" s="25"/>
      <c r="K49" s="24"/>
      <c r="L49" s="31"/>
      <c r="M49" s="24"/>
      <c r="N49" s="107"/>
      <c r="O49" s="107"/>
      <c r="P49" s="107"/>
      <c r="Q49" s="107"/>
      <c r="R49" s="107"/>
      <c r="S49" s="107"/>
      <c r="T49" s="107"/>
      <c r="U49" s="107"/>
      <c r="V49" s="25"/>
      <c r="W49" s="24"/>
      <c r="X49" s="31"/>
      <c r="Y49" s="15"/>
    </row>
    <row r="50" spans="1:25" ht="13.5" hidden="1" thickTop="1" x14ac:dyDescent="0.2">
      <c r="A50" s="29">
        <v>1978</v>
      </c>
      <c r="B50" s="170">
        <v>348</v>
      </c>
      <c r="C50" s="18">
        <v>8.6956521739130436E-3</v>
      </c>
      <c r="D50" s="30">
        <v>843</v>
      </c>
      <c r="E50" s="20">
        <v>3.5714285714285713E-3</v>
      </c>
      <c r="F50" s="19"/>
      <c r="G50" s="24"/>
      <c r="H50" s="31"/>
      <c r="I50" s="24"/>
      <c r="J50" s="25"/>
      <c r="K50" s="24"/>
      <c r="L50" s="31"/>
      <c r="M50" s="24"/>
      <c r="N50" s="107"/>
      <c r="O50" s="107"/>
      <c r="P50" s="107"/>
      <c r="Q50" s="107"/>
      <c r="R50" s="107"/>
      <c r="S50" s="107"/>
      <c r="T50" s="107"/>
      <c r="U50" s="107"/>
      <c r="V50" s="25"/>
      <c r="W50" s="24"/>
      <c r="X50" s="31"/>
      <c r="Y50" s="15"/>
    </row>
    <row r="51" spans="1:25" ht="13.5" hidden="1" thickTop="1" x14ac:dyDescent="0.2">
      <c r="A51" s="29">
        <v>1977</v>
      </c>
      <c r="B51" s="170">
        <v>345</v>
      </c>
      <c r="C51" s="18">
        <v>0.23655913978494625</v>
      </c>
      <c r="D51" s="30">
        <v>840</v>
      </c>
      <c r="E51" s="20">
        <v>0.24629080118694363</v>
      </c>
      <c r="F51" s="19"/>
      <c r="G51" s="24"/>
      <c r="H51" s="31"/>
      <c r="I51" s="24"/>
      <c r="J51" s="25"/>
      <c r="K51" s="24"/>
      <c r="L51" s="31"/>
      <c r="M51" s="24"/>
      <c r="N51" s="107"/>
      <c r="O51" s="107"/>
      <c r="P51" s="107"/>
      <c r="Q51" s="107"/>
      <c r="R51" s="107"/>
      <c r="S51" s="107"/>
      <c r="T51" s="107"/>
      <c r="U51" s="107"/>
      <c r="V51" s="25"/>
      <c r="W51" s="24"/>
      <c r="X51" s="31"/>
      <c r="Y51" s="15"/>
    </row>
    <row r="52" spans="1:25" ht="13.5" hidden="1" thickTop="1" x14ac:dyDescent="0.2">
      <c r="A52" s="29">
        <v>1976</v>
      </c>
      <c r="B52" s="170">
        <v>279</v>
      </c>
      <c r="C52" s="18">
        <v>4.8872180451127817E-2</v>
      </c>
      <c r="D52" s="30">
        <v>674</v>
      </c>
      <c r="E52" s="20">
        <v>1.9667170953101363E-2</v>
      </c>
      <c r="F52" s="19"/>
      <c r="G52" s="24"/>
      <c r="H52" s="31"/>
      <c r="I52" s="24"/>
      <c r="J52" s="25"/>
      <c r="K52" s="24"/>
      <c r="L52" s="31"/>
      <c r="M52" s="24"/>
      <c r="N52" s="107"/>
      <c r="O52" s="107"/>
      <c r="P52" s="107"/>
      <c r="Q52" s="107"/>
      <c r="R52" s="107"/>
      <c r="S52" s="107"/>
      <c r="T52" s="107"/>
      <c r="U52" s="107"/>
      <c r="V52" s="25"/>
      <c r="W52" s="24"/>
      <c r="X52" s="31"/>
      <c r="Y52" s="15"/>
    </row>
    <row r="53" spans="1:25" ht="13.5" hidden="1" thickTop="1" x14ac:dyDescent="0.2">
      <c r="A53" s="29">
        <v>1975</v>
      </c>
      <c r="B53" s="170">
        <v>266</v>
      </c>
      <c r="C53" s="18">
        <v>0</v>
      </c>
      <c r="D53" s="30">
        <v>661</v>
      </c>
      <c r="E53" s="20">
        <v>0</v>
      </c>
      <c r="F53" s="19"/>
      <c r="G53" s="24"/>
      <c r="H53" s="31"/>
      <c r="I53" s="24"/>
      <c r="J53" s="25"/>
      <c r="K53" s="24"/>
      <c r="L53" s="31"/>
      <c r="M53" s="24"/>
      <c r="N53" s="107"/>
      <c r="O53" s="107"/>
      <c r="P53" s="107"/>
      <c r="Q53" s="107"/>
      <c r="R53" s="107"/>
      <c r="S53" s="107"/>
      <c r="T53" s="107"/>
      <c r="U53" s="107"/>
      <c r="V53" s="25"/>
      <c r="W53" s="24"/>
      <c r="X53" s="31"/>
      <c r="Y53" s="15"/>
    </row>
    <row r="54" spans="1:25" ht="13.5" hidden="1" thickTop="1" x14ac:dyDescent="0.2">
      <c r="A54" s="29">
        <v>1974</v>
      </c>
      <c r="B54" s="170">
        <v>266</v>
      </c>
      <c r="C54" s="18">
        <v>1.1406844106463879E-2</v>
      </c>
      <c r="D54" s="30">
        <v>661</v>
      </c>
      <c r="E54" s="20">
        <v>4.559270516717325E-3</v>
      </c>
      <c r="F54" s="19"/>
      <c r="G54" s="24"/>
      <c r="H54" s="31"/>
      <c r="I54" s="24"/>
      <c r="J54" s="25"/>
      <c r="K54" s="24"/>
      <c r="L54" s="31"/>
      <c r="M54" s="24"/>
      <c r="N54" s="107"/>
      <c r="O54" s="107"/>
      <c r="P54" s="107"/>
      <c r="Q54" s="107"/>
      <c r="R54" s="107"/>
      <c r="S54" s="107"/>
      <c r="T54" s="107"/>
      <c r="U54" s="107"/>
      <c r="V54" s="25"/>
      <c r="W54" s="24"/>
      <c r="X54" s="31"/>
      <c r="Y54" s="15"/>
    </row>
    <row r="55" spans="1:25" ht="13.5" hidden="1" thickTop="1" x14ac:dyDescent="0.2">
      <c r="A55" s="29">
        <v>1973</v>
      </c>
      <c r="B55" s="170">
        <v>263</v>
      </c>
      <c r="C55" s="18">
        <v>0.10504201680672269</v>
      </c>
      <c r="D55" s="30">
        <v>658</v>
      </c>
      <c r="E55" s="20">
        <v>0.23452157598499063</v>
      </c>
      <c r="F55" s="19"/>
      <c r="G55" s="24"/>
      <c r="H55" s="31"/>
      <c r="I55" s="24"/>
      <c r="J55" s="25"/>
      <c r="K55" s="24"/>
      <c r="L55" s="31"/>
      <c r="M55" s="24"/>
      <c r="N55" s="107"/>
      <c r="O55" s="107"/>
      <c r="P55" s="107"/>
      <c r="Q55" s="107"/>
      <c r="R55" s="107"/>
      <c r="S55" s="107"/>
      <c r="T55" s="107"/>
      <c r="U55" s="107"/>
      <c r="V55" s="25"/>
      <c r="W55" s="24"/>
      <c r="X55" s="31"/>
      <c r="Y55" s="15"/>
    </row>
    <row r="56" spans="1:25" ht="13.5" hidden="1" thickTop="1" x14ac:dyDescent="0.2">
      <c r="A56" s="29">
        <v>1972</v>
      </c>
      <c r="B56" s="170">
        <v>238</v>
      </c>
      <c r="C56" s="18">
        <v>0</v>
      </c>
      <c r="D56" s="30">
        <v>533</v>
      </c>
      <c r="E56" s="20">
        <v>0</v>
      </c>
      <c r="F56" s="19"/>
      <c r="G56" s="24"/>
      <c r="H56" s="31"/>
      <c r="I56" s="24"/>
      <c r="J56" s="25"/>
      <c r="K56" s="24"/>
      <c r="L56" s="31"/>
      <c r="M56" s="24"/>
      <c r="N56" s="107"/>
      <c r="O56" s="107"/>
      <c r="P56" s="107"/>
      <c r="Q56" s="107"/>
      <c r="R56" s="107"/>
      <c r="S56" s="107"/>
      <c r="T56" s="107"/>
      <c r="U56" s="107"/>
      <c r="V56" s="25"/>
      <c r="W56" s="24"/>
      <c r="X56" s="31"/>
      <c r="Y56" s="15"/>
    </row>
    <row r="57" spans="1:25" ht="13.5" hidden="1" thickTop="1" x14ac:dyDescent="0.2">
      <c r="A57" s="29">
        <v>1971</v>
      </c>
      <c r="B57" s="170">
        <v>238</v>
      </c>
      <c r="C57" s="18">
        <v>0</v>
      </c>
      <c r="D57" s="30">
        <v>533</v>
      </c>
      <c r="E57" s="20">
        <v>0</v>
      </c>
      <c r="F57" s="19"/>
      <c r="G57" s="24"/>
      <c r="H57" s="31"/>
      <c r="I57" s="24"/>
      <c r="J57" s="25"/>
      <c r="K57" s="24"/>
      <c r="L57" s="31"/>
      <c r="M57" s="24"/>
      <c r="N57" s="107"/>
      <c r="O57" s="107"/>
      <c r="P57" s="107"/>
      <c r="Q57" s="107"/>
      <c r="R57" s="107"/>
      <c r="S57" s="107"/>
      <c r="T57" s="107"/>
      <c r="U57" s="107"/>
      <c r="V57" s="25"/>
      <c r="W57" s="24"/>
      <c r="X57" s="31"/>
      <c r="Y57" s="15"/>
    </row>
    <row r="58" spans="1:25" ht="13.5" hidden="1" thickTop="1" x14ac:dyDescent="0.2">
      <c r="A58" s="29">
        <v>1970</v>
      </c>
      <c r="B58" s="170">
        <v>238</v>
      </c>
      <c r="C58" s="18">
        <v>0.391812865497076</v>
      </c>
      <c r="D58" s="30">
        <v>533</v>
      </c>
      <c r="E58" s="20">
        <v>0.32917705735660846</v>
      </c>
      <c r="F58" s="19"/>
      <c r="G58" s="24"/>
      <c r="H58" s="31"/>
      <c r="I58" s="24"/>
      <c r="J58" s="25"/>
      <c r="K58" s="24"/>
      <c r="L58" s="31"/>
      <c r="M58" s="24"/>
      <c r="N58" s="107"/>
      <c r="O58" s="107"/>
      <c r="P58" s="107"/>
      <c r="Q58" s="107"/>
      <c r="R58" s="107"/>
      <c r="S58" s="107"/>
      <c r="T58" s="107"/>
      <c r="U58" s="107"/>
      <c r="V58" s="25"/>
      <c r="W58" s="24"/>
      <c r="X58" s="31"/>
      <c r="Y58" s="15"/>
    </row>
    <row r="59" spans="1:25" ht="13.5" hidden="1" thickTop="1" x14ac:dyDescent="0.2">
      <c r="A59" s="29">
        <v>1969</v>
      </c>
      <c r="B59" s="170">
        <v>171</v>
      </c>
      <c r="C59" s="18">
        <v>4.2682926829268296E-2</v>
      </c>
      <c r="D59" s="30">
        <v>401</v>
      </c>
      <c r="E59" s="20">
        <v>1.7766497461928935E-2</v>
      </c>
      <c r="F59" s="19"/>
      <c r="G59" s="24"/>
      <c r="H59" s="31"/>
      <c r="I59" s="24"/>
      <c r="J59" s="25"/>
      <c r="K59" s="24"/>
      <c r="L59" s="31"/>
      <c r="M59" s="24"/>
      <c r="N59" s="107"/>
      <c r="O59" s="107"/>
      <c r="P59" s="107"/>
      <c r="Q59" s="107"/>
      <c r="R59" s="107"/>
      <c r="S59" s="107"/>
      <c r="T59" s="107"/>
      <c r="U59" s="107"/>
      <c r="V59" s="25"/>
      <c r="W59" s="24"/>
      <c r="X59" s="31"/>
      <c r="Y59" s="15"/>
    </row>
    <row r="60" spans="1:25" ht="13.5" hidden="1" thickTop="1" x14ac:dyDescent="0.2">
      <c r="A60" s="29">
        <v>1968</v>
      </c>
      <c r="B60" s="170">
        <v>164</v>
      </c>
      <c r="C60" s="18">
        <v>0</v>
      </c>
      <c r="D60" s="30">
        <v>394</v>
      </c>
      <c r="E60" s="20">
        <v>0</v>
      </c>
      <c r="F60" s="19"/>
      <c r="G60" s="24"/>
      <c r="H60" s="31"/>
      <c r="I60" s="24"/>
      <c r="J60" s="25"/>
      <c r="K60" s="24"/>
      <c r="L60" s="31"/>
      <c r="M60" s="24"/>
      <c r="N60" s="107"/>
      <c r="O60" s="107"/>
      <c r="P60" s="107"/>
      <c r="Q60" s="107"/>
      <c r="R60" s="107"/>
      <c r="S60" s="107"/>
      <c r="T60" s="107"/>
      <c r="U60" s="107"/>
      <c r="V60" s="25"/>
      <c r="W60" s="24"/>
      <c r="X60" s="31"/>
      <c r="Y60" s="15"/>
    </row>
    <row r="61" spans="1:25" ht="13.5" hidden="1" thickTop="1" x14ac:dyDescent="0.2">
      <c r="A61" s="29">
        <v>1967</v>
      </c>
      <c r="B61" s="170">
        <v>164</v>
      </c>
      <c r="C61" s="18">
        <v>0.1388888888888889</v>
      </c>
      <c r="D61" s="30">
        <v>394</v>
      </c>
      <c r="E61" s="20">
        <v>0.14534883720930233</v>
      </c>
      <c r="F61" s="19"/>
      <c r="G61" s="24"/>
      <c r="H61" s="31"/>
      <c r="I61" s="24"/>
      <c r="J61" s="25"/>
      <c r="K61" s="24"/>
      <c r="L61" s="31"/>
      <c r="M61" s="24"/>
      <c r="N61" s="107"/>
      <c r="O61" s="107"/>
      <c r="P61" s="107"/>
      <c r="Q61" s="107"/>
      <c r="R61" s="107"/>
      <c r="S61" s="107"/>
      <c r="T61" s="107"/>
      <c r="U61" s="107"/>
      <c r="V61" s="25"/>
      <c r="W61" s="24"/>
      <c r="X61" s="31"/>
      <c r="Y61" s="15"/>
    </row>
    <row r="62" spans="1:25" ht="13.5" hidden="1" thickTop="1" x14ac:dyDescent="0.2">
      <c r="A62" s="29">
        <v>1966</v>
      </c>
      <c r="B62" s="170">
        <v>144</v>
      </c>
      <c r="C62" s="18">
        <v>5.1094890510948905E-2</v>
      </c>
      <c r="D62" s="30">
        <v>344</v>
      </c>
      <c r="E62" s="20">
        <v>2.0771513353115726E-2</v>
      </c>
      <c r="F62" s="19"/>
      <c r="G62" s="24"/>
      <c r="H62" s="31"/>
      <c r="I62" s="24"/>
      <c r="J62" s="25"/>
      <c r="K62" s="24"/>
      <c r="L62" s="31"/>
      <c r="M62" s="24"/>
      <c r="N62" s="107"/>
      <c r="O62" s="107"/>
      <c r="P62" s="107"/>
      <c r="Q62" s="107"/>
      <c r="R62" s="107"/>
      <c r="S62" s="107"/>
      <c r="T62" s="107"/>
      <c r="U62" s="107"/>
      <c r="V62" s="25"/>
      <c r="W62" s="24"/>
      <c r="X62" s="31"/>
      <c r="Y62" s="15"/>
    </row>
    <row r="63" spans="1:25" ht="13.5" hidden="1" thickTop="1" x14ac:dyDescent="0.2">
      <c r="A63" s="29">
        <v>1965</v>
      </c>
      <c r="B63" s="170">
        <v>137</v>
      </c>
      <c r="C63" s="18">
        <v>0.12295081967213115</v>
      </c>
      <c r="D63" s="30">
        <v>337</v>
      </c>
      <c r="E63" s="20">
        <v>0.17421602787456447</v>
      </c>
      <c r="F63" s="19"/>
      <c r="G63" s="24"/>
      <c r="H63" s="31"/>
      <c r="I63" s="24"/>
      <c r="J63" s="25"/>
      <c r="K63" s="24"/>
      <c r="L63" s="31"/>
      <c r="M63" s="24"/>
      <c r="N63" s="107"/>
      <c r="O63" s="107"/>
      <c r="P63" s="107"/>
      <c r="Q63" s="107"/>
      <c r="R63" s="107"/>
      <c r="S63" s="107"/>
      <c r="T63" s="107"/>
      <c r="U63" s="107"/>
      <c r="V63" s="25"/>
      <c r="W63" s="24"/>
      <c r="X63" s="31"/>
      <c r="Y63" s="15"/>
    </row>
    <row r="64" spans="1:25" ht="13.5" hidden="1" thickTop="1" x14ac:dyDescent="0.2">
      <c r="A64" s="29">
        <v>1964</v>
      </c>
      <c r="B64" s="170">
        <v>122</v>
      </c>
      <c r="C64" s="18">
        <v>0</v>
      </c>
      <c r="D64" s="30">
        <v>287</v>
      </c>
      <c r="E64" s="20">
        <v>0</v>
      </c>
      <c r="F64" s="19"/>
      <c r="G64" s="24"/>
      <c r="H64" s="31"/>
      <c r="I64" s="24"/>
      <c r="J64" s="25"/>
      <c r="K64" s="24"/>
      <c r="L64" s="31"/>
      <c r="M64" s="24"/>
      <c r="N64" s="107"/>
      <c r="O64" s="107"/>
      <c r="P64" s="107"/>
      <c r="Q64" s="107"/>
      <c r="R64" s="107"/>
      <c r="S64" s="107"/>
      <c r="T64" s="107"/>
      <c r="U64" s="107"/>
      <c r="V64" s="25"/>
      <c r="W64" s="24"/>
      <c r="X64" s="31"/>
      <c r="Y64" s="15"/>
    </row>
    <row r="65" spans="1:25" ht="13.5" hidden="1" thickTop="1" x14ac:dyDescent="0.2">
      <c r="A65" s="29">
        <v>1963</v>
      </c>
      <c r="B65" s="170">
        <v>122</v>
      </c>
      <c r="C65" s="18">
        <v>0.17307692307692307</v>
      </c>
      <c r="D65" s="30">
        <v>287</v>
      </c>
      <c r="E65" s="20">
        <v>0.10810810810810811</v>
      </c>
      <c r="F65" s="19"/>
      <c r="G65" s="24"/>
      <c r="H65" s="31"/>
      <c r="I65" s="24"/>
      <c r="J65" s="25"/>
      <c r="K65" s="24"/>
      <c r="L65" s="31"/>
      <c r="M65" s="24"/>
      <c r="N65" s="107"/>
      <c r="O65" s="107"/>
      <c r="P65" s="107"/>
      <c r="Q65" s="107"/>
      <c r="R65" s="107"/>
      <c r="S65" s="107"/>
      <c r="T65" s="107"/>
      <c r="U65" s="107"/>
      <c r="V65" s="25"/>
      <c r="W65" s="24"/>
      <c r="X65" s="31"/>
      <c r="Y65" s="15"/>
    </row>
    <row r="66" spans="1:25" ht="13.5" hidden="1" thickTop="1" x14ac:dyDescent="0.2">
      <c r="A66" s="29">
        <v>1962</v>
      </c>
      <c r="B66" s="170">
        <v>104</v>
      </c>
      <c r="C66" s="18">
        <v>0</v>
      </c>
      <c r="D66" s="30">
        <v>259</v>
      </c>
      <c r="E66" s="20">
        <v>0</v>
      </c>
      <c r="F66" s="19"/>
      <c r="G66" s="24"/>
      <c r="H66" s="31"/>
      <c r="I66" s="24"/>
      <c r="J66" s="25"/>
      <c r="K66" s="24"/>
      <c r="L66" s="31"/>
      <c r="M66" s="24"/>
      <c r="N66" s="107"/>
      <c r="O66" s="107"/>
      <c r="P66" s="107"/>
      <c r="Q66" s="107"/>
      <c r="R66" s="107"/>
      <c r="S66" s="107"/>
      <c r="T66" s="107"/>
      <c r="U66" s="107"/>
      <c r="V66" s="25"/>
      <c r="W66" s="24"/>
      <c r="X66" s="31"/>
      <c r="Y66" s="15"/>
    </row>
    <row r="67" spans="1:25" ht="14.25" hidden="1" thickTop="1" thickBot="1" x14ac:dyDescent="0.25">
      <c r="A67" s="58">
        <v>1961</v>
      </c>
      <c r="B67" s="173">
        <v>104</v>
      </c>
      <c r="C67" s="59"/>
      <c r="D67" s="57">
        <v>259</v>
      </c>
      <c r="E67" s="21"/>
      <c r="F67" s="60"/>
      <c r="G67" s="61"/>
      <c r="H67" s="62"/>
      <c r="I67" s="61"/>
      <c r="J67" s="63"/>
      <c r="K67" s="61"/>
      <c r="L67" s="62"/>
      <c r="M67" s="61"/>
      <c r="N67" s="109"/>
      <c r="O67" s="109"/>
      <c r="P67" s="109"/>
      <c r="Q67" s="109"/>
      <c r="R67" s="109"/>
      <c r="S67" s="109"/>
      <c r="T67" s="109"/>
      <c r="U67" s="109"/>
      <c r="V67" s="63"/>
      <c r="W67" s="61"/>
      <c r="X67" s="62"/>
      <c r="Y67" s="64"/>
    </row>
    <row r="68" spans="1:25" x14ac:dyDescent="0.2">
      <c r="A68" s="97" t="s">
        <v>26</v>
      </c>
      <c r="C68" s="48"/>
      <c r="D68" s="3"/>
      <c r="E68" s="48"/>
    </row>
    <row r="69" spans="1:25" x14ac:dyDescent="0.2">
      <c r="A69" s="97" t="s">
        <v>15</v>
      </c>
      <c r="C69" s="48"/>
      <c r="D69" s="3"/>
      <c r="E69" s="48"/>
    </row>
    <row r="70" spans="1:25" x14ac:dyDescent="0.2">
      <c r="A70" s="97"/>
      <c r="C70" s="48"/>
      <c r="E70" s="48"/>
      <c r="F70" s="3"/>
      <c r="G70" s="48"/>
      <c r="H70" s="3"/>
      <c r="I70" s="48"/>
      <c r="J70" s="3"/>
      <c r="K70" s="48"/>
      <c r="L70" s="3"/>
      <c r="M70" s="48"/>
      <c r="N70" s="48"/>
      <c r="O70" s="48"/>
      <c r="P70" s="48"/>
      <c r="Q70" s="48"/>
      <c r="R70" s="48"/>
      <c r="S70" s="48"/>
      <c r="T70" s="48"/>
      <c r="U70" s="48"/>
      <c r="V70" s="3"/>
      <c r="W70" s="48"/>
      <c r="X70" s="3"/>
      <c r="Y70" s="48"/>
    </row>
    <row r="71" spans="1:25" ht="18" x14ac:dyDescent="0.25">
      <c r="A71" s="9" t="s">
        <v>29</v>
      </c>
      <c r="B71" s="165"/>
      <c r="C71" s="8"/>
      <c r="D71" s="7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25" ht="15.75" x14ac:dyDescent="0.25">
      <c r="A72" s="10"/>
    </row>
    <row r="73" spans="1:25" x14ac:dyDescent="0.2">
      <c r="A73" s="5" t="s">
        <v>27</v>
      </c>
    </row>
    <row r="74" spans="1:25" ht="13.5" thickBot="1" x14ac:dyDescent="0.25">
      <c r="B74" s="174"/>
      <c r="C74" s="8"/>
      <c r="D74" s="7"/>
      <c r="F74" s="6"/>
      <c r="G74" s="8"/>
      <c r="H74" s="7"/>
      <c r="I74" s="8"/>
      <c r="J74" s="6"/>
      <c r="K74" s="85"/>
      <c r="L74" s="86"/>
      <c r="M74" s="8"/>
      <c r="N74" s="8"/>
      <c r="O74" s="8"/>
      <c r="P74" s="8"/>
      <c r="Q74" s="8"/>
      <c r="R74" s="8"/>
      <c r="S74" s="8"/>
      <c r="T74" s="8"/>
      <c r="U74" s="8"/>
      <c r="V74" s="6"/>
      <c r="W74" s="8"/>
      <c r="X74" s="8"/>
      <c r="Y74" s="8"/>
    </row>
    <row r="75" spans="1:25" ht="13.5" thickTop="1" x14ac:dyDescent="0.2">
      <c r="A75" s="38"/>
      <c r="B75" s="167" t="s">
        <v>22</v>
      </c>
      <c r="C75" s="11"/>
      <c r="D75" s="12"/>
      <c r="E75" s="23"/>
      <c r="F75" s="22" t="s">
        <v>5</v>
      </c>
      <c r="G75" s="11"/>
      <c r="H75" s="12"/>
      <c r="I75" s="26"/>
      <c r="J75" s="110" t="s">
        <v>19</v>
      </c>
      <c r="K75" s="11"/>
      <c r="L75" s="12"/>
      <c r="M75" s="23"/>
      <c r="N75" s="110" t="s">
        <v>21</v>
      </c>
      <c r="O75" s="131"/>
      <c r="P75" s="111"/>
      <c r="Q75" s="112"/>
      <c r="R75" s="110" t="s">
        <v>20</v>
      </c>
      <c r="S75" s="131"/>
      <c r="T75" s="111"/>
      <c r="U75" s="112"/>
      <c r="V75" s="27" t="s">
        <v>1</v>
      </c>
      <c r="W75" s="11"/>
      <c r="X75" s="12"/>
      <c r="Y75" s="13"/>
    </row>
    <row r="76" spans="1:25" ht="25.5" x14ac:dyDescent="0.2">
      <c r="A76" s="39" t="s">
        <v>8</v>
      </c>
      <c r="B76" s="168" t="s">
        <v>2</v>
      </c>
      <c r="C76" s="34" t="s">
        <v>3</v>
      </c>
      <c r="D76" s="168" t="s">
        <v>9</v>
      </c>
      <c r="E76" s="35" t="s">
        <v>4</v>
      </c>
      <c r="F76" s="36" t="s">
        <v>2</v>
      </c>
      <c r="G76" s="34" t="s">
        <v>3</v>
      </c>
      <c r="H76" s="168" t="s">
        <v>10</v>
      </c>
      <c r="I76" s="34" t="s">
        <v>4</v>
      </c>
      <c r="J76" s="33" t="s">
        <v>2</v>
      </c>
      <c r="K76" s="34" t="s">
        <v>3</v>
      </c>
      <c r="L76" s="168" t="s">
        <v>10</v>
      </c>
      <c r="M76" s="35" t="s">
        <v>4</v>
      </c>
      <c r="N76" s="33" t="s">
        <v>2</v>
      </c>
      <c r="O76" s="34" t="s">
        <v>3</v>
      </c>
      <c r="P76" s="168" t="s">
        <v>10</v>
      </c>
      <c r="Q76" s="35" t="s">
        <v>4</v>
      </c>
      <c r="R76" s="33" t="s">
        <v>2</v>
      </c>
      <c r="S76" s="34" t="s">
        <v>3</v>
      </c>
      <c r="T76" s="168" t="s">
        <v>10</v>
      </c>
      <c r="U76" s="35" t="s">
        <v>4</v>
      </c>
      <c r="V76" s="33" t="s">
        <v>17</v>
      </c>
      <c r="W76" s="34" t="s">
        <v>3</v>
      </c>
      <c r="X76" s="168" t="s">
        <v>13</v>
      </c>
      <c r="Y76" s="37" t="s">
        <v>4</v>
      </c>
    </row>
    <row r="77" spans="1:25" x14ac:dyDescent="0.2">
      <c r="A77" s="96">
        <v>2025</v>
      </c>
      <c r="B77" s="169">
        <v>5300.55</v>
      </c>
      <c r="C77" s="91">
        <f>(B77-B78)/B78</f>
        <v>3.5000878683146858E-2</v>
      </c>
      <c r="D77" s="169">
        <v>14277.6</v>
      </c>
      <c r="E77" s="91">
        <f>(D77-D78)/D78</f>
        <v>3.500244658293919E-2</v>
      </c>
      <c r="F77" s="169">
        <v>5118.45</v>
      </c>
      <c r="G77" s="91">
        <f>(F77-F78)/F78</f>
        <v>8.0012660231049179E-2</v>
      </c>
      <c r="H77" s="169">
        <v>13793.1</v>
      </c>
      <c r="I77" s="91">
        <f>(H77-H78)/H78</f>
        <v>7.9994832223435827E-2</v>
      </c>
      <c r="J77" s="169">
        <v>5749.92</v>
      </c>
      <c r="K77" s="91">
        <f>(J77-J78)/J78</f>
        <v>3.4992223950233214E-2</v>
      </c>
      <c r="L77" s="169">
        <v>12857.88</v>
      </c>
      <c r="M77" s="91">
        <f>(L77-L78)/L78</f>
        <v>3.499603964221535E-2</v>
      </c>
      <c r="N77" s="169">
        <v>5749.92</v>
      </c>
      <c r="O77" s="91">
        <f>(N77-N78)/N78</f>
        <v>5.2428122734960232E-2</v>
      </c>
      <c r="P77" s="169">
        <v>12857.88</v>
      </c>
      <c r="Q77" s="91">
        <f>(P77-P78)/P78</f>
        <v>4.5019652209532551E-2</v>
      </c>
      <c r="R77" s="169">
        <v>5749.92</v>
      </c>
      <c r="S77" s="91">
        <f>(R77-R78)/R78</f>
        <v>3.4992223950233214E-2</v>
      </c>
      <c r="T77" s="169">
        <v>5749.92</v>
      </c>
      <c r="U77" s="91">
        <f>(T77-T78)/T78</f>
        <v>3.4992223950233214E-2</v>
      </c>
      <c r="V77" s="169">
        <v>12216.2</v>
      </c>
      <c r="W77" s="91">
        <f>(V77-V78)/V78</f>
        <v>2.5003775737947005E-2</v>
      </c>
      <c r="X77" s="169">
        <v>27701.4</v>
      </c>
      <c r="Y77" s="91">
        <f>(X77-X78)/X78</f>
        <v>2.499833492440565E-2</v>
      </c>
    </row>
    <row r="78" spans="1:25" x14ac:dyDescent="0.2">
      <c r="A78" s="96">
        <v>2024</v>
      </c>
      <c r="B78" s="169">
        <v>5121.3</v>
      </c>
      <c r="C78" s="91">
        <f>(B78-B79)/B79</f>
        <v>2.8001927014332167E-2</v>
      </c>
      <c r="D78" s="169">
        <v>13794.75</v>
      </c>
      <c r="E78" s="91">
        <f>(D78-D79)/D79</f>
        <v>2.8001341381623072E-2</v>
      </c>
      <c r="F78" s="169">
        <v>4739.25</v>
      </c>
      <c r="G78" s="91">
        <f>(F78-F79)/F79</f>
        <v>2.8014576690310326E-2</v>
      </c>
      <c r="H78" s="169">
        <v>12771.45</v>
      </c>
      <c r="I78" s="91">
        <f>(H78-H79)/H79</f>
        <v>2.7999130686757492E-2</v>
      </c>
      <c r="J78" s="169">
        <v>5555.52</v>
      </c>
      <c r="K78" s="91">
        <f>(J78-J79)/J79</f>
        <v>2.80004440990342E-2</v>
      </c>
      <c r="L78" s="169">
        <v>12423.12</v>
      </c>
      <c r="M78" s="91">
        <f>(L78-L79)/L79</f>
        <v>2.8002303735626601E-2</v>
      </c>
      <c r="N78" s="169">
        <v>5463.48</v>
      </c>
      <c r="O78" s="91">
        <f>(N78-N79)/N79</f>
        <v>2.7997922734764702E-2</v>
      </c>
      <c r="P78" s="169">
        <v>12303.96</v>
      </c>
      <c r="Q78" s="91">
        <f>(P78-P79)/P79</f>
        <v>2.800280729897733E-2</v>
      </c>
      <c r="R78" s="169">
        <v>5555.52</v>
      </c>
      <c r="S78" s="91">
        <f>(R78-R79)/R79</f>
        <v>2.80004440990342E-2</v>
      </c>
      <c r="T78" s="169">
        <v>5555.52</v>
      </c>
      <c r="U78" s="91">
        <f>(T78-T79)/T79</f>
        <v>2.80004440990342E-2</v>
      </c>
      <c r="V78" s="169">
        <v>11918.2</v>
      </c>
      <c r="W78" s="91">
        <f>(V78-V79)/V79</f>
        <v>2.799820590670718E-2</v>
      </c>
      <c r="X78" s="169">
        <v>27025.8</v>
      </c>
      <c r="Y78" s="91">
        <f>(X78-X79)/X79</f>
        <v>2.7995648502461033E-2</v>
      </c>
    </row>
    <row r="79" spans="1:25" x14ac:dyDescent="0.2">
      <c r="A79" s="96">
        <v>2023</v>
      </c>
      <c r="B79" s="169">
        <v>4981.8</v>
      </c>
      <c r="C79" s="91">
        <f>(B79-B80)/B80</f>
        <v>5.0015807777426535E-2</v>
      </c>
      <c r="D79" s="169">
        <v>13419</v>
      </c>
      <c r="E79" s="91">
        <f>(D79-D80)/D80</f>
        <v>0.05</v>
      </c>
      <c r="F79" s="169">
        <v>4610.1000000000004</v>
      </c>
      <c r="G79" s="91">
        <f>(F79-F80)/F80</f>
        <v>5.0017082336863763E-2</v>
      </c>
      <c r="H79" s="169">
        <v>12423.6</v>
      </c>
      <c r="I79" s="91">
        <f>(H79-H80)/H80</f>
        <v>5.0000000000000031E-2</v>
      </c>
      <c r="J79" s="169">
        <v>5404.2</v>
      </c>
      <c r="K79" s="91">
        <f>(J79-J80)/J80</f>
        <v>5.0011657729074302E-2</v>
      </c>
      <c r="L79" s="169">
        <v>12084.72</v>
      </c>
      <c r="M79" s="113">
        <f>(L79-L80)/L80</f>
        <v>5.0005213220727644E-2</v>
      </c>
      <c r="N79" s="169">
        <v>5314.68</v>
      </c>
      <c r="O79" s="91">
        <f>(N79-N80)/N80</f>
        <v>4.9999999999999982E-2</v>
      </c>
      <c r="P79" s="169">
        <v>11968.8</v>
      </c>
      <c r="Q79" s="113">
        <f>(P79-P80)/P80</f>
        <v>5.0005263711969686E-2</v>
      </c>
      <c r="R79" s="169">
        <v>5404.2</v>
      </c>
      <c r="S79" s="113">
        <f>(R79-R80)/R80</f>
        <v>5.0011657729074302E-2</v>
      </c>
      <c r="T79" s="169">
        <v>5404.2</v>
      </c>
      <c r="U79" s="113">
        <f>(T79-T80)/T80</f>
        <v>5.0011657729074302E-2</v>
      </c>
      <c r="V79" s="169">
        <v>11593.6</v>
      </c>
      <c r="W79" s="113">
        <f>(V79-V80)/V80</f>
        <v>2.9992892679459877E-2</v>
      </c>
      <c r="X79" s="169">
        <v>26289.8</v>
      </c>
      <c r="Y79" s="113">
        <f>(X79-X80)/X80</f>
        <v>3.0003134304967843E-2</v>
      </c>
    </row>
    <row r="80" spans="1:25" x14ac:dyDescent="0.2">
      <c r="A80" s="96">
        <v>2022</v>
      </c>
      <c r="B80" s="169">
        <v>4744.5</v>
      </c>
      <c r="C80" s="91">
        <f>(B80-B81)/B81</f>
        <v>0</v>
      </c>
      <c r="D80" s="169">
        <v>12780</v>
      </c>
      <c r="E80" s="95">
        <f>(D80-D81)/D81</f>
        <v>0</v>
      </c>
      <c r="F80" s="169">
        <v>4390.5</v>
      </c>
      <c r="G80" s="91">
        <f>(F80-F81)/F81</f>
        <v>0</v>
      </c>
      <c r="H80" s="169">
        <v>11832</v>
      </c>
      <c r="I80" s="91">
        <f>(H80-H81)/H81</f>
        <v>0</v>
      </c>
      <c r="J80" s="169">
        <v>5146.8</v>
      </c>
      <c r="K80" s="91">
        <f>(J80-J81)/J81</f>
        <v>0</v>
      </c>
      <c r="L80" s="169">
        <v>11509.2</v>
      </c>
      <c r="M80" s="113">
        <f>(L80-L81)/L81</f>
        <v>0</v>
      </c>
      <c r="N80" s="169">
        <v>5061.6000000000004</v>
      </c>
      <c r="O80" s="91">
        <f>(N80-N81)/N81</f>
        <v>0</v>
      </c>
      <c r="P80" s="169">
        <v>11398.8</v>
      </c>
      <c r="Q80" s="113">
        <f>(P80-P81)/P81</f>
        <v>0</v>
      </c>
      <c r="R80" s="169">
        <v>5146.8</v>
      </c>
      <c r="S80" s="91">
        <f>(R80-R81)/R81</f>
        <v>0</v>
      </c>
      <c r="T80" s="169">
        <v>5146.8</v>
      </c>
      <c r="U80" s="113">
        <f>(T80-T81)/T81</f>
        <v>0</v>
      </c>
      <c r="V80" s="169">
        <v>11256</v>
      </c>
      <c r="W80" s="91">
        <f>(V80-V81)/V81</f>
        <v>0</v>
      </c>
      <c r="X80" s="169">
        <v>25524</v>
      </c>
      <c r="Y80" s="94">
        <f>(X80-X81)/X81</f>
        <v>0</v>
      </c>
    </row>
    <row r="81" spans="1:25" x14ac:dyDescent="0.2">
      <c r="A81" s="96">
        <v>2021</v>
      </c>
      <c r="B81" s="169">
        <v>4744.5</v>
      </c>
      <c r="C81" s="91">
        <f>(B81-B82)/B82</f>
        <v>1.2160000000000001E-2</v>
      </c>
      <c r="D81" s="169">
        <v>12780</v>
      </c>
      <c r="E81" s="95">
        <f>(D81-D82)/D82</f>
        <v>1.2237139123203041E-2</v>
      </c>
      <c r="F81" s="169">
        <v>4390.5</v>
      </c>
      <c r="G81" s="91">
        <f>(F81-F82)/F82</f>
        <v>1.7085255424568598E-4</v>
      </c>
      <c r="H81" s="169">
        <v>11832</v>
      </c>
      <c r="I81" s="91">
        <f>(H81-H82)/H82</f>
        <v>0</v>
      </c>
      <c r="J81" s="169">
        <v>5146.8</v>
      </c>
      <c r="K81" s="91">
        <f>(J81-J82)/J82</f>
        <v>7.9905992949471562E-3</v>
      </c>
      <c r="L81" s="169">
        <v>11509.2</v>
      </c>
      <c r="M81" s="113">
        <f>(L81-L82)/L82</f>
        <v>-1.3536026655558921E-3</v>
      </c>
      <c r="N81" s="169">
        <v>5061.6000000000004</v>
      </c>
      <c r="O81" s="91">
        <f>(N81-N82)/N82</f>
        <v>2.3764258555133079E-3</v>
      </c>
      <c r="P81" s="169">
        <v>11398.8</v>
      </c>
      <c r="Q81" s="113">
        <f>(P81-P82)/P82</f>
        <v>0</v>
      </c>
      <c r="R81" s="169">
        <v>5146.8</v>
      </c>
      <c r="S81" s="91">
        <f>(R81-R82)/R82</f>
        <v>7.9905992949471562E-3</v>
      </c>
      <c r="T81" s="169">
        <v>5146.8</v>
      </c>
      <c r="U81" s="113">
        <f>(T81-T82)/T82</f>
        <v>7.9905992949471562E-3</v>
      </c>
      <c r="V81" s="169">
        <v>11256</v>
      </c>
      <c r="W81" s="91">
        <f>(V81-V82)/V82</f>
        <v>0</v>
      </c>
      <c r="X81" s="169">
        <v>25524</v>
      </c>
      <c r="Y81" s="94">
        <f>(X81-X82)/X82</f>
        <v>0</v>
      </c>
    </row>
    <row r="82" spans="1:25" x14ac:dyDescent="0.2">
      <c r="A82" s="96">
        <v>2020</v>
      </c>
      <c r="B82" s="169">
        <v>4687.5</v>
      </c>
      <c r="C82" s="91">
        <v>0</v>
      </c>
      <c r="D82" s="169">
        <v>12625.5</v>
      </c>
      <c r="E82" s="95">
        <v>0</v>
      </c>
      <c r="F82" s="169">
        <v>4389.75</v>
      </c>
      <c r="G82" s="91">
        <v>0</v>
      </c>
      <c r="H82" s="169">
        <v>11832</v>
      </c>
      <c r="I82" s="91">
        <v>0</v>
      </c>
      <c r="J82" s="169">
        <v>5106</v>
      </c>
      <c r="K82" s="91">
        <v>0</v>
      </c>
      <c r="L82" s="169">
        <v>11524.8</v>
      </c>
      <c r="M82" s="113">
        <v>0</v>
      </c>
      <c r="N82" s="169">
        <v>5049.6000000000004</v>
      </c>
      <c r="O82" s="91">
        <v>0</v>
      </c>
      <c r="P82" s="169">
        <v>11398.8</v>
      </c>
      <c r="Q82" s="113">
        <v>0</v>
      </c>
      <c r="R82" s="169">
        <v>5106</v>
      </c>
      <c r="S82" s="91">
        <v>0</v>
      </c>
      <c r="T82" s="169">
        <v>5106</v>
      </c>
      <c r="U82" s="113">
        <v>0</v>
      </c>
      <c r="V82" s="169">
        <v>11256</v>
      </c>
      <c r="W82" s="91">
        <v>0</v>
      </c>
      <c r="X82" s="169">
        <v>25524</v>
      </c>
      <c r="Y82" s="94">
        <v>0</v>
      </c>
    </row>
    <row r="83" spans="1:25" x14ac:dyDescent="0.2">
      <c r="A83" s="96">
        <v>2019</v>
      </c>
      <c r="B83" s="169">
        <f>312.5*15</f>
        <v>4687.5</v>
      </c>
      <c r="C83" s="91">
        <f>(B83-B84)/B84</f>
        <v>0</v>
      </c>
      <c r="D83" s="169">
        <f>841.7*15</f>
        <v>12625.5</v>
      </c>
      <c r="E83" s="95">
        <f>(D83-D84)/D84</f>
        <v>1.4952369468226215E-2</v>
      </c>
      <c r="F83" s="169">
        <f>292.65*15</f>
        <v>4389.75</v>
      </c>
      <c r="G83" s="91">
        <f>(F83-F84)/F84</f>
        <v>0</v>
      </c>
      <c r="H83" s="169">
        <f>788.8*15</f>
        <v>11832</v>
      </c>
      <c r="I83" s="91">
        <f>(H83-H84)/H84</f>
        <v>1.5055977351692189E-2</v>
      </c>
      <c r="J83" s="169">
        <f>425.5*12</f>
        <v>5106</v>
      </c>
      <c r="K83" s="91">
        <f>(J83-J84)/J84</f>
        <v>1.5028625954198547E-2</v>
      </c>
      <c r="L83" s="169">
        <f>960.4*12</f>
        <v>11524.8</v>
      </c>
      <c r="M83" s="113">
        <f>(L83-L84)/L84</f>
        <v>1.500739801310502E-2</v>
      </c>
      <c r="N83" s="169">
        <f>420.8*12</f>
        <v>5049.6000000000004</v>
      </c>
      <c r="O83" s="91">
        <f t="shared" ref="O83:O90" si="31">(N83-N84)/N84</f>
        <v>1.4954172696575122E-2</v>
      </c>
      <c r="P83" s="169">
        <f>949.9*12</f>
        <v>11398.8</v>
      </c>
      <c r="Q83" s="113">
        <f t="shared" ref="Q83:Q90" si="32">(P83-P84)/P84</f>
        <v>1.4958863126402395E-2</v>
      </c>
      <c r="R83" s="169">
        <f>425.5*12</f>
        <v>5106</v>
      </c>
      <c r="S83" s="91">
        <f t="shared" ref="S83:S89" si="33">(R83-R84)/R84</f>
        <v>1.5028625954198547E-2</v>
      </c>
      <c r="T83" s="169">
        <f>425.5*12</f>
        <v>5106</v>
      </c>
      <c r="U83" s="113">
        <f t="shared" ref="U83:U89" si="34">(T83-T84)/T84</f>
        <v>1.5028625954198547E-2</v>
      </c>
      <c r="V83" s="169">
        <f>562.8*20</f>
        <v>11256</v>
      </c>
      <c r="W83" s="91">
        <f>(V83-V84)/V84</f>
        <v>0</v>
      </c>
      <c r="X83" s="169">
        <f>1276.2*20</f>
        <v>25524</v>
      </c>
      <c r="Y83" s="94">
        <f>(X83-X84)/X84</f>
        <v>0</v>
      </c>
    </row>
    <row r="84" spans="1:25" s="97" customFormat="1" x14ac:dyDescent="0.2">
      <c r="A84" s="96">
        <v>2018</v>
      </c>
      <c r="B84" s="169">
        <v>4687.5</v>
      </c>
      <c r="C84" s="91">
        <f>(B84-B85)/B85</f>
        <v>1.0999676480103526E-2</v>
      </c>
      <c r="D84" s="169">
        <v>12439.5</v>
      </c>
      <c r="E84" s="95">
        <f>(D84-D85)/D85</f>
        <v>1.1094854913435747E-2</v>
      </c>
      <c r="F84" s="169">
        <v>4389.75</v>
      </c>
      <c r="G84" s="91">
        <f>(F84-F85)/F85</f>
        <v>0</v>
      </c>
      <c r="H84" s="169">
        <v>11656.5</v>
      </c>
      <c r="I84" s="91">
        <f>(H84-H85)/H85</f>
        <v>0</v>
      </c>
      <c r="J84" s="169">
        <v>5030.3999999999996</v>
      </c>
      <c r="K84" s="91">
        <f>(J84-J85)/J85</f>
        <v>1.1095031355523361E-2</v>
      </c>
      <c r="L84" s="169">
        <v>11354.4</v>
      </c>
      <c r="M84" s="113">
        <f>(L84-L85)/L85</f>
        <v>1.1005449300138937E-2</v>
      </c>
      <c r="N84" s="169">
        <v>4975.2</v>
      </c>
      <c r="O84" s="91">
        <f t="shared" si="31"/>
        <v>0</v>
      </c>
      <c r="P84" s="169">
        <v>11230.8</v>
      </c>
      <c r="Q84" s="113">
        <f t="shared" si="32"/>
        <v>0</v>
      </c>
      <c r="R84" s="169">
        <v>5030.3999999999996</v>
      </c>
      <c r="S84" s="91">
        <f t="shared" si="33"/>
        <v>1.1095031355523361E-2</v>
      </c>
      <c r="T84" s="169">
        <v>5030.3999999999996</v>
      </c>
      <c r="U84" s="113">
        <f t="shared" si="34"/>
        <v>1.1095031355523361E-2</v>
      </c>
      <c r="V84" s="169">
        <v>11256</v>
      </c>
      <c r="W84" s="91">
        <f>(V84-V85)/V85</f>
        <v>0</v>
      </c>
      <c r="X84" s="169">
        <v>25524</v>
      </c>
      <c r="Y84" s="94">
        <f>(X84-X85)/X85</f>
        <v>0</v>
      </c>
    </row>
    <row r="85" spans="1:25" s="97" customFormat="1" x14ac:dyDescent="0.2">
      <c r="A85" s="96">
        <v>2017</v>
      </c>
      <c r="B85" s="169">
        <v>4636.5</v>
      </c>
      <c r="C85" s="91">
        <f>(B85-B86)/B86</f>
        <v>2.8961384820239681E-2</v>
      </c>
      <c r="D85" s="169">
        <v>12303</v>
      </c>
      <c r="E85" s="95">
        <f>(D85-D86)/D86</f>
        <v>2.8980052691004891E-2</v>
      </c>
      <c r="F85" s="169">
        <v>4389.75</v>
      </c>
      <c r="G85" s="91">
        <f>(F85-F86)/F86</f>
        <v>2.90084388185654E-2</v>
      </c>
      <c r="H85" s="169">
        <v>11656.5</v>
      </c>
      <c r="I85" s="91">
        <f>(H85-H86)/H86</f>
        <v>2.8998940677966101E-2</v>
      </c>
      <c r="J85" s="169">
        <v>4975.2</v>
      </c>
      <c r="K85" s="91">
        <f>(J85-J86)/J86</f>
        <v>2.9039463886820667E-2</v>
      </c>
      <c r="L85" s="169">
        <v>11230.8</v>
      </c>
      <c r="M85" s="113">
        <f>(L85-L86)/L86</f>
        <v>2.9026937877954854E-2</v>
      </c>
      <c r="N85" s="169">
        <v>4975.2</v>
      </c>
      <c r="O85" s="91">
        <f t="shared" si="31"/>
        <v>2.9039463886820667E-2</v>
      </c>
      <c r="P85" s="169">
        <v>11230.8</v>
      </c>
      <c r="Q85" s="113">
        <f t="shared" si="32"/>
        <v>2.9026937877954854E-2</v>
      </c>
      <c r="R85" s="169">
        <v>4975.2</v>
      </c>
      <c r="S85" s="91">
        <f t="shared" si="33"/>
        <v>2.9039463886820667E-2</v>
      </c>
      <c r="T85" s="169">
        <v>4975.2</v>
      </c>
      <c r="U85" s="113">
        <f t="shared" si="34"/>
        <v>2.9039463886820667E-2</v>
      </c>
      <c r="V85" s="169">
        <v>11256</v>
      </c>
      <c r="W85" s="91">
        <f>(V85-V86)/V86</f>
        <v>0</v>
      </c>
      <c r="X85" s="169">
        <v>25524</v>
      </c>
      <c r="Y85" s="94">
        <f>(X85-X86)/X86</f>
        <v>0</v>
      </c>
    </row>
    <row r="86" spans="1:25" s="97" customFormat="1" x14ac:dyDescent="0.2">
      <c r="A86" s="72">
        <v>2016</v>
      </c>
      <c r="B86" s="169">
        <f>300.4*15</f>
        <v>4506</v>
      </c>
      <c r="C86" s="91">
        <f>(B86-B87)/B87</f>
        <v>5.8119056005635786E-2</v>
      </c>
      <c r="D86" s="169">
        <f>797.1*15</f>
        <v>11956.5</v>
      </c>
      <c r="E86" s="95">
        <f>(D86-D87)/D87</f>
        <v>5.8284652150823152E-2</v>
      </c>
      <c r="F86" s="169">
        <f>284.4*15</f>
        <v>4266</v>
      </c>
      <c r="G86" s="91">
        <f>(F86-F87)/F87</f>
        <v>5.8035714285714288E-2</v>
      </c>
      <c r="H86" s="169">
        <f>755.2*15</f>
        <v>11328</v>
      </c>
      <c r="I86" s="91">
        <f>(H86-H87)/H87</f>
        <v>5.829596412556054E-2</v>
      </c>
      <c r="J86" s="169">
        <f>402.9*12</f>
        <v>4834.7999999999993</v>
      </c>
      <c r="K86" s="91">
        <f>(J86-J87)/J87</f>
        <v>5.8035714285714045E-2</v>
      </c>
      <c r="L86" s="169">
        <f>909.5*12</f>
        <v>10914</v>
      </c>
      <c r="M86" s="113">
        <f>(L86-L87)/L87</f>
        <v>5.829648592040966E-2</v>
      </c>
      <c r="N86" s="169">
        <f>402.9*12</f>
        <v>4834.7999999999993</v>
      </c>
      <c r="O86" s="91">
        <f t="shared" si="31"/>
        <v>5.8035714285714045E-2</v>
      </c>
      <c r="P86" s="169">
        <f>909.5*12</f>
        <v>10914</v>
      </c>
      <c r="Q86" s="113">
        <f t="shared" si="32"/>
        <v>5.829648592040966E-2</v>
      </c>
      <c r="R86" s="169">
        <f>402.9*12</f>
        <v>4834.7999999999993</v>
      </c>
      <c r="S86" s="91">
        <f t="shared" si="33"/>
        <v>5.8035714285714045E-2</v>
      </c>
      <c r="T86" s="169">
        <f>R86</f>
        <v>4834.7999999999993</v>
      </c>
      <c r="U86" s="113">
        <f t="shared" si="34"/>
        <v>5.8035714285714045E-2</v>
      </c>
      <c r="V86" s="169">
        <f>562.8*20</f>
        <v>11256</v>
      </c>
      <c r="W86" s="91">
        <f>(V86-V87)/V87</f>
        <v>3.0014641288433383E-2</v>
      </c>
      <c r="X86" s="169">
        <f>1276.2*20</f>
        <v>25524</v>
      </c>
      <c r="Y86" s="94">
        <f>(X86-X87)/X87</f>
        <v>3.0024213075060532E-2</v>
      </c>
    </row>
    <row r="87" spans="1:25" x14ac:dyDescent="0.2">
      <c r="A87" s="72">
        <v>2015</v>
      </c>
      <c r="B87" s="169">
        <f>283.9*15</f>
        <v>4258.5</v>
      </c>
      <c r="C87" s="91">
        <f>(B87-B88)/B88</f>
        <v>3.5753374680773442E-2</v>
      </c>
      <c r="D87" s="169">
        <f>753.2*15</f>
        <v>11298</v>
      </c>
      <c r="E87" s="95">
        <f>(D87-D88)/D88</f>
        <v>3.5896025306010181E-2</v>
      </c>
      <c r="F87" s="169">
        <f>268.8*15</f>
        <v>4032</v>
      </c>
      <c r="G87" s="91">
        <f>(F87-F88)/F88</f>
        <v>3.5838150289017344E-2</v>
      </c>
      <c r="H87" s="169">
        <f>713.6*15</f>
        <v>10704</v>
      </c>
      <c r="I87" s="91">
        <f>(H87-H88)/H88</f>
        <v>3.6004645760743324E-2</v>
      </c>
      <c r="J87" s="169">
        <f>380.8*12</f>
        <v>4569.6000000000004</v>
      </c>
      <c r="K87" s="91">
        <f>(J87-J88)/J88</f>
        <v>3.5908596300326355E-2</v>
      </c>
      <c r="L87" s="169">
        <f>859.4*12</f>
        <v>10312.799999999999</v>
      </c>
      <c r="M87" s="113">
        <f>(L87-L88)/L88</f>
        <v>3.5920925747347968E-2</v>
      </c>
      <c r="N87" s="169">
        <f>380.8*12</f>
        <v>4569.6000000000004</v>
      </c>
      <c r="O87" s="91">
        <f t="shared" si="31"/>
        <v>3.5908596300326355E-2</v>
      </c>
      <c r="P87" s="169">
        <f>859.4*12</f>
        <v>10312.799999999999</v>
      </c>
      <c r="Q87" s="113">
        <f t="shared" si="32"/>
        <v>3.5920925747347968E-2</v>
      </c>
      <c r="R87" s="169">
        <f>380.8*12</f>
        <v>4569.6000000000004</v>
      </c>
      <c r="S87" s="91">
        <f t="shared" si="33"/>
        <v>3.5908596300326355E-2</v>
      </c>
      <c r="T87" s="169">
        <f>R87</f>
        <v>4569.6000000000004</v>
      </c>
      <c r="U87" s="113">
        <f t="shared" si="34"/>
        <v>3.5908596300326355E-2</v>
      </c>
      <c r="V87" s="169">
        <f>546.4*20</f>
        <v>10928</v>
      </c>
      <c r="W87" s="91">
        <f>(V87-V88)/V88</f>
        <v>2.9971724787935909E-2</v>
      </c>
      <c r="X87" s="169">
        <f>1239*20</f>
        <v>24780</v>
      </c>
      <c r="Y87" s="94">
        <f>(X87-X88)/X88</f>
        <v>2.9925187032418952E-2</v>
      </c>
    </row>
    <row r="88" spans="1:25" x14ac:dyDescent="0.2">
      <c r="A88" s="72">
        <v>2014</v>
      </c>
      <c r="B88" s="169">
        <f>274.1*15</f>
        <v>4111.5</v>
      </c>
      <c r="C88" s="91">
        <f t="shared" ref="C88:C93" si="35">(B88-B89)/B89</f>
        <v>5.0191570881226055E-2</v>
      </c>
      <c r="D88" s="169">
        <f>727.1*15</f>
        <v>10906.5</v>
      </c>
      <c r="E88" s="95">
        <f t="shared" ref="E88:E93" si="36">(D88-D89)/D89</f>
        <v>4.9963898916967509E-2</v>
      </c>
      <c r="F88" s="169">
        <f>259.5*15</f>
        <v>3892.5</v>
      </c>
      <c r="G88" s="91">
        <f t="shared" ref="G88:G93" si="37">(F88-F89)/F89</f>
        <v>5.0182112505058683E-2</v>
      </c>
      <c r="H88" s="169">
        <f>688.8*15</f>
        <v>10332</v>
      </c>
      <c r="I88" s="91">
        <f t="shared" ref="I88:I93" si="38">(H88-H89)/H89</f>
        <v>0.05</v>
      </c>
      <c r="J88" s="169">
        <f>367.6*12</f>
        <v>4411.2000000000007</v>
      </c>
      <c r="K88" s="91">
        <f t="shared" ref="K88:K93" si="39">(J88-J89)/J89</f>
        <v>4.9985718366181084E-2</v>
      </c>
      <c r="L88" s="169">
        <f>829.6*12</f>
        <v>9955.2000000000007</v>
      </c>
      <c r="M88" s="113">
        <f t="shared" ref="M88:M93" si="40">(L88-L89)/L89</f>
        <v>4.9993671687128205E-2</v>
      </c>
      <c r="N88" s="169">
        <f>367.6*12</f>
        <v>4411.2000000000007</v>
      </c>
      <c r="O88" s="91">
        <f t="shared" si="31"/>
        <v>4.9985718366181084E-2</v>
      </c>
      <c r="P88" s="169">
        <f>829.6*12</f>
        <v>9955.2000000000007</v>
      </c>
      <c r="Q88" s="113">
        <f t="shared" si="32"/>
        <v>4.9993671687128205E-2</v>
      </c>
      <c r="R88" s="169">
        <f>367.6*12</f>
        <v>4411.2000000000007</v>
      </c>
      <c r="S88" s="91">
        <f t="shared" si="33"/>
        <v>4.9985718366181084E-2</v>
      </c>
      <c r="T88" s="169">
        <f>R88</f>
        <v>4411.2000000000007</v>
      </c>
      <c r="U88" s="113">
        <f t="shared" si="34"/>
        <v>4.9985718366181084E-2</v>
      </c>
      <c r="V88" s="169">
        <f>530.5*20</f>
        <v>10610</v>
      </c>
      <c r="W88" s="91">
        <f t="shared" ref="W88:W93" si="41">(V88-V89)/V89</f>
        <v>3.5323965651834502E-2</v>
      </c>
      <c r="X88" s="169">
        <f>1203*20</f>
        <v>24060</v>
      </c>
      <c r="Y88" s="94">
        <f t="shared" ref="Y88:Y93" si="42">(X88-X89)/X89</f>
        <v>3.5194905774029776E-2</v>
      </c>
    </row>
    <row r="89" spans="1:25" x14ac:dyDescent="0.2">
      <c r="A89" s="72">
        <v>2013</v>
      </c>
      <c r="B89" s="169">
        <f>261*15</f>
        <v>3915</v>
      </c>
      <c r="C89" s="91">
        <f t="shared" si="35"/>
        <v>7.0110701107011064E-2</v>
      </c>
      <c r="D89" s="169">
        <f>692.5*15</f>
        <v>10387.5</v>
      </c>
      <c r="E89" s="95">
        <f t="shared" si="36"/>
        <v>6.9993819530284301E-2</v>
      </c>
      <c r="F89" s="169">
        <f>247.1*15</f>
        <v>3706.5</v>
      </c>
      <c r="G89" s="91">
        <f t="shared" si="37"/>
        <v>6.6465256797583083E-2</v>
      </c>
      <c r="H89" s="169">
        <f>656*15</f>
        <v>9840</v>
      </c>
      <c r="I89" s="91">
        <f t="shared" si="38"/>
        <v>6.8752036493971977E-2</v>
      </c>
      <c r="J89" s="169">
        <f>350.1*12</f>
        <v>4201.2000000000007</v>
      </c>
      <c r="K89" s="91">
        <f t="shared" si="39"/>
        <v>6.9960524640265045E-2</v>
      </c>
      <c r="L89" s="169">
        <f>790.1*12</f>
        <v>9481.2000000000007</v>
      </c>
      <c r="M89" s="113">
        <f t="shared" si="40"/>
        <v>6.9992100214422828E-2</v>
      </c>
      <c r="N89" s="169">
        <f>350.1*12</f>
        <v>4201.2000000000007</v>
      </c>
      <c r="O89" s="91">
        <f t="shared" si="31"/>
        <v>6.9960524640265045E-2</v>
      </c>
      <c r="P89" s="169">
        <f>790.1*12</f>
        <v>9481.2000000000007</v>
      </c>
      <c r="Q89" s="113">
        <f t="shared" si="32"/>
        <v>6.9992100214422828E-2</v>
      </c>
      <c r="R89" s="169">
        <f>350.1*12</f>
        <v>4201.2000000000007</v>
      </c>
      <c r="S89" s="91">
        <f t="shared" si="33"/>
        <v>6.9960524640265045E-2</v>
      </c>
      <c r="T89" s="169">
        <f>R89</f>
        <v>4201.2000000000007</v>
      </c>
      <c r="U89" s="113">
        <f t="shared" si="34"/>
        <v>6.9960524640265045E-2</v>
      </c>
      <c r="V89" s="169">
        <f>512.4*20</f>
        <v>10248</v>
      </c>
      <c r="W89" s="91">
        <f t="shared" si="41"/>
        <v>3.0985915492957747E-2</v>
      </c>
      <c r="X89" s="169">
        <f>1162.1*20</f>
        <v>23242</v>
      </c>
      <c r="Y89" s="94">
        <f t="shared" si="42"/>
        <v>3.0413193828693029E-2</v>
      </c>
    </row>
    <row r="90" spans="1:25" x14ac:dyDescent="0.2">
      <c r="A90" s="72">
        <v>2012</v>
      </c>
      <c r="B90" s="169">
        <v>3658.5</v>
      </c>
      <c r="C90" s="91">
        <f t="shared" si="35"/>
        <v>5.4930795847750867E-2</v>
      </c>
      <c r="D90" s="169">
        <v>9708</v>
      </c>
      <c r="E90" s="95">
        <f t="shared" si="36"/>
        <v>5.510270622758396E-2</v>
      </c>
      <c r="F90" s="169">
        <v>3475.5</v>
      </c>
      <c r="G90" s="91">
        <f t="shared" si="37"/>
        <v>5.5100182149362478E-2</v>
      </c>
      <c r="H90" s="169">
        <v>9207</v>
      </c>
      <c r="I90" s="91">
        <f t="shared" si="38"/>
        <v>5.5001718803712615E-2</v>
      </c>
      <c r="J90" s="169">
        <v>3926.5</v>
      </c>
      <c r="K90" s="91">
        <f t="shared" si="39"/>
        <v>5.5227089492072022E-2</v>
      </c>
      <c r="L90" s="169">
        <v>8861</v>
      </c>
      <c r="M90" s="113">
        <f t="shared" si="40"/>
        <v>5.5006548398618883E-2</v>
      </c>
      <c r="N90" s="169">
        <v>3926.5</v>
      </c>
      <c r="O90" s="91">
        <f t="shared" si="31"/>
        <v>5.5227089492072022E-2</v>
      </c>
      <c r="P90" s="169">
        <v>8861</v>
      </c>
      <c r="Q90" s="113">
        <f t="shared" si="32"/>
        <v>5.5006548398618883E-2</v>
      </c>
      <c r="R90" s="169">
        <f>J90</f>
        <v>3926.5</v>
      </c>
      <c r="S90" s="91"/>
      <c r="T90" s="169">
        <f>R90</f>
        <v>3926.5</v>
      </c>
      <c r="U90" s="113"/>
      <c r="V90" s="169">
        <v>9940</v>
      </c>
      <c r="W90" s="91">
        <f t="shared" si="41"/>
        <v>5.4977711738484397E-2</v>
      </c>
      <c r="X90" s="169">
        <v>22556</v>
      </c>
      <c r="Y90" s="94">
        <f t="shared" si="42"/>
        <v>3.0236594500776467E-2</v>
      </c>
    </row>
    <row r="91" spans="1:25" x14ac:dyDescent="0.2">
      <c r="A91" s="72">
        <v>2011</v>
      </c>
      <c r="B91" s="169">
        <f>6936/2</f>
        <v>3468</v>
      </c>
      <c r="C91" s="91">
        <f t="shared" si="35"/>
        <v>3.9568345323741004E-2</v>
      </c>
      <c r="D91" s="169">
        <f>18402/2</f>
        <v>9201</v>
      </c>
      <c r="E91" s="95">
        <f t="shared" si="36"/>
        <v>3.9661016949152542E-2</v>
      </c>
      <c r="F91" s="169">
        <f>6588/2</f>
        <v>3294</v>
      </c>
      <c r="G91" s="91">
        <f t="shared" si="37"/>
        <v>4.2735042735042736E-2</v>
      </c>
      <c r="H91" s="169">
        <f>17454/2</f>
        <v>8727</v>
      </c>
      <c r="I91" s="91">
        <f t="shared" si="38"/>
        <v>4.2652329749103941E-2</v>
      </c>
      <c r="J91" s="169">
        <f>7442/2</f>
        <v>3721</v>
      </c>
      <c r="K91" s="91">
        <f t="shared" si="39"/>
        <v>3.9530660706802626E-2</v>
      </c>
      <c r="L91" s="169">
        <f>16798/2</f>
        <v>8399</v>
      </c>
      <c r="M91" s="113">
        <f t="shared" si="40"/>
        <v>3.9673206659652162E-2</v>
      </c>
      <c r="N91" s="169">
        <f>7442/2</f>
        <v>3721</v>
      </c>
      <c r="O91" s="91"/>
      <c r="P91" s="169">
        <f>16798/2</f>
        <v>8399</v>
      </c>
      <c r="Q91" s="113"/>
      <c r="R91" s="132"/>
      <c r="S91" s="133"/>
      <c r="T91" s="134"/>
      <c r="U91" s="135"/>
      <c r="V91" s="169">
        <v>9422</v>
      </c>
      <c r="W91" s="91">
        <f t="shared" si="41"/>
        <v>4.9688057040998219E-2</v>
      </c>
      <c r="X91" s="169">
        <f>43788/2</f>
        <v>21894</v>
      </c>
      <c r="Y91" s="94">
        <f t="shared" si="42"/>
        <v>4.9870528435791692E-2</v>
      </c>
    </row>
    <row r="92" spans="1:25" s="97" customFormat="1" x14ac:dyDescent="0.2">
      <c r="A92" s="96">
        <v>2010</v>
      </c>
      <c r="B92" s="175">
        <f>6672/2</f>
        <v>3336</v>
      </c>
      <c r="C92" s="91">
        <f t="shared" si="35"/>
        <v>7.8564500484966049E-2</v>
      </c>
      <c r="D92" s="175">
        <f>17700/2</f>
        <v>8850</v>
      </c>
      <c r="E92" s="95">
        <f t="shared" si="36"/>
        <v>4.7771266204936956E-2</v>
      </c>
      <c r="F92" s="175">
        <f>6318/2</f>
        <v>3159</v>
      </c>
      <c r="G92" s="91">
        <f t="shared" si="37"/>
        <v>8.1108829568788496E-2</v>
      </c>
      <c r="H92" s="175">
        <f>16740/2</f>
        <v>8370</v>
      </c>
      <c r="I92" s="91">
        <f t="shared" si="38"/>
        <v>4.8872180451127817E-2</v>
      </c>
      <c r="J92" s="175">
        <f>7159/2</f>
        <v>3579.5</v>
      </c>
      <c r="K92" s="91">
        <f t="shared" si="39"/>
        <v>6.5707990949148448E-2</v>
      </c>
      <c r="L92" s="175">
        <f>16157/2</f>
        <v>8078.5</v>
      </c>
      <c r="M92" s="113">
        <f t="shared" si="40"/>
        <v>4.5516902210488146E-2</v>
      </c>
      <c r="N92" s="136"/>
      <c r="O92" s="133"/>
      <c r="P92" s="137"/>
      <c r="Q92" s="135"/>
      <c r="R92" s="136"/>
      <c r="S92" s="133"/>
      <c r="T92" s="137"/>
      <c r="U92" s="135"/>
      <c r="V92" s="175">
        <f>17952/2</f>
        <v>8976</v>
      </c>
      <c r="W92" s="91">
        <f t="shared" si="41"/>
        <v>5.3521126760563378E-2</v>
      </c>
      <c r="X92" s="175">
        <f>41708/2</f>
        <v>20854</v>
      </c>
      <c r="Y92" s="94">
        <f t="shared" si="42"/>
        <v>3.9996010373030119E-2</v>
      </c>
    </row>
    <row r="93" spans="1:25" x14ac:dyDescent="0.2">
      <c r="A93" s="72">
        <v>2009</v>
      </c>
      <c r="B93" s="169">
        <v>3093</v>
      </c>
      <c r="C93" s="80">
        <f t="shared" si="35"/>
        <v>3.896540141081626E-2</v>
      </c>
      <c r="D93" s="169">
        <v>8446.5</v>
      </c>
      <c r="E93" s="79">
        <f t="shared" si="36"/>
        <v>3.8993788055845996E-2</v>
      </c>
      <c r="F93" s="169">
        <v>2922</v>
      </c>
      <c r="G93" s="80">
        <f t="shared" si="37"/>
        <v>3.8379530916844352E-2</v>
      </c>
      <c r="H93" s="169">
        <v>7980</v>
      </c>
      <c r="I93" s="78">
        <f t="shared" si="38"/>
        <v>3.90625E-2</v>
      </c>
      <c r="J93" s="169">
        <v>3358.8</v>
      </c>
      <c r="K93" s="80">
        <f t="shared" si="39"/>
        <v>3.8911227961645589E-2</v>
      </c>
      <c r="L93" s="169">
        <v>7726.8</v>
      </c>
      <c r="M93" s="114">
        <f t="shared" si="40"/>
        <v>3.8967325534489741E-2</v>
      </c>
      <c r="N93" s="132"/>
      <c r="O93" s="138"/>
      <c r="P93" s="134"/>
      <c r="Q93" s="139"/>
      <c r="R93" s="132"/>
      <c r="S93" s="138"/>
      <c r="T93" s="134"/>
      <c r="U93" s="139"/>
      <c r="V93" s="169">
        <f>17040/2</f>
        <v>8520</v>
      </c>
      <c r="W93" s="80">
        <f t="shared" si="41"/>
        <v>3.9024390243902439E-2</v>
      </c>
      <c r="X93" s="169">
        <f>40104/2</f>
        <v>20052</v>
      </c>
      <c r="Y93" s="81">
        <f t="shared" si="42"/>
        <v>3.8963730569948188E-2</v>
      </c>
    </row>
    <row r="94" spans="1:25" x14ac:dyDescent="0.2">
      <c r="A94" s="70">
        <v>2008</v>
      </c>
      <c r="B94" s="176">
        <v>2977</v>
      </c>
      <c r="C94" s="45">
        <v>5.7924662402274341E-2</v>
      </c>
      <c r="D94" s="176">
        <v>8129.5</v>
      </c>
      <c r="E94" s="20">
        <v>5.852864583333333E-2</v>
      </c>
      <c r="F94" s="176">
        <v>2814</v>
      </c>
      <c r="G94" s="45">
        <v>0</v>
      </c>
      <c r="H94" s="176">
        <v>7680</v>
      </c>
      <c r="I94" s="54">
        <v>0</v>
      </c>
      <c r="J94" s="176">
        <v>3233</v>
      </c>
      <c r="K94" s="45">
        <v>0.06</v>
      </c>
      <c r="L94" s="176">
        <v>7437</v>
      </c>
      <c r="M94" s="20">
        <v>5.8497011101622545E-2</v>
      </c>
      <c r="N94" s="140"/>
      <c r="O94" s="141"/>
      <c r="P94" s="142"/>
      <c r="Q94" s="143"/>
      <c r="R94" s="140"/>
      <c r="S94" s="141"/>
      <c r="T94" s="142"/>
      <c r="U94" s="143"/>
      <c r="V94" s="176">
        <f>16400/2</f>
        <v>8200</v>
      </c>
      <c r="W94" s="45">
        <v>5.6701030927835051E-2</v>
      </c>
      <c r="X94" s="176">
        <f>38600/2</f>
        <v>19300</v>
      </c>
      <c r="Y94" s="16">
        <v>5.7534246575342465E-2</v>
      </c>
    </row>
    <row r="95" spans="1:25" x14ac:dyDescent="0.2">
      <c r="A95" s="70">
        <v>2007</v>
      </c>
      <c r="B95" s="176">
        <v>2814</v>
      </c>
      <c r="C95" s="45">
        <v>8.7536231884057972E-2</v>
      </c>
      <c r="D95" s="176">
        <v>7680</v>
      </c>
      <c r="E95" s="20">
        <v>3.0181086519114688E-2</v>
      </c>
      <c r="F95" s="176">
        <v>2814</v>
      </c>
      <c r="G95" s="45">
        <v>8.7536231884057972E-2</v>
      </c>
      <c r="H95" s="176">
        <v>7680</v>
      </c>
      <c r="I95" s="54">
        <v>3.0181086519114688E-2</v>
      </c>
      <c r="J95" s="176">
        <v>3050</v>
      </c>
      <c r="K95" s="45">
        <v>6.1238691718858734E-2</v>
      </c>
      <c r="L95" s="176">
        <v>7026</v>
      </c>
      <c r="M95" s="20">
        <v>2.6292725679228746E-2</v>
      </c>
      <c r="N95" s="140"/>
      <c r="O95" s="141"/>
      <c r="P95" s="142"/>
      <c r="Q95" s="143"/>
      <c r="R95" s="140"/>
      <c r="S95" s="141"/>
      <c r="T95" s="142"/>
      <c r="U95" s="143"/>
      <c r="V95" s="176">
        <f>15520/2</f>
        <v>7760</v>
      </c>
      <c r="W95" s="45">
        <v>9.7595473833097593E-2</v>
      </c>
      <c r="X95" s="176">
        <f>36500/2</f>
        <v>18250</v>
      </c>
      <c r="Y95" s="16">
        <v>5.0662061024755324E-2</v>
      </c>
    </row>
    <row r="96" spans="1:25" x14ac:dyDescent="0.2">
      <c r="A96" s="53">
        <v>2006</v>
      </c>
      <c r="B96" s="177">
        <v>2587.5</v>
      </c>
      <c r="C96" s="48">
        <v>0.13486842105263158</v>
      </c>
      <c r="D96" s="177">
        <v>7455</v>
      </c>
      <c r="E96" s="48">
        <v>7.3434125269978404E-2</v>
      </c>
      <c r="F96" s="177">
        <v>2587.5</v>
      </c>
      <c r="G96" s="48">
        <v>0.13486842105263158</v>
      </c>
      <c r="H96" s="177">
        <v>7455</v>
      </c>
      <c r="I96" s="48">
        <v>7.3434125269978404E-2</v>
      </c>
      <c r="J96" s="177">
        <v>2874</v>
      </c>
      <c r="K96" s="48">
        <v>0.11395348837209303</v>
      </c>
      <c r="L96" s="177">
        <v>6846</v>
      </c>
      <c r="M96" s="117">
        <v>6.8352059925093633E-2</v>
      </c>
      <c r="N96" s="144"/>
      <c r="O96" s="145"/>
      <c r="P96" s="146"/>
      <c r="Q96" s="147"/>
      <c r="R96" s="144"/>
      <c r="S96" s="145"/>
      <c r="T96" s="146"/>
      <c r="U96" s="147"/>
      <c r="V96" s="177">
        <v>5302.5</v>
      </c>
      <c r="W96" s="48">
        <v>0.1046875</v>
      </c>
      <c r="X96" s="177">
        <v>13027.5</v>
      </c>
      <c r="Y96" s="69">
        <v>5.2727272727272727E-2</v>
      </c>
    </row>
    <row r="97" spans="1:25" x14ac:dyDescent="0.2">
      <c r="A97" s="49">
        <v>2005</v>
      </c>
      <c r="B97" s="172">
        <v>2280</v>
      </c>
      <c r="C97" s="55">
        <v>0.10948905109489052</v>
      </c>
      <c r="D97" s="172">
        <v>6945</v>
      </c>
      <c r="E97" s="55">
        <v>7.9254079254079249E-2</v>
      </c>
      <c r="F97" s="172">
        <v>2280</v>
      </c>
      <c r="G97" s="55">
        <v>0.10948905109489052</v>
      </c>
      <c r="H97" s="172">
        <v>6945</v>
      </c>
      <c r="I97" s="55">
        <v>7.9254079254079249E-2</v>
      </c>
      <c r="J97" s="172">
        <v>2580</v>
      </c>
      <c r="K97" s="55">
        <v>0.10824742268041238</v>
      </c>
      <c r="L97" s="172">
        <v>6408</v>
      </c>
      <c r="M97" s="51">
        <v>7.8787878787878782E-2</v>
      </c>
      <c r="N97" s="148"/>
      <c r="O97" s="149"/>
      <c r="P97" s="150"/>
      <c r="Q97" s="151"/>
      <c r="R97" s="148"/>
      <c r="S97" s="149"/>
      <c r="T97" s="150"/>
      <c r="U97" s="151"/>
      <c r="V97" s="172">
        <v>4800</v>
      </c>
      <c r="W97" s="55">
        <v>0.1111111111111111</v>
      </c>
      <c r="X97" s="172">
        <v>12375</v>
      </c>
      <c r="Y97" s="56">
        <v>7.0038910505836577E-2</v>
      </c>
    </row>
    <row r="98" spans="1:25" x14ac:dyDescent="0.2">
      <c r="A98" s="29">
        <v>2004</v>
      </c>
      <c r="B98" s="170">
        <v>2055</v>
      </c>
      <c r="C98" s="18">
        <v>0.17094017094017094</v>
      </c>
      <c r="D98" s="170">
        <v>6435</v>
      </c>
      <c r="E98" s="20">
        <v>0.12894736842105264</v>
      </c>
      <c r="F98" s="170">
        <v>2055</v>
      </c>
      <c r="G98" s="18">
        <v>0.20175438596491227</v>
      </c>
      <c r="H98" s="170">
        <v>6435</v>
      </c>
      <c r="I98" s="20">
        <v>0.19083969465648856</v>
      </c>
      <c r="J98" s="170">
        <v>2328</v>
      </c>
      <c r="K98" s="18">
        <v>0.17043740573152338</v>
      </c>
      <c r="L98" s="170">
        <v>5940</v>
      </c>
      <c r="M98" s="20">
        <v>0.12820512820512819</v>
      </c>
      <c r="N98" s="152"/>
      <c r="O98" s="103"/>
      <c r="P98" s="104"/>
      <c r="Q98" s="143"/>
      <c r="R98" s="152"/>
      <c r="S98" s="103"/>
      <c r="T98" s="104"/>
      <c r="U98" s="143"/>
      <c r="V98" s="170">
        <v>4320</v>
      </c>
      <c r="W98" s="18">
        <v>0.14741035856573706</v>
      </c>
      <c r="X98" s="170">
        <v>11565</v>
      </c>
      <c r="Y98" s="16">
        <v>6.9719042663891784E-2</v>
      </c>
    </row>
    <row r="99" spans="1:25" x14ac:dyDescent="0.2">
      <c r="A99" s="49">
        <v>2003</v>
      </c>
      <c r="B99" s="172">
        <v>1755</v>
      </c>
      <c r="C99" s="50">
        <v>0.20308483290488433</v>
      </c>
      <c r="D99" s="172">
        <v>5700</v>
      </c>
      <c r="E99" s="51">
        <v>0.12011790714812086</v>
      </c>
      <c r="F99" s="172">
        <v>1710</v>
      </c>
      <c r="G99" s="50">
        <v>0.24931506849315069</v>
      </c>
      <c r="H99" s="172">
        <v>5403.75</v>
      </c>
      <c r="I99" s="51">
        <v>0.19565217391304349</v>
      </c>
      <c r="J99" s="172">
        <v>1989</v>
      </c>
      <c r="K99" s="50">
        <v>0.20239390642002172</v>
      </c>
      <c r="L99" s="172">
        <v>5265</v>
      </c>
      <c r="M99" s="51">
        <v>0.11997447351627313</v>
      </c>
      <c r="N99" s="148"/>
      <c r="O99" s="153"/>
      <c r="P99" s="150"/>
      <c r="Q99" s="151"/>
      <c r="R99" s="148"/>
      <c r="S99" s="153"/>
      <c r="T99" s="150"/>
      <c r="U99" s="151"/>
      <c r="V99" s="172">
        <v>3765</v>
      </c>
      <c r="W99" s="50">
        <v>0.20095693779904306</v>
      </c>
      <c r="X99" s="172">
        <v>10811.25</v>
      </c>
      <c r="Y99" s="52">
        <v>0.10012974128062276</v>
      </c>
    </row>
    <row r="100" spans="1:25" x14ac:dyDescent="0.2">
      <c r="A100" s="49">
        <v>2002</v>
      </c>
      <c r="B100" s="172">
        <v>1458.75</v>
      </c>
      <c r="C100" s="50">
        <v>0.25053579082726102</v>
      </c>
      <c r="D100" s="172">
        <v>5088.75</v>
      </c>
      <c r="E100" s="51">
        <v>9.908207343412527E-2</v>
      </c>
      <c r="F100" s="172">
        <v>1368.75</v>
      </c>
      <c r="G100" s="50">
        <v>0.32695104217159476</v>
      </c>
      <c r="H100" s="172">
        <v>4519.5</v>
      </c>
      <c r="I100" s="51">
        <v>0.19705999205403257</v>
      </c>
      <c r="J100" s="172">
        <v>1654.2</v>
      </c>
      <c r="K100" s="50">
        <v>0.21542983100661281</v>
      </c>
      <c r="L100" s="172">
        <v>4701</v>
      </c>
      <c r="M100" s="51">
        <v>9.5038434661076171E-2</v>
      </c>
      <c r="N100" s="148"/>
      <c r="O100" s="153"/>
      <c r="P100" s="150"/>
      <c r="Q100" s="151"/>
      <c r="R100" s="148"/>
      <c r="S100" s="153"/>
      <c r="T100" s="150"/>
      <c r="U100" s="151"/>
      <c r="V100" s="172">
        <v>3135</v>
      </c>
      <c r="W100" s="50">
        <v>0.1961004874390701</v>
      </c>
      <c r="X100" s="172">
        <v>9827.25</v>
      </c>
      <c r="Y100" s="52">
        <v>7.9555385623771027E-2</v>
      </c>
    </row>
    <row r="101" spans="1:25" x14ac:dyDescent="0.2">
      <c r="A101" s="49">
        <v>2001</v>
      </c>
      <c r="B101" s="172">
        <v>1166.5</v>
      </c>
      <c r="C101" s="50">
        <v>2.9340392675932053E-2</v>
      </c>
      <c r="D101" s="172">
        <v>4630</v>
      </c>
      <c r="E101" s="51">
        <v>2.4959876030770933E-2</v>
      </c>
      <c r="F101" s="172">
        <v>1031.5</v>
      </c>
      <c r="G101" s="50">
        <v>2.9441117764471059E-2</v>
      </c>
      <c r="H101" s="172">
        <v>3775.5</v>
      </c>
      <c r="I101" s="51">
        <v>3.0712530712530713E-2</v>
      </c>
      <c r="J101" s="172">
        <v>1361</v>
      </c>
      <c r="K101" s="50">
        <v>2.9656528975639137E-2</v>
      </c>
      <c r="L101" s="172">
        <v>4293</v>
      </c>
      <c r="M101" s="51">
        <v>2.1559109080525503E-2</v>
      </c>
      <c r="N101" s="148"/>
      <c r="O101" s="153"/>
      <c r="P101" s="150"/>
      <c r="Q101" s="151"/>
      <c r="R101" s="148"/>
      <c r="S101" s="153"/>
      <c r="T101" s="150"/>
      <c r="U101" s="151"/>
      <c r="V101" s="172">
        <v>2667</v>
      </c>
      <c r="W101" s="50">
        <v>3.3720930232558143E-2</v>
      </c>
      <c r="X101" s="172">
        <v>9154</v>
      </c>
      <c r="Y101" s="52">
        <v>3.097195630138529E-2</v>
      </c>
    </row>
    <row r="102" spans="1:25" x14ac:dyDescent="0.2">
      <c r="A102" s="29">
        <v>2000</v>
      </c>
      <c r="B102" s="170">
        <v>1133.25</v>
      </c>
      <c r="C102" s="18">
        <v>8.4709260588657576E-2</v>
      </c>
      <c r="D102" s="170">
        <v>4517.25</v>
      </c>
      <c r="E102" s="20">
        <v>3.9344262295081971E-2</v>
      </c>
      <c r="F102" s="170">
        <v>1002</v>
      </c>
      <c r="G102" s="18">
        <v>9.3289689034369891E-2</v>
      </c>
      <c r="H102" s="170">
        <v>3663</v>
      </c>
      <c r="I102" s="18">
        <v>4.2921204356181936E-2</v>
      </c>
      <c r="J102" s="170">
        <v>1321.8</v>
      </c>
      <c r="K102" s="18">
        <v>6.5280464216634415E-2</v>
      </c>
      <c r="L102" s="170">
        <v>4202.3999999999996</v>
      </c>
      <c r="M102" s="20">
        <v>3.7168665778172641E-2</v>
      </c>
      <c r="N102" s="152"/>
      <c r="O102" s="103"/>
      <c r="P102" s="104"/>
      <c r="Q102" s="143"/>
      <c r="R102" s="152"/>
      <c r="S102" s="103"/>
      <c r="T102" s="104"/>
      <c r="U102" s="143"/>
      <c r="V102" s="170">
        <v>2580</v>
      </c>
      <c r="W102" s="18">
        <v>5.0488599348534204E-2</v>
      </c>
      <c r="X102" s="170">
        <v>8879</v>
      </c>
      <c r="Y102" s="16">
        <v>3.2321823043832111E-2</v>
      </c>
    </row>
    <row r="103" spans="1:25" x14ac:dyDescent="0.2">
      <c r="A103" s="29">
        <v>1999</v>
      </c>
      <c r="B103" s="170">
        <v>1044.75</v>
      </c>
      <c r="C103" s="18">
        <v>2.3512123438648051E-2</v>
      </c>
      <c r="D103" s="170">
        <v>4346.25</v>
      </c>
      <c r="E103" s="20">
        <v>2.3851590106007067E-2</v>
      </c>
      <c r="F103" s="170">
        <v>916.5</v>
      </c>
      <c r="G103" s="18">
        <v>2.3450586264656615E-2</v>
      </c>
      <c r="H103" s="170">
        <v>3512.25</v>
      </c>
      <c r="I103" s="18">
        <v>2.3830345430695232E-2</v>
      </c>
      <c r="J103" s="170">
        <v>1240.8</v>
      </c>
      <c r="K103" s="18">
        <v>2.3762376237623912E-2</v>
      </c>
      <c r="L103" s="170">
        <v>4051.8</v>
      </c>
      <c r="M103" s="20">
        <v>2.3957543593631472E-2</v>
      </c>
      <c r="N103" s="152"/>
      <c r="O103" s="103"/>
      <c r="P103" s="104"/>
      <c r="Q103" s="143"/>
      <c r="R103" s="152"/>
      <c r="S103" s="103"/>
      <c r="T103" s="104"/>
      <c r="U103" s="143"/>
      <c r="V103" s="170">
        <v>2456</v>
      </c>
      <c r="W103" s="18">
        <v>2.3759899958315966E-2</v>
      </c>
      <c r="X103" s="170">
        <v>8601</v>
      </c>
      <c r="Y103" s="16">
        <v>2.3928571428571428E-2</v>
      </c>
    </row>
    <row r="104" spans="1:25" x14ac:dyDescent="0.2">
      <c r="A104" s="29">
        <v>1998</v>
      </c>
      <c r="B104" s="170">
        <v>1020.75</v>
      </c>
      <c r="C104" s="18">
        <v>3.8931297709923665E-2</v>
      </c>
      <c r="D104" s="170">
        <v>4245</v>
      </c>
      <c r="E104" s="20">
        <v>2.6664248140758209E-2</v>
      </c>
      <c r="F104" s="170">
        <v>895.5</v>
      </c>
      <c r="G104" s="18">
        <v>4.0069686411149823E-2</v>
      </c>
      <c r="H104" s="170">
        <v>3430.5</v>
      </c>
      <c r="I104" s="18">
        <v>2.8327338129496404E-2</v>
      </c>
      <c r="J104" s="170">
        <v>1212</v>
      </c>
      <c r="K104" s="18">
        <v>3.2719836400818075E-2</v>
      </c>
      <c r="L104" s="170">
        <v>3957</v>
      </c>
      <c r="M104" s="20">
        <v>2.6139723043410539E-2</v>
      </c>
      <c r="N104" s="152"/>
      <c r="O104" s="103"/>
      <c r="P104" s="104"/>
      <c r="Q104" s="143"/>
      <c r="R104" s="152"/>
      <c r="S104" s="103"/>
      <c r="T104" s="104"/>
      <c r="U104" s="143"/>
      <c r="V104" s="170">
        <v>2399</v>
      </c>
      <c r="W104" s="18">
        <v>2.9790521978022018E-2</v>
      </c>
      <c r="X104" s="170">
        <v>8400</v>
      </c>
      <c r="Y104" s="16">
        <v>2.4858929388439834E-2</v>
      </c>
    </row>
    <row r="105" spans="1:25" x14ac:dyDescent="0.2">
      <c r="A105" s="29">
        <v>1997</v>
      </c>
      <c r="B105" s="170">
        <v>982.5</v>
      </c>
      <c r="C105" s="18">
        <v>3.968253968253968E-2</v>
      </c>
      <c r="D105" s="170">
        <v>4134.75</v>
      </c>
      <c r="E105" s="20">
        <v>4.0188679245283021E-2</v>
      </c>
      <c r="F105" s="170">
        <v>861</v>
      </c>
      <c r="G105" s="18">
        <v>0.20083682008368201</v>
      </c>
      <c r="H105" s="170">
        <v>3336</v>
      </c>
      <c r="I105" s="18">
        <v>0.2</v>
      </c>
      <c r="J105" s="170">
        <v>1173.5999999999999</v>
      </c>
      <c r="K105" s="18">
        <v>4.0425531914893537E-2</v>
      </c>
      <c r="L105" s="170">
        <v>3856.2</v>
      </c>
      <c r="M105" s="20">
        <v>3.9967637540453148E-2</v>
      </c>
      <c r="N105" s="152"/>
      <c r="O105" s="103"/>
      <c r="P105" s="104"/>
      <c r="Q105" s="143"/>
      <c r="R105" s="152"/>
      <c r="S105" s="103"/>
      <c r="T105" s="104"/>
      <c r="U105" s="143"/>
      <c r="V105" s="170">
        <v>2329.6</v>
      </c>
      <c r="W105" s="18">
        <v>0.04</v>
      </c>
      <c r="X105" s="170">
        <v>8196.25</v>
      </c>
      <c r="Y105" s="16">
        <v>4.0001268874508313E-2</v>
      </c>
    </row>
    <row r="106" spans="1:25" x14ac:dyDescent="0.2">
      <c r="A106" s="29">
        <v>1996</v>
      </c>
      <c r="B106" s="170">
        <v>945</v>
      </c>
      <c r="C106" s="18">
        <v>7.0215175537938851E-2</v>
      </c>
      <c r="D106" s="170">
        <v>3975</v>
      </c>
      <c r="E106" s="20">
        <v>6.2266167824692679E-2</v>
      </c>
      <c r="F106" s="170">
        <v>717</v>
      </c>
      <c r="G106" s="18">
        <v>3.017241379310345E-2</v>
      </c>
      <c r="H106" s="170">
        <v>2780</v>
      </c>
      <c r="I106" s="18">
        <v>3.0011115227862172E-2</v>
      </c>
      <c r="J106" s="170">
        <v>1128</v>
      </c>
      <c r="K106" s="18">
        <v>6.5155807365439092E-2</v>
      </c>
      <c r="L106" s="170">
        <v>3708</v>
      </c>
      <c r="M106" s="20">
        <v>6.0034305317324184E-2</v>
      </c>
      <c r="N106" s="152"/>
      <c r="O106" s="103"/>
      <c r="P106" s="104"/>
      <c r="Q106" s="143"/>
      <c r="R106" s="152"/>
      <c r="S106" s="103"/>
      <c r="T106" s="104"/>
      <c r="U106" s="143"/>
      <c r="V106" s="170">
        <v>2240</v>
      </c>
      <c r="W106" s="18">
        <v>2.9885057471264367E-2</v>
      </c>
      <c r="X106" s="170">
        <v>7881</v>
      </c>
      <c r="Y106" s="16">
        <v>3.019607843137255E-2</v>
      </c>
    </row>
    <row r="107" spans="1:25" x14ac:dyDescent="0.2">
      <c r="A107" s="29">
        <v>1995</v>
      </c>
      <c r="B107" s="170">
        <v>883</v>
      </c>
      <c r="C107" s="18">
        <v>7.0303030303030298E-2</v>
      </c>
      <c r="D107" s="170">
        <v>3742</v>
      </c>
      <c r="E107" s="20">
        <v>7.0060051472690885E-2</v>
      </c>
      <c r="F107" s="170">
        <v>696</v>
      </c>
      <c r="G107" s="18">
        <v>7.0769230769230765E-2</v>
      </c>
      <c r="H107" s="170">
        <v>2699</v>
      </c>
      <c r="I107" s="18">
        <v>7.0182394924662966E-2</v>
      </c>
      <c r="J107" s="170">
        <v>1059</v>
      </c>
      <c r="K107" s="18">
        <v>6.9696969696969702E-2</v>
      </c>
      <c r="L107" s="170">
        <v>3498</v>
      </c>
      <c r="M107" s="20">
        <v>7.0052003670847351E-2</v>
      </c>
      <c r="N107" s="152"/>
      <c r="O107" s="103"/>
      <c r="P107" s="104"/>
      <c r="Q107" s="143"/>
      <c r="R107" s="152"/>
      <c r="S107" s="103"/>
      <c r="T107" s="104"/>
      <c r="U107" s="143"/>
      <c r="V107" s="170">
        <v>2175</v>
      </c>
      <c r="W107" s="18">
        <v>6.9847515986227252E-2</v>
      </c>
      <c r="X107" s="170">
        <v>7650</v>
      </c>
      <c r="Y107" s="16">
        <v>6.9930069930069935E-2</v>
      </c>
    </row>
    <row r="108" spans="1:25" x14ac:dyDescent="0.2">
      <c r="A108" s="29">
        <v>1994</v>
      </c>
      <c r="B108" s="170">
        <v>825</v>
      </c>
      <c r="C108" s="18">
        <v>4.9618320610687022E-2</v>
      </c>
      <c r="D108" s="170">
        <v>3497</v>
      </c>
      <c r="E108" s="20">
        <v>0.12988691437802907</v>
      </c>
      <c r="F108" s="170">
        <v>650</v>
      </c>
      <c r="G108" s="18">
        <v>0.13835376532399299</v>
      </c>
      <c r="H108" s="170">
        <v>2522</v>
      </c>
      <c r="I108" s="18">
        <v>0.22012578616352202</v>
      </c>
      <c r="J108" s="170">
        <v>990</v>
      </c>
      <c r="K108" s="18">
        <v>0</v>
      </c>
      <c r="L108" s="170">
        <v>3269</v>
      </c>
      <c r="M108" s="20">
        <v>0</v>
      </c>
      <c r="N108" s="152"/>
      <c r="O108" s="103"/>
      <c r="P108" s="104"/>
      <c r="Q108" s="143"/>
      <c r="R108" s="152"/>
      <c r="S108" s="103"/>
      <c r="T108" s="104"/>
      <c r="U108" s="143"/>
      <c r="V108" s="170">
        <v>2033</v>
      </c>
      <c r="W108" s="18">
        <v>5.0103305785123967E-2</v>
      </c>
      <c r="X108" s="170">
        <v>7150</v>
      </c>
      <c r="Y108" s="16">
        <v>0.13007744586691955</v>
      </c>
    </row>
    <row r="109" spans="1:25" x14ac:dyDescent="0.2">
      <c r="A109" s="29">
        <v>1993</v>
      </c>
      <c r="B109" s="170">
        <v>786</v>
      </c>
      <c r="C109" s="18">
        <v>7.9670329670329665E-2</v>
      </c>
      <c r="D109" s="170">
        <v>3095</v>
      </c>
      <c r="E109" s="20">
        <v>9.9857853589196868E-2</v>
      </c>
      <c r="F109" s="170">
        <v>571</v>
      </c>
      <c r="G109" s="18">
        <v>7.9395085066162566E-2</v>
      </c>
      <c r="H109" s="170">
        <v>2067</v>
      </c>
      <c r="I109" s="18">
        <v>0.10005321979776477</v>
      </c>
      <c r="J109" s="170">
        <v>990</v>
      </c>
      <c r="K109" s="18">
        <v>7.9607415485278082E-2</v>
      </c>
      <c r="L109" s="170">
        <v>3269</v>
      </c>
      <c r="M109" s="20">
        <v>7.9947142385199871E-2</v>
      </c>
      <c r="N109" s="152"/>
      <c r="O109" s="103"/>
      <c r="P109" s="104"/>
      <c r="Q109" s="143"/>
      <c r="R109" s="152"/>
      <c r="S109" s="103"/>
      <c r="T109" s="104"/>
      <c r="U109" s="143"/>
      <c r="V109" s="170">
        <v>1936</v>
      </c>
      <c r="W109" s="18">
        <v>7.9754601226993863E-2</v>
      </c>
      <c r="X109" s="170">
        <v>6327</v>
      </c>
      <c r="Y109" s="16">
        <v>8.0061454421304204E-2</v>
      </c>
    </row>
    <row r="110" spans="1:25" x14ac:dyDescent="0.2">
      <c r="A110" s="29">
        <v>1992</v>
      </c>
      <c r="B110" s="170">
        <v>728</v>
      </c>
      <c r="C110" s="18">
        <v>9.9697885196374625E-2</v>
      </c>
      <c r="D110" s="170">
        <v>2814</v>
      </c>
      <c r="E110" s="20">
        <v>0.12514994002399041</v>
      </c>
      <c r="F110" s="170">
        <v>529</v>
      </c>
      <c r="G110" s="18"/>
      <c r="H110" s="170">
        <v>1879</v>
      </c>
      <c r="I110" s="18"/>
      <c r="J110" s="170">
        <v>917</v>
      </c>
      <c r="K110" s="18">
        <v>9.9520383693045569E-2</v>
      </c>
      <c r="L110" s="170">
        <v>3027</v>
      </c>
      <c r="M110" s="20">
        <v>0.12486064659977704</v>
      </c>
      <c r="N110" s="152"/>
      <c r="O110" s="103"/>
      <c r="P110" s="104"/>
      <c r="Q110" s="143"/>
      <c r="R110" s="152"/>
      <c r="S110" s="103"/>
      <c r="T110" s="104"/>
      <c r="U110" s="143"/>
      <c r="V110" s="170">
        <v>1793</v>
      </c>
      <c r="W110" s="18">
        <v>0.1</v>
      </c>
      <c r="X110" s="170">
        <v>5858</v>
      </c>
      <c r="Y110" s="16">
        <v>0.12502400614557327</v>
      </c>
    </row>
    <row r="111" spans="1:25" x14ac:dyDescent="0.2">
      <c r="A111" s="97" t="s">
        <v>26</v>
      </c>
      <c r="C111" s="48"/>
      <c r="D111" s="3"/>
      <c r="E111" s="48"/>
      <c r="F111" s="3"/>
      <c r="G111" s="48"/>
      <c r="H111" s="3"/>
      <c r="I111" s="48"/>
      <c r="J111" s="3"/>
      <c r="K111" s="48"/>
      <c r="L111" s="3"/>
      <c r="M111" s="48"/>
      <c r="N111" s="3"/>
      <c r="O111" s="48"/>
      <c r="P111" s="3"/>
      <c r="Q111" s="48"/>
      <c r="R111" s="3"/>
      <c r="S111" s="48"/>
      <c r="T111" s="3"/>
      <c r="U111" s="48"/>
      <c r="V111" s="3"/>
      <c r="W111" s="48"/>
      <c r="X111" s="3"/>
      <c r="Y111" s="48"/>
    </row>
    <row r="112" spans="1:25" x14ac:dyDescent="0.2">
      <c r="A112" s="97" t="s">
        <v>16</v>
      </c>
      <c r="D112" s="3"/>
    </row>
    <row r="113" spans="1:7" x14ac:dyDescent="0.2">
      <c r="A113" s="97"/>
      <c r="D113" s="3"/>
    </row>
    <row r="114" spans="1:7" ht="31.5" x14ac:dyDescent="0.25">
      <c r="A114" s="40" t="s">
        <v>28</v>
      </c>
      <c r="B114" s="178"/>
      <c r="C114" s="41"/>
      <c r="D114" s="42"/>
      <c r="E114" s="41"/>
    </row>
    <row r="115" spans="1:7" ht="15.75" x14ac:dyDescent="0.25">
      <c r="A115" s="10"/>
      <c r="B115" s="179" t="s">
        <v>14</v>
      </c>
      <c r="C115" s="8"/>
      <c r="D115" s="98"/>
    </row>
    <row r="116" spans="1:7" x14ac:dyDescent="0.2">
      <c r="A116" s="5" t="s">
        <v>27</v>
      </c>
      <c r="D116" s="3"/>
    </row>
    <row r="117" spans="1:7" ht="13.5" thickBot="1" x14ac:dyDescent="0.25">
      <c r="B117" s="180"/>
      <c r="C117" s="1"/>
      <c r="D117" s="4"/>
    </row>
    <row r="118" spans="1:7" ht="13.5" thickTop="1" x14ac:dyDescent="0.2">
      <c r="A118" s="38"/>
      <c r="B118" s="181" t="s">
        <v>6</v>
      </c>
      <c r="C118" s="44"/>
      <c r="D118" s="181" t="s">
        <v>0</v>
      </c>
      <c r="E118" s="44"/>
      <c r="F118" s="181" t="s">
        <v>18</v>
      </c>
      <c r="G118" s="43"/>
    </row>
    <row r="119" spans="1:7" ht="25.5" x14ac:dyDescent="0.2">
      <c r="A119" s="39" t="s">
        <v>8</v>
      </c>
      <c r="B119" s="168" t="s">
        <v>7</v>
      </c>
      <c r="C119" s="162" t="s">
        <v>3</v>
      </c>
      <c r="D119" s="168" t="s">
        <v>12</v>
      </c>
      <c r="E119" s="162" t="s">
        <v>3</v>
      </c>
      <c r="F119" s="168" t="s">
        <v>12</v>
      </c>
      <c r="G119" s="37" t="s">
        <v>3</v>
      </c>
    </row>
    <row r="120" spans="1:7" x14ac:dyDescent="0.2">
      <c r="A120" s="96">
        <v>2025</v>
      </c>
      <c r="B120" s="169">
        <v>489.2</v>
      </c>
      <c r="C120" s="95">
        <v>0</v>
      </c>
      <c r="D120" s="169">
        <v>330</v>
      </c>
      <c r="E120" s="95">
        <v>0</v>
      </c>
      <c r="F120" s="169">
        <v>0</v>
      </c>
      <c r="G120" s="94">
        <v>0</v>
      </c>
    </row>
    <row r="121" spans="1:7" x14ac:dyDescent="0.2">
      <c r="A121" s="96">
        <v>2024</v>
      </c>
      <c r="B121" s="169">
        <v>489.2</v>
      </c>
      <c r="C121" s="95">
        <v>0</v>
      </c>
      <c r="D121" s="169">
        <v>330</v>
      </c>
      <c r="E121" s="95">
        <v>0</v>
      </c>
      <c r="F121" s="169">
        <v>0</v>
      </c>
      <c r="G121" s="94">
        <v>0</v>
      </c>
    </row>
    <row r="122" spans="1:7" x14ac:dyDescent="0.2">
      <c r="A122" s="96">
        <v>2023</v>
      </c>
      <c r="B122" s="169">
        <v>489.24</v>
      </c>
      <c r="C122" s="95">
        <f>(B122-B123)/B123</f>
        <v>2.0440513932921765E-2</v>
      </c>
      <c r="D122" s="169">
        <v>330</v>
      </c>
      <c r="E122" s="95">
        <f>(D122-D123)/D123</f>
        <v>0</v>
      </c>
      <c r="F122" s="169">
        <v>0</v>
      </c>
      <c r="G122" s="94">
        <v>0</v>
      </c>
    </row>
    <row r="123" spans="1:7" x14ac:dyDescent="0.2">
      <c r="A123" s="96">
        <v>2022</v>
      </c>
      <c r="B123" s="169">
        <v>479.44</v>
      </c>
      <c r="C123" s="95">
        <f>(B123-B124)/B124</f>
        <v>2.9990547391939459E-2</v>
      </c>
      <c r="D123" s="169">
        <v>330</v>
      </c>
      <c r="E123" s="95">
        <f>(D123-D124)/D124</f>
        <v>0</v>
      </c>
      <c r="F123" s="169">
        <v>0</v>
      </c>
      <c r="G123" s="94">
        <v>0</v>
      </c>
    </row>
    <row r="124" spans="1:7" x14ac:dyDescent="0.2">
      <c r="A124" s="96">
        <v>2021</v>
      </c>
      <c r="B124" s="169">
        <v>465.48</v>
      </c>
      <c r="C124" s="95">
        <f>(B124-B125)/B125</f>
        <v>-1.4857142857142819E-2</v>
      </c>
      <c r="D124" s="169">
        <v>330</v>
      </c>
      <c r="E124" s="95">
        <f>(D124-D125)/D125</f>
        <v>-9.4824039279150757E-2</v>
      </c>
      <c r="F124" s="169">
        <v>0</v>
      </c>
      <c r="G124" s="94">
        <v>-1</v>
      </c>
    </row>
    <row r="125" spans="1:7" x14ac:dyDescent="0.2">
      <c r="A125" s="96">
        <v>2020</v>
      </c>
      <c r="B125" s="169">
        <v>472.5</v>
      </c>
      <c r="C125" s="95">
        <v>0</v>
      </c>
      <c r="D125" s="169">
        <v>364.57</v>
      </c>
      <c r="E125" s="95">
        <v>0</v>
      </c>
      <c r="F125" s="169">
        <v>766.2</v>
      </c>
      <c r="G125" s="94">
        <v>0</v>
      </c>
    </row>
    <row r="126" spans="1:7" x14ac:dyDescent="0.2">
      <c r="A126" s="96">
        <v>2019</v>
      </c>
      <c r="B126" s="169">
        <f>472.5</f>
        <v>472.5</v>
      </c>
      <c r="C126" s="95">
        <f>(B126-B127)/B127</f>
        <v>6.4189189189189186E-2</v>
      </c>
      <c r="D126" s="169">
        <f>364.57</f>
        <v>364.57</v>
      </c>
      <c r="E126" s="95">
        <f>(D126-D127)/D127</f>
        <v>2.6953436563162303E-3</v>
      </c>
      <c r="F126" s="169">
        <v>766.2</v>
      </c>
      <c r="G126" s="94">
        <v>0</v>
      </c>
    </row>
    <row r="127" spans="1:7" s="97" customFormat="1" x14ac:dyDescent="0.2">
      <c r="A127" s="96">
        <v>2018</v>
      </c>
      <c r="B127" s="169">
        <v>444</v>
      </c>
      <c r="C127" s="118">
        <f>(B127-B128)/B128</f>
        <v>3.0162412993039442E-2</v>
      </c>
      <c r="D127" s="169">
        <v>363.59</v>
      </c>
      <c r="E127" s="118">
        <f>(D127-D128)/D128</f>
        <v>0</v>
      </c>
      <c r="F127" s="169">
        <v>766.2</v>
      </c>
      <c r="G127" s="163">
        <v>0</v>
      </c>
    </row>
    <row r="128" spans="1:7" s="97" customFormat="1" x14ac:dyDescent="0.2">
      <c r="A128" s="96">
        <v>2017</v>
      </c>
      <c r="B128" s="169">
        <v>431</v>
      </c>
      <c r="C128" s="118">
        <f>(B128-B129)/B129</f>
        <v>5.8038305281485781E-4</v>
      </c>
      <c r="D128" s="169">
        <v>363.59</v>
      </c>
      <c r="E128" s="118">
        <f>(D128-D129)/D129</f>
        <v>-3.9721674337060194E-3</v>
      </c>
      <c r="F128" s="169">
        <v>776.2</v>
      </c>
      <c r="G128" s="163">
        <v>0</v>
      </c>
    </row>
    <row r="129" spans="1:7" s="97" customFormat="1" x14ac:dyDescent="0.2">
      <c r="A129" s="72">
        <v>2016</v>
      </c>
      <c r="B129" s="169">
        <f>861.5/2</f>
        <v>430.75</v>
      </c>
      <c r="C129" s="91">
        <f>(B129-B130)/B130</f>
        <v>3.4710545279846239E-2</v>
      </c>
      <c r="D129" s="169">
        <f>730.08/2</f>
        <v>365.04</v>
      </c>
      <c r="E129" s="118">
        <f>(D129-D130)/D130</f>
        <v>0</v>
      </c>
      <c r="F129" s="169">
        <v>766.2</v>
      </c>
      <c r="G129" s="105">
        <f>(F129-F130)/C129+F116</f>
        <v>0</v>
      </c>
    </row>
    <row r="130" spans="1:7" x14ac:dyDescent="0.2">
      <c r="A130" s="72">
        <v>2015</v>
      </c>
      <c r="B130" s="169">
        <f>832.6/2</f>
        <v>416.3</v>
      </c>
      <c r="C130" s="91">
        <f>(B130-B131)/B131</f>
        <v>2.6127680552132174E-2</v>
      </c>
      <c r="D130" s="169">
        <v>365.04</v>
      </c>
      <c r="E130" s="118">
        <f>(D130-D131)/D131</f>
        <v>-3.2862306933948007E-4</v>
      </c>
      <c r="F130" s="169">
        <v>766.2</v>
      </c>
      <c r="G130" s="94">
        <f>(F130-F131)/F131</f>
        <v>0</v>
      </c>
    </row>
    <row r="131" spans="1:7" x14ac:dyDescent="0.2">
      <c r="A131" s="82">
        <v>2014</v>
      </c>
      <c r="B131" s="182">
        <v>405.7</v>
      </c>
      <c r="C131" s="91">
        <f t="shared" ref="C131:C136" si="43">(B131-B132)/B132</f>
        <v>7.4132909716706386E-2</v>
      </c>
      <c r="D131" s="182">
        <v>365.16</v>
      </c>
      <c r="E131" s="83">
        <f t="shared" ref="E131:E136" si="44">(D131-D132)/D132</f>
        <v>0.12996658002227998</v>
      </c>
      <c r="F131" s="182">
        <v>766.2</v>
      </c>
      <c r="G131" s="84">
        <f>(F131-F132)/F132</f>
        <v>0</v>
      </c>
    </row>
    <row r="132" spans="1:7" x14ac:dyDescent="0.2">
      <c r="A132" s="82">
        <v>2013</v>
      </c>
      <c r="B132" s="182">
        <v>377.7</v>
      </c>
      <c r="C132" s="91">
        <f t="shared" si="43"/>
        <v>3.5361842105263094E-2</v>
      </c>
      <c r="D132" s="182">
        <v>323.16000000000003</v>
      </c>
      <c r="E132" s="91">
        <f t="shared" si="44"/>
        <v>0</v>
      </c>
      <c r="F132" s="182">
        <v>766.2</v>
      </c>
      <c r="G132" s="105">
        <f>(F132-F133)/F133</f>
        <v>0</v>
      </c>
    </row>
    <row r="133" spans="1:7" x14ac:dyDescent="0.2">
      <c r="A133" s="82">
        <v>2012</v>
      </c>
      <c r="B133" s="182">
        <f>729.6/2</f>
        <v>364.8</v>
      </c>
      <c r="C133" s="91">
        <f t="shared" si="43"/>
        <v>1.1647254575707122E-2</v>
      </c>
      <c r="D133" s="182">
        <f>646.32/2</f>
        <v>323.16000000000003</v>
      </c>
      <c r="E133" s="91">
        <f t="shared" si="44"/>
        <v>0</v>
      </c>
      <c r="F133" s="182">
        <v>766.2</v>
      </c>
      <c r="G133" s="130"/>
    </row>
    <row r="134" spans="1:7" x14ac:dyDescent="0.2">
      <c r="A134" s="82">
        <v>2011</v>
      </c>
      <c r="B134" s="182">
        <f>360.6</f>
        <v>360.6</v>
      </c>
      <c r="C134" s="91">
        <f t="shared" si="43"/>
        <v>2.4431818181818245E-2</v>
      </c>
      <c r="D134" s="182">
        <f>646.32/2</f>
        <v>323.16000000000003</v>
      </c>
      <c r="E134" s="83">
        <f t="shared" si="44"/>
        <v>8.0224628961091046E-2</v>
      </c>
      <c r="F134" s="121"/>
      <c r="G134" s="122"/>
    </row>
    <row r="135" spans="1:7" s="97" customFormat="1" x14ac:dyDescent="0.2">
      <c r="A135" s="82">
        <v>2010</v>
      </c>
      <c r="B135" s="182">
        <v>352</v>
      </c>
      <c r="C135" s="91">
        <f t="shared" si="43"/>
        <v>2.9992684711046085E-2</v>
      </c>
      <c r="D135" s="182">
        <f>598.32/2</f>
        <v>299.16000000000003</v>
      </c>
      <c r="E135" s="83">
        <f t="shared" si="44"/>
        <v>0</v>
      </c>
      <c r="F135" s="121"/>
      <c r="G135" s="122"/>
    </row>
    <row r="136" spans="1:7" x14ac:dyDescent="0.2">
      <c r="A136" s="82">
        <v>2009</v>
      </c>
      <c r="B136" s="182">
        <v>341.75</v>
      </c>
      <c r="C136" s="83">
        <f t="shared" si="43"/>
        <v>1.5601783060921248E-2</v>
      </c>
      <c r="D136" s="182">
        <f>598.32/2</f>
        <v>299.16000000000003</v>
      </c>
      <c r="E136" s="83">
        <f t="shared" si="44"/>
        <v>0</v>
      </c>
      <c r="F136" s="121"/>
      <c r="G136" s="122"/>
    </row>
    <row r="137" spans="1:7" x14ac:dyDescent="0.2">
      <c r="A137" s="77">
        <v>2008</v>
      </c>
      <c r="B137" s="171">
        <v>336.5</v>
      </c>
      <c r="C137" s="99">
        <v>0.10327868852459017</v>
      </c>
      <c r="D137" s="171">
        <v>299.16000000000003</v>
      </c>
      <c r="E137" s="119">
        <v>0</v>
      </c>
      <c r="F137" s="123"/>
      <c r="G137" s="124"/>
    </row>
    <row r="138" spans="1:7" x14ac:dyDescent="0.2">
      <c r="A138" s="77">
        <v>2007</v>
      </c>
      <c r="B138" s="171">
        <v>305</v>
      </c>
      <c r="C138" s="100">
        <v>4.2735042735042736E-2</v>
      </c>
      <c r="D138" s="171">
        <v>299.16000000000003</v>
      </c>
      <c r="E138" s="45">
        <v>6.9957081545064387E-2</v>
      </c>
      <c r="F138" s="123"/>
      <c r="G138" s="125"/>
    </row>
    <row r="139" spans="1:7" x14ac:dyDescent="0.2">
      <c r="A139" s="53">
        <v>2006</v>
      </c>
      <c r="B139" s="177">
        <v>292.5</v>
      </c>
      <c r="C139" s="100">
        <v>3.7234042553191488E-2</v>
      </c>
      <c r="D139" s="177">
        <v>279.60000000000002</v>
      </c>
      <c r="E139" s="45">
        <v>0.59044368600682595</v>
      </c>
      <c r="F139" s="126"/>
      <c r="G139" s="125"/>
    </row>
    <row r="140" spans="1:7" x14ac:dyDescent="0.2">
      <c r="A140" s="49">
        <v>2005</v>
      </c>
      <c r="B140" s="172">
        <v>282</v>
      </c>
      <c r="C140" s="100">
        <v>1.6216216216216217E-2</v>
      </c>
      <c r="D140" s="172">
        <v>175.8</v>
      </c>
      <c r="E140" s="45">
        <v>1.7094017094017742E-3</v>
      </c>
      <c r="F140" s="127"/>
      <c r="G140" s="125"/>
    </row>
    <row r="141" spans="1:7" x14ac:dyDescent="0.2">
      <c r="A141" s="70">
        <v>2004</v>
      </c>
      <c r="B141" s="170">
        <v>277.5</v>
      </c>
      <c r="C141" s="100">
        <v>9.0909090909090905E-3</v>
      </c>
      <c r="D141" s="170">
        <v>175.5</v>
      </c>
      <c r="E141" s="45">
        <v>3.4199726402190078E-4</v>
      </c>
      <c r="F141" s="102"/>
      <c r="G141" s="125"/>
    </row>
    <row r="142" spans="1:7" x14ac:dyDescent="0.2">
      <c r="A142" s="53">
        <v>2003</v>
      </c>
      <c r="B142" s="177">
        <v>275</v>
      </c>
      <c r="C142" s="100">
        <v>4.5627376425855515E-2</v>
      </c>
      <c r="D142" s="177">
        <v>175.44</v>
      </c>
      <c r="E142" s="45">
        <v>-1.9450033534540521E-2</v>
      </c>
      <c r="F142" s="128"/>
      <c r="G142" s="125"/>
    </row>
    <row r="143" spans="1:7" x14ac:dyDescent="0.2">
      <c r="A143" s="29">
        <v>2002</v>
      </c>
      <c r="B143" s="170">
        <v>263</v>
      </c>
      <c r="C143" s="100">
        <v>4.7808764940239043E-2</v>
      </c>
      <c r="D143" s="170">
        <v>178.92</v>
      </c>
      <c r="E143" s="45">
        <v>1.7053206002728513E-2</v>
      </c>
      <c r="F143" s="102"/>
      <c r="G143" s="125"/>
    </row>
    <row r="144" spans="1:7" x14ac:dyDescent="0.2">
      <c r="A144" s="49">
        <v>2001</v>
      </c>
      <c r="B144" s="172">
        <v>251</v>
      </c>
      <c r="C144" s="100">
        <v>-2.3346303501945526E-2</v>
      </c>
      <c r="D144" s="172">
        <v>175.92</v>
      </c>
      <c r="E144" s="45">
        <v>1.9471488178024948E-2</v>
      </c>
      <c r="F144" s="129"/>
      <c r="G144" s="125"/>
    </row>
    <row r="145" spans="1:7" x14ac:dyDescent="0.2">
      <c r="A145" s="29">
        <v>2000</v>
      </c>
      <c r="B145" s="170">
        <v>257</v>
      </c>
      <c r="C145" s="100">
        <v>2.3904382470119521E-2</v>
      </c>
      <c r="D145" s="170">
        <v>172.56</v>
      </c>
      <c r="E145" s="45">
        <v>0.66050808314087761</v>
      </c>
      <c r="F145" s="102"/>
      <c r="G145" s="125"/>
    </row>
    <row r="146" spans="1:7" x14ac:dyDescent="0.2">
      <c r="A146" s="29">
        <v>1999</v>
      </c>
      <c r="B146" s="170">
        <v>251</v>
      </c>
      <c r="C146" s="100">
        <v>0</v>
      </c>
      <c r="D146" s="170">
        <v>103.92</v>
      </c>
      <c r="E146" s="45">
        <v>0.21971830985915491</v>
      </c>
      <c r="F146" s="102"/>
      <c r="G146" s="125"/>
    </row>
    <row r="147" spans="1:7" x14ac:dyDescent="0.2">
      <c r="A147" s="29">
        <v>1998</v>
      </c>
      <c r="B147" s="170">
        <v>251</v>
      </c>
      <c r="C147" s="100">
        <v>0</v>
      </c>
      <c r="D147" s="170">
        <v>85.2</v>
      </c>
      <c r="E147" s="45">
        <v>0.21367521367521367</v>
      </c>
      <c r="F147" s="102"/>
      <c r="G147" s="125"/>
    </row>
    <row r="148" spans="1:7" x14ac:dyDescent="0.2">
      <c r="A148" s="29">
        <v>1997</v>
      </c>
      <c r="B148" s="183">
        <v>251</v>
      </c>
      <c r="C148" s="100">
        <v>3.9337474120082816E-2</v>
      </c>
      <c r="D148" s="183">
        <v>70.2</v>
      </c>
      <c r="E148" s="45">
        <v>5.730659025788047E-3</v>
      </c>
      <c r="F148" s="102"/>
      <c r="G148" s="125"/>
    </row>
    <row r="149" spans="1:7" x14ac:dyDescent="0.2">
      <c r="A149" s="29">
        <v>1996</v>
      </c>
      <c r="B149" s="183">
        <v>241.5</v>
      </c>
      <c r="C149" s="100">
        <v>0.11573111573111579</v>
      </c>
      <c r="D149" s="183">
        <v>69.8</v>
      </c>
      <c r="E149" s="45">
        <v>0</v>
      </c>
      <c r="F149" s="102"/>
      <c r="G149" s="125"/>
    </row>
    <row r="150" spans="1:7" x14ac:dyDescent="0.2">
      <c r="A150" s="29">
        <v>1995</v>
      </c>
      <c r="B150" s="183">
        <v>216.45</v>
      </c>
      <c r="C150" s="100">
        <v>-5.056308894507114E-3</v>
      </c>
      <c r="D150" s="183">
        <v>69.8</v>
      </c>
      <c r="E150" s="45">
        <v>0</v>
      </c>
      <c r="F150" s="102"/>
      <c r="G150" s="125"/>
    </row>
    <row r="151" spans="1:7" x14ac:dyDescent="0.2">
      <c r="A151" s="29">
        <v>1994</v>
      </c>
      <c r="B151" s="183">
        <v>217.55</v>
      </c>
      <c r="C151" s="100">
        <v>7.9384768047630852E-2</v>
      </c>
      <c r="D151" s="183">
        <v>69.8</v>
      </c>
      <c r="E151" s="45">
        <v>0</v>
      </c>
      <c r="F151" s="102"/>
      <c r="G151" s="125"/>
    </row>
    <row r="152" spans="1:7" x14ac:dyDescent="0.2">
      <c r="A152" s="29">
        <v>1993</v>
      </c>
      <c r="B152" s="183">
        <v>201.55</v>
      </c>
      <c r="C152" s="100">
        <v>4.7285009093271102E-2</v>
      </c>
      <c r="D152" s="183">
        <v>69.8</v>
      </c>
      <c r="E152" s="45">
        <v>9.4043887147335428E-2</v>
      </c>
      <c r="F152" s="102"/>
      <c r="G152" s="125"/>
    </row>
    <row r="153" spans="1:7" x14ac:dyDescent="0.2">
      <c r="A153" s="29">
        <v>1992</v>
      </c>
      <c r="B153" s="183">
        <v>192.45</v>
      </c>
      <c r="C153" s="100">
        <v>2.667377967457989E-2</v>
      </c>
      <c r="D153" s="183">
        <v>63.8</v>
      </c>
      <c r="E153" s="120"/>
      <c r="F153" s="102"/>
      <c r="G153" s="101"/>
    </row>
  </sheetData>
  <phoneticPr fontId="5" type="noConversion"/>
  <printOptions horizontalCentered="1" verticalCentered="1"/>
  <pageMargins left="0.25" right="0.25" top="0.25" bottom="0.25" header="0.5" footer="0.5"/>
  <pageSetup scale="46" fitToHeight="0" orientation="portrait" horizontalDpi="4294967292" verticalDpi="4294967292" r:id="rId1"/>
  <headerFooter alignWithMargins="0">
    <oddFooter>&amp;L&amp;8Prepared by Planning and Analysis&amp;C&amp;8&amp;P&amp;R&amp;8&amp;D
w:\...\kelli\facts\other\tuithist.xls</oddFooter>
  </headerFooter>
  <colBreaks count="1" manualBreakCount="1">
    <brk id="25" max="132" man="1"/>
  </colBreaks>
  <ignoredErrors>
    <ignoredError sqref="D133:D136 Y21 V20:X20 B20:M22 Y92 V91:X93 W21:X22 F18 H18 F89 H89 J89 L89 V89 X89 J18:M18 B5:M5 W5:X5 D86:D89 F87:M88 V86:X88 B16 V15:X18 C16:M16 B17:L17 D91:M93 D129:E129 N89:Q89 N90:Q90 S90 N86:Q86 N87:Q87 N88:Q88 R88:S88 R87:S87 R86:S86 R89 T88 S89:T89 T86 T87 N15:T20 F86:H86 J86:M86 C15:L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B7046EDE9E0344B532F1CE2356DE02" ma:contentTypeVersion="14" ma:contentTypeDescription="Create a new document." ma:contentTypeScope="" ma:versionID="67d20dd3923714d864e99e5d01f2ec4d">
  <xsd:schema xmlns:xsd="http://www.w3.org/2001/XMLSchema" xmlns:xs="http://www.w3.org/2001/XMLSchema" xmlns:p="http://schemas.microsoft.com/office/2006/metadata/properties" xmlns:ns2="a1f33c3a-ad8c-49cb-b126-4e700016790f" xmlns:ns3="0eb0abdb-1613-4d86-ab04-d85a3be54dba" targetNamespace="http://schemas.microsoft.com/office/2006/metadata/properties" ma:root="true" ma:fieldsID="6c94c4aac428efeea8e1c3f6a340d0e4" ns2:_="" ns3:_="">
    <xsd:import namespace="a1f33c3a-ad8c-49cb-b126-4e700016790f"/>
    <xsd:import namespace="0eb0abdb-1613-4d86-ab04-d85a3be54d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33c3a-ad8c-49cb-b126-4e70001679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0abdb-1613-4d86-ab04-d85a3be54d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33c3a-ad8c-49cb-b126-4e70001679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917CB5-C184-409A-84A9-76D05C34C997}"/>
</file>

<file path=customXml/itemProps2.xml><?xml version="1.0" encoding="utf-8"?>
<ds:datastoreItem xmlns:ds="http://schemas.openxmlformats.org/officeDocument/2006/customXml" ds:itemID="{D7E8DBAC-7077-41BB-90CF-54B46BE41286}"/>
</file>

<file path=customXml/itemProps3.xml><?xml version="1.0" encoding="utf-8"?>
<ds:datastoreItem xmlns:ds="http://schemas.openxmlformats.org/officeDocument/2006/customXml" ds:itemID="{712C1FB4-D4A2-49C6-917E-2C1C45674B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TUITHIST</vt:lpstr>
      <vt:lpstr>TUITHIST!Print_Area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Stearns</dc:creator>
  <cp:lastModifiedBy>Yuhao Liu</cp:lastModifiedBy>
  <cp:lastPrinted>2020-10-30T22:46:00Z</cp:lastPrinted>
  <dcterms:created xsi:type="dcterms:W3CDTF">2000-07-03T19:27:01Z</dcterms:created>
  <dcterms:modified xsi:type="dcterms:W3CDTF">2025-10-22T20:25:18Z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0x010100BFB7046EDE9E0344B532F1CE2356DE02</vt:lpwstr>
  </property>
</Properties>
</file>