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yuhao1\Desktop\Student Report\2021\"/>
    </mc:Choice>
  </mc:AlternateContent>
  <xr:revisionPtr revIDLastSave="0" documentId="13_ncr:1_{0EC9B898-9378-47CB-BEB2-C1A0EB8A5D8F}" xr6:coauthVersionLast="47" xr6:coauthVersionMax="47" xr10:uidLastSave="{00000000-0000-0000-0000-000000000000}"/>
  <bookViews>
    <workbookView xWindow="28680" yWindow="-120" windowWidth="21840" windowHeight="13140" tabRatio="822" xr2:uid="{00000000-000D-0000-FFFF-FFFF00000000}"/>
  </bookViews>
  <sheets>
    <sheet name="ACT" sheetId="9" r:id="rId1"/>
  </sheets>
  <definedNames>
    <definedName name="_xlnm.Print_Area" localSheetId="0">ACT!$A$1:$AH$41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0" i="9" l="1"/>
  <c r="AH41" i="9"/>
  <c r="AG41" i="9"/>
  <c r="AG20" i="9"/>
  <c r="Q41" i="9" l="1"/>
  <c r="M34" i="9"/>
  <c r="V13" i="9" l="1"/>
  <c r="V14" i="9"/>
  <c r="V15" i="9"/>
  <c r="V16" i="9"/>
  <c r="U20" i="9"/>
  <c r="V20" i="9" s="1"/>
  <c r="V34" i="9"/>
  <c r="V35" i="9"/>
  <c r="V36" i="9"/>
  <c r="V37" i="9"/>
  <c r="U41" i="9"/>
  <c r="V41" i="9" s="1"/>
  <c r="T16" i="9"/>
  <c r="T15" i="9"/>
  <c r="T14" i="9"/>
  <c r="T13" i="9"/>
  <c r="R16" i="9"/>
  <c r="R15" i="9"/>
  <c r="R14" i="9"/>
  <c r="R13" i="9"/>
  <c r="S41" i="9"/>
  <c r="T41" i="9" s="1"/>
  <c r="S20" i="9"/>
  <c r="T20" i="9" s="1"/>
  <c r="T34" i="9"/>
  <c r="T35" i="9"/>
  <c r="T36" i="9"/>
  <c r="T37" i="9"/>
  <c r="Q20" i="9"/>
  <c r="R34" i="9"/>
  <c r="R35" i="9"/>
  <c r="R36" i="9"/>
  <c r="R37" i="9"/>
  <c r="O37" i="9"/>
  <c r="O36" i="9"/>
  <c r="O35" i="9"/>
  <c r="O34" i="9"/>
  <c r="O16" i="9"/>
  <c r="O15" i="9"/>
  <c r="O13" i="9"/>
  <c r="O14" i="9"/>
  <c r="O41" i="9"/>
  <c r="O20" i="9"/>
  <c r="M16" i="9"/>
  <c r="M15" i="9"/>
  <c r="M14" i="9"/>
  <c r="M13" i="9"/>
  <c r="M19" i="9"/>
  <c r="M18" i="9"/>
  <c r="M41" i="9"/>
  <c r="M37" i="9"/>
  <c r="M36" i="9"/>
  <c r="M35" i="9"/>
  <c r="K16" i="9"/>
  <c r="K15" i="9"/>
  <c r="K19" i="9"/>
  <c r="K18" i="9"/>
  <c r="K40" i="9"/>
  <c r="K39" i="9"/>
  <c r="K41" i="9" s="1"/>
  <c r="K37" i="9"/>
  <c r="K36" i="9"/>
  <c r="K35" i="9"/>
  <c r="K34" i="9"/>
  <c r="K14" i="9"/>
  <c r="K13" i="9"/>
  <c r="I37" i="9"/>
  <c r="I36" i="9"/>
  <c r="I34" i="9"/>
  <c r="I40" i="9"/>
  <c r="I39" i="9"/>
  <c r="I19" i="9"/>
  <c r="I18" i="9"/>
  <c r="I16" i="9"/>
  <c r="I15" i="9"/>
  <c r="I14" i="9"/>
  <c r="G14" i="9"/>
  <c r="G13" i="9"/>
  <c r="G15" i="9"/>
  <c r="G16" i="9"/>
  <c r="E13" i="9"/>
  <c r="E14" i="9"/>
  <c r="E15" i="9"/>
  <c r="E16" i="9"/>
  <c r="G41" i="9"/>
  <c r="G37" i="9"/>
  <c r="G34" i="9"/>
  <c r="G35" i="9"/>
  <c r="G36" i="9"/>
  <c r="G20" i="9"/>
  <c r="E35" i="9"/>
  <c r="E34" i="9"/>
  <c r="E36" i="9"/>
  <c r="E37" i="9"/>
  <c r="C35" i="9"/>
  <c r="C34" i="9"/>
  <c r="C36" i="9"/>
  <c r="C37" i="9"/>
  <c r="C16" i="9"/>
  <c r="C13" i="9"/>
  <c r="C14" i="9"/>
  <c r="C15" i="9"/>
  <c r="E41" i="9"/>
  <c r="C39" i="9"/>
  <c r="C40" i="9"/>
  <c r="E19" i="9"/>
  <c r="E18" i="9"/>
  <c r="C19" i="9"/>
  <c r="C18" i="9"/>
  <c r="K20" i="9" l="1"/>
  <c r="J15" i="9"/>
  <c r="D35" i="9"/>
  <c r="H14" i="9"/>
  <c r="J35" i="9"/>
  <c r="C20" i="9"/>
  <c r="H37" i="9"/>
  <c r="I41" i="9"/>
  <c r="E20" i="9"/>
  <c r="J14" i="9"/>
  <c r="N36" i="9"/>
  <c r="P34" i="9"/>
  <c r="L37" i="9"/>
  <c r="L16" i="9"/>
  <c r="H34" i="9"/>
  <c r="D37" i="9"/>
  <c r="H36" i="9"/>
  <c r="F13" i="9"/>
  <c r="C41" i="9"/>
  <c r="J34" i="9"/>
  <c r="D36" i="9"/>
  <c r="J36" i="9"/>
  <c r="J37" i="9"/>
  <c r="H16" i="9"/>
  <c r="L36" i="9"/>
  <c r="M20" i="9"/>
  <c r="P36" i="9"/>
  <c r="P35" i="9"/>
  <c r="F15" i="9"/>
  <c r="P15" i="9"/>
  <c r="P16" i="9"/>
  <c r="I20" i="9"/>
  <c r="D34" i="9"/>
  <c r="H13" i="9"/>
  <c r="L35" i="9"/>
  <c r="N13" i="9"/>
  <c r="D16" i="9"/>
  <c r="F35" i="9"/>
  <c r="N14" i="9"/>
  <c r="P37" i="9"/>
  <c r="N37" i="9"/>
  <c r="H35" i="9"/>
  <c r="L15" i="9"/>
  <c r="L14" i="9"/>
  <c r="F14" i="9"/>
  <c r="F16" i="9"/>
  <c r="J13" i="9"/>
  <c r="L34" i="9"/>
  <c r="N15" i="9"/>
  <c r="P14" i="9"/>
  <c r="D14" i="9"/>
  <c r="N34" i="9"/>
  <c r="F34" i="9"/>
  <c r="F37" i="9"/>
  <c r="J16" i="9"/>
  <c r="F36" i="9"/>
  <c r="D15" i="9"/>
  <c r="N35" i="9"/>
  <c r="N16" i="9"/>
  <c r="P13" i="9"/>
  <c r="H15" i="9"/>
  <c r="L13" i="9"/>
  <c r="D13" i="9"/>
</calcChain>
</file>

<file path=xl/sharedStrings.xml><?xml version="1.0" encoding="utf-8"?>
<sst xmlns="http://schemas.openxmlformats.org/spreadsheetml/2006/main" count="199" uniqueCount="38">
  <si>
    <t>Total</t>
  </si>
  <si>
    <t>Fall 2002</t>
  </si>
  <si>
    <t>Fall 2003</t>
  </si>
  <si>
    <t>Men</t>
  </si>
  <si>
    <t>Women</t>
  </si>
  <si>
    <t>N</t>
  </si>
  <si>
    <t>Composite</t>
  </si>
  <si>
    <t>English</t>
  </si>
  <si>
    <t>Mathematics</t>
  </si>
  <si>
    <t>Reading</t>
  </si>
  <si>
    <t>Science Reasoning</t>
  </si>
  <si>
    <t>%</t>
  </si>
  <si>
    <t>1-18</t>
  </si>
  <si>
    <t>19-21</t>
  </si>
  <si>
    <t>22-26</t>
  </si>
  <si>
    <t>27-36</t>
  </si>
  <si>
    <t>Avg. Comp.</t>
  </si>
  <si>
    <t xml:space="preserve"> </t>
  </si>
  <si>
    <t>Fall 2004</t>
  </si>
  <si>
    <t>Fall 2005</t>
  </si>
  <si>
    <t>Fall 2006</t>
  </si>
  <si>
    <t>Fall 2007</t>
  </si>
  <si>
    <t>Fall 2008</t>
  </si>
  <si>
    <t>Average Scores:</t>
  </si>
  <si>
    <t xml:space="preserve"> Composite Range Score:</t>
  </si>
  <si>
    <t>First Time Freshmen ACT Scores</t>
  </si>
  <si>
    <t>Fall 2009</t>
  </si>
  <si>
    <t>Fall 2010</t>
  </si>
  <si>
    <t>Manhattan Campus</t>
  </si>
  <si>
    <t>College of Technology and Aviation - Salina Campus</t>
  </si>
  <si>
    <t>Fall 2011</t>
  </si>
  <si>
    <t>Enrolled who submitted scores:</t>
  </si>
  <si>
    <t>Fall 2016</t>
  </si>
  <si>
    <t>Fall 2017</t>
  </si>
  <si>
    <t>Fall 2018</t>
  </si>
  <si>
    <t>Fall 2019</t>
  </si>
  <si>
    <t>Fall 2020</t>
  </si>
  <si>
    <t>Fall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</si>
</sst>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" fillId="0" borderId="0" applyFill="0" applyBorder="0" applyAlignment="0" applyProtection="0"/>
    <xf numFmtId="0" fontId="11" fillId="0" borderId="0" applyFill="0" applyBorder="0" applyAlignment="0" applyProtection="0"/>
    <xf numFmtId="0" fontId="2" fillId="0" borderId="0" applyFill="0" applyBorder="0" applyAlignment="0" applyProtection="0"/>
    <xf numFmtId="0" fontId="20" fillId="0" borderId="0" applyNumberFormat="0" applyFill="0" applyBorder="0" applyAlignment="0" applyProtection="0"/>
    <xf numFmtId="2" fontId="2" fillId="0" borderId="0" applyFill="0" applyBorder="0" applyAlignment="0" applyProtection="0"/>
    <xf numFmtId="2" fontId="11" fillId="0" borderId="0" applyFill="0" applyBorder="0" applyAlignment="0" applyProtection="0"/>
    <xf numFmtId="2" fontId="2" fillId="0" borderId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8" fillId="0" borderId="0"/>
    <xf numFmtId="0" fontId="2" fillId="0" borderId="0"/>
    <xf numFmtId="0" fontId="1" fillId="23" borderId="7" applyNumberFormat="0" applyFont="0" applyAlignment="0" applyProtection="0"/>
    <xf numFmtId="0" fontId="28" fillId="20" borderId="8" applyNumberFormat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0" xfId="50"/>
    <xf numFmtId="0" fontId="1" fillId="0" borderId="0" xfId="50" applyFont="1"/>
    <xf numFmtId="3" fontId="1" fillId="0" borderId="0" xfId="50" applyNumberFormat="1" applyFont="1"/>
    <xf numFmtId="0" fontId="9" fillId="0" borderId="0" xfId="50" applyFont="1"/>
    <xf numFmtId="0" fontId="2" fillId="0" borderId="0" xfId="50" applyBorder="1"/>
    <xf numFmtId="0" fontId="0" fillId="0" borderId="0" xfId="0" applyAlignment="1"/>
    <xf numFmtId="0" fontId="9" fillId="0" borderId="0" xfId="50" applyFont="1" applyBorder="1"/>
    <xf numFmtId="0" fontId="0" fillId="0" borderId="11" xfId="0" applyBorder="1" applyAlignment="1"/>
    <xf numFmtId="0" fontId="7" fillId="0" borderId="12" xfId="0" applyFont="1" applyFill="1" applyBorder="1" applyAlignment="1">
      <alignment horizontal="center"/>
    </xf>
    <xf numFmtId="165" fontId="7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right"/>
    </xf>
    <xf numFmtId="164" fontId="8" fillId="0" borderId="15" xfId="0" applyNumberFormat="1" applyFont="1" applyFill="1" applyBorder="1" applyAlignment="1"/>
    <xf numFmtId="0" fontId="8" fillId="0" borderId="16" xfId="0" applyFont="1" applyFill="1" applyBorder="1" applyAlignment="1">
      <alignment horizontal="right"/>
    </xf>
    <xf numFmtId="164" fontId="8" fillId="0" borderId="17" xfId="0" applyNumberFormat="1" applyFont="1" applyFill="1" applyBorder="1" applyAlignment="1"/>
    <xf numFmtId="0" fontId="7" fillId="0" borderId="18" xfId="0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0" fontId="0" fillId="0" borderId="0" xfId="0" applyBorder="1"/>
    <xf numFmtId="0" fontId="7" fillId="0" borderId="28" xfId="0" applyFont="1" applyFill="1" applyBorder="1" applyAlignment="1">
      <alignment horizontal="center"/>
    </xf>
    <xf numFmtId="164" fontId="7" fillId="0" borderId="35" xfId="0" applyNumberFormat="1" applyFont="1" applyFill="1" applyBorder="1" applyAlignment="1">
      <alignment horizontal="center" vertical="center" wrapText="1"/>
    </xf>
    <xf numFmtId="165" fontId="7" fillId="0" borderId="29" xfId="0" applyNumberFormat="1" applyFont="1" applyFill="1" applyBorder="1" applyAlignment="1">
      <alignment horizontal="center"/>
    </xf>
    <xf numFmtId="164" fontId="8" fillId="0" borderId="36" xfId="0" applyNumberFormat="1" applyFont="1" applyFill="1" applyBorder="1" applyAlignment="1"/>
    <xf numFmtId="164" fontId="8" fillId="0" borderId="33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7" fillId="0" borderId="24" xfId="0" applyFont="1" applyFill="1" applyBorder="1" applyAlignment="1"/>
    <xf numFmtId="0" fontId="8" fillId="0" borderId="1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2" fillId="0" borderId="18" xfId="50" applyFill="1" applyBorder="1"/>
    <xf numFmtId="0" fontId="2" fillId="0" borderId="13" xfId="50" applyFill="1" applyBorder="1"/>
    <xf numFmtId="0" fontId="2" fillId="0" borderId="37" xfId="50" applyFill="1" applyBorder="1"/>
    <xf numFmtId="0" fontId="8" fillId="0" borderId="24" xfId="0" applyFont="1" applyFill="1" applyBorder="1" applyAlignment="1">
      <alignment horizontal="right"/>
    </xf>
    <xf numFmtId="0" fontId="8" fillId="0" borderId="28" xfId="0" applyFont="1" applyFill="1" applyBorder="1" applyAlignment="1"/>
    <xf numFmtId="49" fontId="8" fillId="0" borderId="30" xfId="0" applyNumberFormat="1" applyFont="1" applyFill="1" applyBorder="1" applyAlignment="1"/>
    <xf numFmtId="49" fontId="8" fillId="0" borderId="10" xfId="0" applyNumberFormat="1" applyFont="1" applyFill="1" applyBorder="1" applyAlignment="1"/>
    <xf numFmtId="0" fontId="2" fillId="0" borderId="28" xfId="50" applyFill="1" applyBorder="1"/>
    <xf numFmtId="0" fontId="2" fillId="0" borderId="30" xfId="50" applyFill="1" applyBorder="1"/>
    <xf numFmtId="0" fontId="2" fillId="0" borderId="38" xfId="50" applyFill="1" applyBorder="1"/>
    <xf numFmtId="165" fontId="8" fillId="0" borderId="28" xfId="0" applyNumberFormat="1" applyFont="1" applyFill="1" applyBorder="1" applyAlignment="1">
      <alignment horizontal="right"/>
    </xf>
    <xf numFmtId="0" fontId="8" fillId="0" borderId="30" xfId="0" applyFont="1" applyFill="1" applyBorder="1" applyAlignment="1"/>
    <xf numFmtId="0" fontId="8" fillId="0" borderId="10" xfId="0" applyFont="1" applyFill="1" applyBorder="1" applyAlignment="1"/>
    <xf numFmtId="0" fontId="8" fillId="0" borderId="28" xfId="0" applyFont="1" applyFill="1" applyBorder="1" applyAlignment="1">
      <alignment horizontal="right"/>
    </xf>
    <xf numFmtId="166" fontId="8" fillId="0" borderId="28" xfId="0" applyNumberFormat="1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40" xfId="0" applyFont="1" applyFill="1" applyBorder="1" applyAlignment="1"/>
    <xf numFmtId="166" fontId="8" fillId="0" borderId="39" xfId="0" applyNumberFormat="1" applyFont="1" applyFill="1" applyBorder="1" applyAlignment="1">
      <alignment horizontal="right"/>
    </xf>
    <xf numFmtId="0" fontId="8" fillId="0" borderId="41" xfId="0" applyFont="1" applyFill="1" applyBorder="1" applyAlignment="1"/>
    <xf numFmtId="0" fontId="2" fillId="0" borderId="39" xfId="50" applyFill="1" applyBorder="1"/>
    <xf numFmtId="0" fontId="2" fillId="0" borderId="40" xfId="50" applyFill="1" applyBorder="1"/>
    <xf numFmtId="0" fontId="2" fillId="0" borderId="42" xfId="50" applyFill="1" applyBorder="1"/>
    <xf numFmtId="0" fontId="12" fillId="0" borderId="12" xfId="50" applyFont="1" applyFill="1" applyBorder="1" applyAlignment="1">
      <alignment horizontal="center"/>
    </xf>
    <xf numFmtId="0" fontId="12" fillId="0" borderId="35" xfId="50" applyFont="1" applyFill="1" applyBorder="1" applyAlignment="1">
      <alignment horizontal="center"/>
    </xf>
    <xf numFmtId="0" fontId="12" fillId="0" borderId="43" xfId="50" applyFont="1" applyFill="1" applyBorder="1" applyAlignment="1">
      <alignment horizontal="center"/>
    </xf>
    <xf numFmtId="0" fontId="12" fillId="0" borderId="44" xfId="50" applyFont="1" applyFill="1" applyBorder="1" applyAlignment="1">
      <alignment horizontal="center"/>
    </xf>
    <xf numFmtId="49" fontId="8" fillId="0" borderId="45" xfId="0" applyNumberFormat="1" applyFont="1" applyFill="1" applyBorder="1" applyAlignment="1">
      <alignment horizontal="right"/>
    </xf>
    <xf numFmtId="0" fontId="1" fillId="0" borderId="14" xfId="50" applyFont="1" applyFill="1" applyBorder="1"/>
    <xf numFmtId="164" fontId="1" fillId="0" borderId="20" xfId="53" applyNumberFormat="1" applyFont="1" applyFill="1" applyBorder="1"/>
    <xf numFmtId="0" fontId="1" fillId="0" borderId="46" xfId="50" applyFont="1" applyFill="1" applyBorder="1"/>
    <xf numFmtId="164" fontId="1" fillId="0" borderId="25" xfId="53" applyNumberFormat="1" applyFont="1" applyFill="1" applyBorder="1"/>
    <xf numFmtId="49" fontId="8" fillId="0" borderId="47" xfId="0" applyNumberFormat="1" applyFont="1" applyFill="1" applyBorder="1" applyAlignment="1">
      <alignment horizontal="right"/>
    </xf>
    <xf numFmtId="49" fontId="8" fillId="0" borderId="34" xfId="0" applyNumberFormat="1" applyFont="1" applyFill="1" applyBorder="1" applyAlignment="1">
      <alignment horizontal="right"/>
    </xf>
    <xf numFmtId="49" fontId="8" fillId="0" borderId="24" xfId="0" applyNumberFormat="1" applyFont="1" applyFill="1" applyBorder="1" applyAlignment="1">
      <alignment horizontal="right"/>
    </xf>
    <xf numFmtId="0" fontId="1" fillId="0" borderId="16" xfId="50" applyFont="1" applyFill="1" applyBorder="1"/>
    <xf numFmtId="164" fontId="1" fillId="0" borderId="17" xfId="53" applyNumberFormat="1" applyFont="1" applyFill="1" applyBorder="1"/>
    <xf numFmtId="0" fontId="1" fillId="0" borderId="48" xfId="50" applyFont="1" applyFill="1" applyBorder="1"/>
    <xf numFmtId="164" fontId="1" fillId="0" borderId="27" xfId="53" applyNumberFormat="1" applyFont="1" applyFill="1" applyBorder="1"/>
    <xf numFmtId="164" fontId="7" fillId="0" borderId="44" xfId="0" applyNumberFormat="1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right"/>
    </xf>
    <xf numFmtId="0" fontId="1" fillId="0" borderId="20" xfId="50" applyFont="1" applyFill="1" applyBorder="1"/>
    <xf numFmtId="0" fontId="8" fillId="0" borderId="34" xfId="0" applyFont="1" applyFill="1" applyBorder="1" applyAlignment="1">
      <alignment horizontal="right"/>
    </xf>
    <xf numFmtId="0" fontId="7" fillId="0" borderId="31" xfId="0" applyFont="1" applyFill="1" applyBorder="1" applyAlignment="1">
      <alignment horizontal="right"/>
    </xf>
    <xf numFmtId="0" fontId="6" fillId="0" borderId="21" xfId="50" applyFont="1" applyFill="1" applyBorder="1"/>
    <xf numFmtId="0" fontId="6" fillId="0" borderId="22" xfId="50" applyFont="1" applyFill="1" applyBorder="1"/>
    <xf numFmtId="0" fontId="6" fillId="0" borderId="49" xfId="50" applyFont="1" applyFill="1" applyBorder="1"/>
    <xf numFmtId="0" fontId="0" fillId="0" borderId="0" xfId="0" applyFill="1" applyAlignment="1"/>
    <xf numFmtId="0" fontId="2" fillId="0" borderId="0" xfId="50" applyFill="1"/>
    <xf numFmtId="0" fontId="0" fillId="0" borderId="0" xfId="0" applyFill="1"/>
    <xf numFmtId="0" fontId="9" fillId="0" borderId="0" xfId="50" applyFont="1" applyFill="1" applyBorder="1"/>
    <xf numFmtId="166" fontId="2" fillId="0" borderId="28" xfId="50" applyNumberFormat="1" applyFill="1" applyBorder="1"/>
    <xf numFmtId="166" fontId="2" fillId="0" borderId="38" xfId="50" applyNumberFormat="1" applyFill="1" applyBorder="1"/>
    <xf numFmtId="166" fontId="2" fillId="0" borderId="39" xfId="50" applyNumberFormat="1" applyFill="1" applyBorder="1"/>
    <xf numFmtId="0" fontId="8" fillId="0" borderId="14" xfId="50" applyFont="1" applyFill="1" applyBorder="1"/>
    <xf numFmtId="0" fontId="8" fillId="0" borderId="20" xfId="50" applyFont="1" applyFill="1" applyBorder="1"/>
    <xf numFmtId="0" fontId="7" fillId="0" borderId="21" xfId="50" applyFont="1" applyFill="1" applyBorder="1"/>
    <xf numFmtId="0" fontId="7" fillId="0" borderId="22" xfId="50" applyFont="1" applyFill="1" applyBorder="1"/>
    <xf numFmtId="0" fontId="2" fillId="0" borderId="0" xfId="50" applyFill="1" applyBorder="1"/>
    <xf numFmtId="0" fontId="7" fillId="0" borderId="26" xfId="0" applyFont="1" applyFill="1" applyBorder="1" applyAlignment="1">
      <alignment wrapText="1"/>
    </xf>
    <xf numFmtId="166" fontId="1" fillId="0" borderId="25" xfId="50" applyNumberFormat="1" applyFont="1" applyFill="1" applyBorder="1"/>
    <xf numFmtId="166" fontId="2" fillId="0" borderId="42" xfId="50" applyNumberFormat="1" applyFill="1" applyBorder="1"/>
    <xf numFmtId="0" fontId="8" fillId="0" borderId="46" xfId="50" applyFont="1" applyFill="1" applyBorder="1"/>
    <xf numFmtId="0" fontId="7" fillId="0" borderId="49" xfId="50" applyFont="1" applyFill="1" applyBorder="1"/>
    <xf numFmtId="0" fontId="2" fillId="0" borderId="0" xfId="50" applyFont="1" applyFill="1"/>
    <xf numFmtId="0" fontId="2" fillId="0" borderId="0" xfId="50" applyAlignment="1">
      <alignment horizontal="centerContinuous"/>
    </xf>
    <xf numFmtId="166" fontId="1" fillId="0" borderId="20" xfId="50" applyNumberFormat="1" applyFont="1" applyFill="1" applyBorder="1"/>
    <xf numFmtId="0" fontId="13" fillId="0" borderId="0" xfId="0" applyFont="1" applyFill="1" applyAlignment="1">
      <alignment horizontal="centerContinuous"/>
    </xf>
    <xf numFmtId="0" fontId="2" fillId="0" borderId="0" xfId="50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Fill="1" applyAlignment="1">
      <alignment horizontal="centerContinuous"/>
    </xf>
    <xf numFmtId="166" fontId="7" fillId="0" borderId="22" xfId="50" applyNumberFormat="1" applyFont="1" applyFill="1" applyBorder="1"/>
    <xf numFmtId="166" fontId="6" fillId="0" borderId="22" xfId="50" applyNumberFormat="1" applyFont="1" applyFill="1" applyBorder="1"/>
    <xf numFmtId="166" fontId="2" fillId="0" borderId="37" xfId="50" applyNumberFormat="1" applyFill="1" applyBorder="1"/>
    <xf numFmtId="166" fontId="6" fillId="0" borderId="53" xfId="50" applyNumberFormat="1" applyFont="1" applyFill="1" applyBorder="1"/>
    <xf numFmtId="166" fontId="8" fillId="0" borderId="25" xfId="50" applyNumberFormat="1" applyFont="1" applyFill="1" applyBorder="1"/>
    <xf numFmtId="166" fontId="7" fillId="0" borderId="53" xfId="50" applyNumberFormat="1" applyFont="1" applyFill="1" applyBorder="1"/>
    <xf numFmtId="166" fontId="8" fillId="0" borderId="20" xfId="50" applyNumberFormat="1" applyFont="1" applyFill="1" applyBorder="1"/>
    <xf numFmtId="0" fontId="2" fillId="0" borderId="0" xfId="50" applyBorder="1"/>
    <xf numFmtId="0" fontId="2" fillId="0" borderId="0" xfId="50"/>
    <xf numFmtId="0" fontId="2" fillId="0" borderId="0" xfId="50" applyAlignment="1">
      <alignment horizontal="centerContinuous"/>
    </xf>
    <xf numFmtId="0" fontId="9" fillId="0" borderId="0" xfId="50" applyFont="1"/>
    <xf numFmtId="49" fontId="6" fillId="0" borderId="26" xfId="0" applyNumberFormat="1" applyFont="1" applyFill="1" applyBorder="1" applyAlignment="1">
      <alignment vertical="center" wrapText="1"/>
    </xf>
    <xf numFmtId="0" fontId="0" fillId="0" borderId="61" xfId="0" applyFill="1" applyBorder="1" applyAlignment="1"/>
    <xf numFmtId="0" fontId="7" fillId="0" borderId="59" xfId="0" applyFont="1" applyFill="1" applyBorder="1" applyAlignment="1"/>
    <xf numFmtId="0" fontId="8" fillId="0" borderId="59" xfId="0" applyFont="1" applyFill="1" applyBorder="1" applyAlignment="1">
      <alignment horizontal="right"/>
    </xf>
    <xf numFmtId="0" fontId="7" fillId="0" borderId="58" xfId="0" applyFont="1" applyFill="1" applyBorder="1" applyAlignment="1">
      <alignment wrapText="1"/>
    </xf>
    <xf numFmtId="49" fontId="8" fillId="0" borderId="62" xfId="0" applyNumberFormat="1" applyFont="1" applyFill="1" applyBorder="1" applyAlignment="1">
      <alignment horizontal="right"/>
    </xf>
    <xf numFmtId="49" fontId="8" fillId="0" borderId="63" xfId="0" applyNumberFormat="1" applyFont="1" applyFill="1" applyBorder="1" applyAlignment="1">
      <alignment horizontal="right"/>
    </xf>
    <xf numFmtId="49" fontId="8" fillId="0" borderId="64" xfId="0" applyNumberFormat="1" applyFont="1" applyFill="1" applyBorder="1" applyAlignment="1">
      <alignment horizontal="right"/>
    </xf>
    <xf numFmtId="49" fontId="8" fillId="0" borderId="59" xfId="0" applyNumberFormat="1" applyFont="1" applyFill="1" applyBorder="1" applyAlignment="1">
      <alignment horizontal="right"/>
    </xf>
    <xf numFmtId="49" fontId="6" fillId="0" borderId="58" xfId="0" applyNumberFormat="1" applyFont="1" applyFill="1" applyBorder="1" applyAlignment="1">
      <alignment vertical="center" wrapText="1"/>
    </xf>
    <xf numFmtId="0" fontId="8" fillId="0" borderId="63" xfId="0" applyFont="1" applyFill="1" applyBorder="1" applyAlignment="1">
      <alignment horizontal="right"/>
    </xf>
    <xf numFmtId="0" fontId="8" fillId="0" borderId="64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right"/>
    </xf>
    <xf numFmtId="0" fontId="2" fillId="0" borderId="0" xfId="50" applyBorder="1"/>
    <xf numFmtId="0" fontId="2" fillId="0" borderId="0" xfId="50" applyAlignment="1">
      <alignment horizontal="centerContinuous"/>
    </xf>
    <xf numFmtId="3" fontId="1" fillId="0" borderId="46" xfId="50" applyNumberFormat="1" applyFont="1" applyFill="1" applyBorder="1"/>
    <xf numFmtId="3" fontId="1" fillId="0" borderId="48" xfId="50" applyNumberFormat="1" applyFont="1" applyFill="1" applyBorder="1"/>
    <xf numFmtId="3" fontId="12" fillId="0" borderId="43" xfId="50" applyNumberFormat="1" applyFont="1" applyFill="1" applyBorder="1" applyAlignment="1">
      <alignment horizontal="center"/>
    </xf>
    <xf numFmtId="3" fontId="6" fillId="0" borderId="49" xfId="50" applyNumberFormat="1" applyFont="1" applyFill="1" applyBorder="1"/>
    <xf numFmtId="3" fontId="2" fillId="0" borderId="0" xfId="50" applyNumberFormat="1" applyFill="1"/>
    <xf numFmtId="3" fontId="0" fillId="0" borderId="0" xfId="0" applyNumberFormat="1"/>
    <xf numFmtId="166" fontId="2" fillId="0" borderId="71" xfId="50" applyNumberFormat="1" applyFill="1" applyBorder="1" applyAlignment="1">
      <alignment horizontal="center"/>
    </xf>
    <xf numFmtId="166" fontId="2" fillId="0" borderId="72" xfId="50" applyNumberFormat="1" applyFill="1" applyBorder="1" applyAlignment="1">
      <alignment horizontal="center"/>
    </xf>
    <xf numFmtId="0" fontId="2" fillId="0" borderId="70" xfId="50" applyFill="1" applyBorder="1" applyAlignment="1">
      <alignment horizontal="center"/>
    </xf>
    <xf numFmtId="166" fontId="2" fillId="0" borderId="67" xfId="50" applyNumberFormat="1" applyFill="1" applyBorder="1" applyAlignment="1">
      <alignment horizontal="center"/>
    </xf>
    <xf numFmtId="166" fontId="2" fillId="0" borderId="68" xfId="50" applyNumberFormat="1" applyFill="1" applyBorder="1" applyAlignment="1">
      <alignment horizontal="center"/>
    </xf>
    <xf numFmtId="0" fontId="2" fillId="0" borderId="65" xfId="50" applyFill="1" applyBorder="1" applyAlignment="1">
      <alignment horizontal="center"/>
    </xf>
    <xf numFmtId="166" fontId="2" fillId="0" borderId="19" xfId="50" applyNumberFormat="1" applyFill="1" applyBorder="1" applyAlignment="1">
      <alignment horizontal="center"/>
    </xf>
    <xf numFmtId="166" fontId="2" fillId="0" borderId="69" xfId="50" applyNumberFormat="1" applyFill="1" applyBorder="1" applyAlignment="1">
      <alignment horizontal="center"/>
    </xf>
    <xf numFmtId="0" fontId="2" fillId="0" borderId="66" xfId="50" applyFill="1" applyBorder="1" applyAlignment="1">
      <alignment horizontal="center"/>
    </xf>
    <xf numFmtId="166" fontId="2" fillId="0" borderId="70" xfId="50" applyNumberFormat="1" applyFill="1" applyBorder="1" applyAlignment="1">
      <alignment horizontal="center"/>
    </xf>
    <xf numFmtId="166" fontId="2" fillId="0" borderId="65" xfId="50" applyNumberFormat="1" applyFill="1" applyBorder="1" applyAlignment="1">
      <alignment horizontal="center"/>
    </xf>
    <xf numFmtId="166" fontId="2" fillId="0" borderId="66" xfId="50" applyNumberFormat="1" applyFill="1" applyBorder="1" applyAlignment="1">
      <alignment horizontal="center"/>
    </xf>
    <xf numFmtId="0" fontId="4" fillId="0" borderId="50" xfId="50" applyFont="1" applyBorder="1" applyAlignment="1">
      <alignment horizontal="center"/>
    </xf>
    <xf numFmtId="0" fontId="12" fillId="0" borderId="51" xfId="50" applyFont="1" applyBorder="1" applyAlignment="1">
      <alignment horizontal="center"/>
    </xf>
    <xf numFmtId="0" fontId="4" fillId="0" borderId="55" xfId="50" applyFont="1" applyBorder="1" applyAlignment="1">
      <alignment horizontal="center"/>
    </xf>
    <xf numFmtId="0" fontId="12" fillId="0" borderId="56" xfId="50" applyFont="1" applyBorder="1" applyAlignment="1">
      <alignment horizontal="center"/>
    </xf>
    <xf numFmtId="0" fontId="4" fillId="0" borderId="55" xfId="50" applyFont="1" applyFill="1" applyBorder="1" applyAlignment="1">
      <alignment horizontal="center"/>
    </xf>
    <xf numFmtId="0" fontId="12" fillId="0" borderId="56" xfId="50" applyFont="1" applyFill="1" applyBorder="1" applyAlignment="1">
      <alignment horizontal="center"/>
    </xf>
    <xf numFmtId="0" fontId="12" fillId="0" borderId="50" xfId="50" applyFont="1" applyBorder="1" applyAlignment="1">
      <alignment horizontal="center"/>
    </xf>
    <xf numFmtId="0" fontId="12" fillId="0" borderId="54" xfId="50" applyFont="1" applyBorder="1" applyAlignment="1">
      <alignment horizontal="center"/>
    </xf>
    <xf numFmtId="0" fontId="12" fillId="0" borderId="50" xfId="50" applyFont="1" applyFill="1" applyBorder="1" applyAlignment="1">
      <alignment horizontal="center"/>
    </xf>
    <xf numFmtId="0" fontId="12" fillId="0" borderId="54" xfId="50" applyFont="1" applyFill="1" applyBorder="1" applyAlignment="1">
      <alignment horizontal="center"/>
    </xf>
    <xf numFmtId="0" fontId="4" fillId="0" borderId="56" xfId="50" applyFont="1" applyBorder="1" applyAlignment="1">
      <alignment horizontal="center"/>
    </xf>
    <xf numFmtId="0" fontId="12" fillId="0" borderId="57" xfId="5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2" fillId="0" borderId="57" xfId="5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0" fillId="0" borderId="50" xfId="0" applyFill="1" applyBorder="1" applyAlignment="1"/>
    <xf numFmtId="166" fontId="2" fillId="0" borderId="73" xfId="50" applyNumberFormat="1" applyFill="1" applyBorder="1" applyAlignment="1">
      <alignment horizontal="center"/>
    </xf>
    <xf numFmtId="166" fontId="2" fillId="0" borderId="0" xfId="50" applyNumberFormat="1" applyFill="1" applyBorder="1" applyAlignment="1">
      <alignment horizontal="center"/>
    </xf>
    <xf numFmtId="166" fontId="2" fillId="0" borderId="74" xfId="50" applyNumberFormat="1" applyFill="1" applyBorder="1" applyAlignment="1">
      <alignment horizontal="center"/>
    </xf>
    <xf numFmtId="0" fontId="2" fillId="0" borderId="73" xfId="50" applyFill="1" applyBorder="1" applyAlignment="1">
      <alignment horizontal="center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Date" xfId="28" xr:uid="{00000000-0005-0000-0000-00001B000000}"/>
    <cellStyle name="Date 2" xfId="29" xr:uid="{00000000-0005-0000-0000-00001C000000}"/>
    <cellStyle name="Date 2 2" xfId="30" xr:uid="{00000000-0005-0000-0000-00001D000000}"/>
    <cellStyle name="Explanatory Text" xfId="31" builtinId="53" customBuiltin="1"/>
    <cellStyle name="Fixed" xfId="32" xr:uid="{00000000-0005-0000-0000-00001F000000}"/>
    <cellStyle name="Fixed 2" xfId="33" xr:uid="{00000000-0005-0000-0000-000020000000}"/>
    <cellStyle name="Fixed 2 2" xfId="34" xr:uid="{00000000-0005-0000-0000-000021000000}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ADING1" xfId="40" xr:uid="{00000000-0005-0000-0000-000027000000}"/>
    <cellStyle name="HEADING1 2" xfId="41" xr:uid="{00000000-0005-0000-0000-000028000000}"/>
    <cellStyle name="HEADING1 2 2" xfId="42" xr:uid="{00000000-0005-0000-0000-000029000000}"/>
    <cellStyle name="HEADING2" xfId="43" xr:uid="{00000000-0005-0000-0000-00002A000000}"/>
    <cellStyle name="HEADING2 2" xfId="44" xr:uid="{00000000-0005-0000-0000-00002B000000}"/>
    <cellStyle name="HEADING2 2 2" xfId="45" xr:uid="{00000000-0005-0000-0000-00002C000000}"/>
    <cellStyle name="Hyperlink 2" xfId="68" xr:uid="{00000000-0005-0000-0000-00002D000000}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2" xfId="49" xr:uid="{00000000-0005-0000-0000-000032000000}"/>
    <cellStyle name="Normal 2 2" xfId="63" xr:uid="{00000000-0005-0000-0000-000033000000}"/>
    <cellStyle name="Normal 2 3" xfId="69" xr:uid="{00000000-0005-0000-0000-000034000000}"/>
    <cellStyle name="Normal 3" xfId="62" xr:uid="{00000000-0005-0000-0000-000035000000}"/>
    <cellStyle name="Normal 3 2" xfId="70" xr:uid="{00000000-0005-0000-0000-000036000000}"/>
    <cellStyle name="Normal 4" xfId="71" xr:uid="{00000000-0005-0000-0000-000037000000}"/>
    <cellStyle name="Normal 5" xfId="67" xr:uid="{00000000-0005-0000-0000-000038000000}"/>
    <cellStyle name="Normal 5 2" xfId="72" xr:uid="{00000000-0005-0000-0000-000039000000}"/>
    <cellStyle name="Normal_BUDGET" xfId="50" xr:uid="{00000000-0005-0000-0000-00003A000000}"/>
    <cellStyle name="Note" xfId="51" builtinId="10" customBuiltin="1"/>
    <cellStyle name="Output" xfId="52" builtinId="21" customBuiltin="1"/>
    <cellStyle name="Percent" xfId="53" builtinId="5"/>
    <cellStyle name="Percent 2" xfId="54" xr:uid="{00000000-0005-0000-0000-00003E000000}"/>
    <cellStyle name="Percent 2 2" xfId="55" xr:uid="{00000000-0005-0000-0000-00003F000000}"/>
    <cellStyle name="Percent 2 2 2" xfId="65" xr:uid="{00000000-0005-0000-0000-000040000000}"/>
    <cellStyle name="Percent 2 3" xfId="64" xr:uid="{00000000-0005-0000-0000-000041000000}"/>
    <cellStyle name="Percent 3" xfId="56" xr:uid="{00000000-0005-0000-0000-000042000000}"/>
    <cellStyle name="Percent 3 2" xfId="66" xr:uid="{00000000-0005-0000-0000-000043000000}"/>
    <cellStyle name="Percent 4" xfId="57" xr:uid="{00000000-0005-0000-0000-000044000000}"/>
    <cellStyle name="Percent 4 2" xfId="61" xr:uid="{00000000-0005-0000-0000-000045000000}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84"/>
  <sheetViews>
    <sheetView tabSelected="1" zoomScaleNormal="100" zoomScaleSheetLayoutView="95" workbookViewId="0">
      <selection activeCell="AL43" sqref="AL43"/>
    </sheetView>
  </sheetViews>
  <sheetFormatPr defaultColWidth="12.5703125" defaultRowHeight="15" x14ac:dyDescent="0.2"/>
  <cols>
    <col min="1" max="1" width="3.85546875" style="1" customWidth="1"/>
    <col min="2" max="2" width="22.28515625" style="1" customWidth="1"/>
    <col min="3" max="3" width="11" style="1" hidden="1" customWidth="1"/>
    <col min="4" max="4" width="11.42578125" style="1" hidden="1" customWidth="1"/>
    <col min="5" max="5" width="9.42578125" style="1" hidden="1" customWidth="1"/>
    <col min="6" max="6" width="9" style="1" hidden="1" customWidth="1"/>
    <col min="7" max="7" width="9.42578125" style="1" hidden="1" customWidth="1"/>
    <col min="8" max="8" width="9" style="1" hidden="1" customWidth="1"/>
    <col min="9" max="9" width="9.42578125" style="1" hidden="1" customWidth="1"/>
    <col min="10" max="10" width="9" style="1" hidden="1" customWidth="1"/>
    <col min="11" max="11" width="9.42578125" style="1" hidden="1" customWidth="1"/>
    <col min="12" max="12" width="9" style="1" hidden="1" customWidth="1"/>
    <col min="13" max="13" width="8.42578125" style="1" hidden="1" customWidth="1"/>
    <col min="14" max="14" width="10.140625" style="1" hidden="1" customWidth="1"/>
    <col min="15" max="15" width="9" style="1" hidden="1" customWidth="1"/>
    <col min="16" max="16" width="8.42578125" style="1" hidden="1" customWidth="1"/>
    <col min="17" max="17" width="9" style="1" hidden="1" customWidth="1"/>
    <col min="18" max="18" width="8.42578125" style="1" hidden="1" customWidth="1"/>
    <col min="19" max="19" width="9" style="1" hidden="1" customWidth="1"/>
    <col min="20" max="20" width="8.42578125" style="1" hidden="1" customWidth="1"/>
    <col min="21" max="21" width="9" style="1" hidden="1" customWidth="1"/>
    <col min="22" max="22" width="8.42578125" style="1" hidden="1" customWidth="1"/>
    <col min="23" max="23" width="9" style="112" customWidth="1"/>
    <col min="24" max="24" width="8.42578125" style="112" customWidth="1"/>
    <col min="25" max="25" width="9" style="112" customWidth="1"/>
    <col min="26" max="26" width="8.42578125" style="112" customWidth="1"/>
    <col min="27" max="27" width="9" style="112" customWidth="1"/>
    <col min="28" max="28" width="8.42578125" style="112" customWidth="1"/>
    <col min="29" max="29" width="9" style="112" customWidth="1"/>
    <col min="30" max="30" width="8.42578125" style="112" customWidth="1"/>
    <col min="31" max="31" width="9" style="112" customWidth="1"/>
    <col min="32" max="32" width="8.42578125" style="112" customWidth="1"/>
    <col min="33" max="33" width="9" style="112" customWidth="1"/>
    <col min="34" max="34" width="8.42578125" style="112" customWidth="1"/>
    <col min="37" max="16384" width="12.5703125" style="1"/>
  </cols>
  <sheetData>
    <row r="1" spans="1:42" ht="18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11"/>
      <c r="X1" s="111"/>
      <c r="Y1" s="111"/>
      <c r="Z1" s="111"/>
      <c r="AA1" s="128"/>
      <c r="AB1" s="128"/>
      <c r="AC1" s="128"/>
      <c r="AD1" s="128"/>
      <c r="AE1" s="128"/>
      <c r="AF1" s="128"/>
      <c r="AG1" s="128"/>
      <c r="AH1" s="128"/>
    </row>
    <row r="2" spans="1:42" ht="20.25" customHeight="1" x14ac:dyDescent="0.25">
      <c r="B2" s="100" t="s">
        <v>25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</row>
    <row r="3" spans="1:42" ht="16.5" customHeight="1" x14ac:dyDescent="0.25">
      <c r="B3" s="102" t="s">
        <v>28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98"/>
      <c r="R3" s="98"/>
      <c r="S3" s="98"/>
      <c r="T3" s="98"/>
      <c r="U3" s="98"/>
      <c r="V3" s="98"/>
      <c r="W3" s="113"/>
      <c r="X3" s="113"/>
      <c r="Y3" s="113"/>
      <c r="Z3" s="113"/>
      <c r="AA3" s="129"/>
      <c r="AB3" s="129"/>
      <c r="AC3" s="129"/>
      <c r="AD3" s="129"/>
      <c r="AE3" s="129"/>
      <c r="AF3" s="129"/>
      <c r="AG3" s="129"/>
      <c r="AH3" s="129"/>
    </row>
    <row r="4" spans="1:42" ht="15.75" thickBo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42" ht="17.25" thickTop="1" thickBot="1" x14ac:dyDescent="0.3">
      <c r="B5" s="8"/>
      <c r="C5" s="160" t="s">
        <v>1</v>
      </c>
      <c r="D5" s="161"/>
      <c r="E5" s="160" t="s">
        <v>2</v>
      </c>
      <c r="F5" s="161"/>
      <c r="G5" s="160" t="s">
        <v>18</v>
      </c>
      <c r="H5" s="161"/>
      <c r="I5" s="160" t="s">
        <v>19</v>
      </c>
      <c r="J5" s="163"/>
      <c r="K5" s="160" t="s">
        <v>20</v>
      </c>
      <c r="L5" s="163"/>
      <c r="M5" s="159" t="s">
        <v>21</v>
      </c>
      <c r="N5" s="155"/>
      <c r="O5" s="154" t="s">
        <v>22</v>
      </c>
      <c r="P5" s="155"/>
      <c r="Q5" s="159" t="s">
        <v>26</v>
      </c>
      <c r="R5" s="155"/>
      <c r="S5" s="154" t="s">
        <v>27</v>
      </c>
      <c r="T5" s="155"/>
      <c r="U5" s="154" t="s">
        <v>30</v>
      </c>
      <c r="V5" s="155"/>
      <c r="W5" s="150" t="s">
        <v>32</v>
      </c>
      <c r="X5" s="151"/>
      <c r="Y5" s="150" t="s">
        <v>33</v>
      </c>
      <c r="Z5" s="151"/>
      <c r="AA5" s="150" t="s">
        <v>34</v>
      </c>
      <c r="AB5" s="158"/>
      <c r="AC5" s="150" t="s">
        <v>35</v>
      </c>
      <c r="AD5" s="158"/>
      <c r="AE5" s="150" t="s">
        <v>36</v>
      </c>
      <c r="AF5" s="158"/>
      <c r="AG5" s="148" t="s">
        <v>37</v>
      </c>
      <c r="AH5" s="149"/>
    </row>
    <row r="6" spans="1:42" x14ac:dyDescent="0.2">
      <c r="B6" s="30" t="s">
        <v>23</v>
      </c>
      <c r="C6" s="31"/>
      <c r="D6" s="32"/>
      <c r="E6" s="31"/>
      <c r="F6" s="32"/>
      <c r="G6" s="31"/>
      <c r="H6" s="32"/>
      <c r="I6" s="31"/>
      <c r="J6" s="33"/>
      <c r="K6" s="31"/>
      <c r="L6" s="33"/>
      <c r="M6" s="34"/>
      <c r="N6" s="35"/>
      <c r="O6" s="36"/>
      <c r="P6" s="35"/>
      <c r="Q6" s="34"/>
      <c r="R6" s="35"/>
      <c r="S6" s="36"/>
      <c r="T6" s="35"/>
      <c r="U6" s="106"/>
      <c r="V6" s="35"/>
      <c r="W6" s="146"/>
      <c r="X6" s="147"/>
      <c r="Y6" s="146"/>
      <c r="Z6" s="147"/>
      <c r="AA6" s="146"/>
      <c r="AB6" s="147"/>
      <c r="AC6" s="146"/>
      <c r="AD6" s="147"/>
      <c r="AE6" s="146"/>
      <c r="AF6" s="168"/>
      <c r="AG6" s="146"/>
      <c r="AH6" s="145"/>
    </row>
    <row r="7" spans="1:42" x14ac:dyDescent="0.2">
      <c r="B7" s="37" t="s">
        <v>6</v>
      </c>
      <c r="C7" s="38">
        <v>23.4</v>
      </c>
      <c r="D7" s="39"/>
      <c r="E7" s="38">
        <v>23.6</v>
      </c>
      <c r="F7" s="39"/>
      <c r="G7" s="38">
        <v>23.4</v>
      </c>
      <c r="H7" s="39"/>
      <c r="I7" s="38">
        <v>23.5</v>
      </c>
      <c r="J7" s="40"/>
      <c r="K7" s="38">
        <v>23.5</v>
      </c>
      <c r="L7" s="40"/>
      <c r="M7" s="41">
        <v>23.8</v>
      </c>
      <c r="N7" s="42"/>
      <c r="O7" s="43">
        <v>23.9</v>
      </c>
      <c r="P7" s="42"/>
      <c r="Q7" s="41">
        <v>24.2</v>
      </c>
      <c r="R7" s="42"/>
      <c r="S7" s="43">
        <v>24.2</v>
      </c>
      <c r="T7" s="42"/>
      <c r="U7" s="85">
        <v>24.38</v>
      </c>
      <c r="V7" s="42"/>
      <c r="W7" s="139">
        <v>25.1</v>
      </c>
      <c r="X7" s="142"/>
      <c r="Y7" s="139">
        <v>24.9</v>
      </c>
      <c r="Z7" s="142"/>
      <c r="AA7" s="139">
        <v>25</v>
      </c>
      <c r="AB7" s="142"/>
      <c r="AC7" s="139">
        <v>25</v>
      </c>
      <c r="AD7" s="142"/>
      <c r="AE7" s="139">
        <v>24.8</v>
      </c>
      <c r="AF7" s="169"/>
      <c r="AG7" s="139">
        <v>23.9669594</v>
      </c>
      <c r="AH7" s="136"/>
    </row>
    <row r="8" spans="1:42" x14ac:dyDescent="0.2">
      <c r="B8" s="37" t="s">
        <v>7</v>
      </c>
      <c r="C8" s="44">
        <v>22.9</v>
      </c>
      <c r="D8" s="45"/>
      <c r="E8" s="44">
        <v>23.1</v>
      </c>
      <c r="F8" s="45"/>
      <c r="G8" s="44">
        <v>23.1</v>
      </c>
      <c r="H8" s="45"/>
      <c r="I8" s="44">
        <v>23.1</v>
      </c>
      <c r="J8" s="46"/>
      <c r="K8" s="44">
        <v>23.1</v>
      </c>
      <c r="L8" s="46"/>
      <c r="M8" s="41">
        <v>23.3</v>
      </c>
      <c r="N8" s="42"/>
      <c r="O8" s="43">
        <v>23.6</v>
      </c>
      <c r="P8" s="42"/>
      <c r="Q8" s="41">
        <v>23.7</v>
      </c>
      <c r="R8" s="42"/>
      <c r="S8" s="43">
        <v>23.8</v>
      </c>
      <c r="T8" s="42"/>
      <c r="U8" s="85">
        <v>23.998000000000001</v>
      </c>
      <c r="V8" s="42"/>
      <c r="W8" s="139">
        <v>24.77</v>
      </c>
      <c r="X8" s="142"/>
      <c r="Y8" s="139">
        <v>24</v>
      </c>
      <c r="Z8" s="142"/>
      <c r="AA8" s="139">
        <v>24.9</v>
      </c>
      <c r="AB8" s="142"/>
      <c r="AC8" s="139">
        <v>24.8</v>
      </c>
      <c r="AD8" s="142"/>
      <c r="AE8" s="139">
        <v>24.4</v>
      </c>
      <c r="AF8" s="169"/>
      <c r="AG8" s="139">
        <v>23.191551700000002</v>
      </c>
      <c r="AH8" s="136"/>
    </row>
    <row r="9" spans="1:42" x14ac:dyDescent="0.2">
      <c r="B9" s="37" t="s">
        <v>8</v>
      </c>
      <c r="C9" s="44">
        <v>23.3</v>
      </c>
      <c r="D9" s="45"/>
      <c r="E9" s="44">
        <v>23.4</v>
      </c>
      <c r="F9" s="45"/>
      <c r="G9" s="44">
        <v>23.5</v>
      </c>
      <c r="H9" s="45"/>
      <c r="I9" s="44">
        <v>23.3</v>
      </c>
      <c r="J9" s="46"/>
      <c r="K9" s="44">
        <v>23.3</v>
      </c>
      <c r="L9" s="46"/>
      <c r="M9" s="41">
        <v>23.7</v>
      </c>
      <c r="N9" s="42"/>
      <c r="O9" s="85">
        <v>23.8</v>
      </c>
      <c r="P9" s="42"/>
      <c r="Q9" s="84">
        <v>24</v>
      </c>
      <c r="R9" s="42"/>
      <c r="S9" s="85">
        <v>23.9</v>
      </c>
      <c r="T9" s="42"/>
      <c r="U9" s="85">
        <v>24.07</v>
      </c>
      <c r="V9" s="42"/>
      <c r="W9" s="139">
        <v>24.5</v>
      </c>
      <c r="X9" s="142"/>
      <c r="Y9" s="139">
        <v>24.1</v>
      </c>
      <c r="Z9" s="142"/>
      <c r="AA9" s="139">
        <v>24.2</v>
      </c>
      <c r="AB9" s="142"/>
      <c r="AC9" s="139">
        <v>24.2</v>
      </c>
      <c r="AD9" s="142"/>
      <c r="AE9" s="139">
        <v>24.1</v>
      </c>
      <c r="AF9" s="169"/>
      <c r="AG9" s="139">
        <v>23.342116300000001</v>
      </c>
      <c r="AH9" s="136"/>
    </row>
    <row r="10" spans="1:42" x14ac:dyDescent="0.2">
      <c r="B10" s="37" t="s">
        <v>9</v>
      </c>
      <c r="C10" s="47">
        <v>23.9</v>
      </c>
      <c r="D10" s="45"/>
      <c r="E10" s="48">
        <v>24</v>
      </c>
      <c r="F10" s="45"/>
      <c r="G10" s="48">
        <v>23.7</v>
      </c>
      <c r="H10" s="45"/>
      <c r="I10" s="48">
        <v>23.9</v>
      </c>
      <c r="J10" s="46"/>
      <c r="K10" s="48">
        <v>23.9</v>
      </c>
      <c r="L10" s="46"/>
      <c r="M10" s="41">
        <v>24.1</v>
      </c>
      <c r="N10" s="42"/>
      <c r="O10" s="43">
        <v>24.3</v>
      </c>
      <c r="P10" s="42"/>
      <c r="Q10" s="41">
        <v>24.8</v>
      </c>
      <c r="R10" s="42"/>
      <c r="S10" s="43">
        <v>24.6</v>
      </c>
      <c r="T10" s="42"/>
      <c r="U10" s="85">
        <v>24.847000000000001</v>
      </c>
      <c r="V10" s="42"/>
      <c r="W10" s="139">
        <v>25.7</v>
      </c>
      <c r="X10" s="142"/>
      <c r="Y10" s="139">
        <v>25.7</v>
      </c>
      <c r="Z10" s="142"/>
      <c r="AA10" s="139">
        <v>25.7</v>
      </c>
      <c r="AB10" s="142"/>
      <c r="AC10" s="139">
        <v>25.8</v>
      </c>
      <c r="AD10" s="142"/>
      <c r="AE10" s="139">
        <v>25.7</v>
      </c>
      <c r="AF10" s="169"/>
      <c r="AG10" s="139">
        <v>24.7887913</v>
      </c>
      <c r="AH10" s="136"/>
      <c r="AK10" s="1" t="s">
        <v>17</v>
      </c>
    </row>
    <row r="11" spans="1:42" ht="15.75" thickBot="1" x14ac:dyDescent="0.25">
      <c r="B11" s="37" t="s">
        <v>10</v>
      </c>
      <c r="C11" s="49">
        <v>23.1</v>
      </c>
      <c r="D11" s="50"/>
      <c r="E11" s="49">
        <v>23.3</v>
      </c>
      <c r="F11" s="50"/>
      <c r="G11" s="51">
        <v>23</v>
      </c>
      <c r="H11" s="50"/>
      <c r="I11" s="51">
        <v>23.2</v>
      </c>
      <c r="J11" s="52"/>
      <c r="K11" s="51">
        <v>23.2</v>
      </c>
      <c r="L11" s="52"/>
      <c r="M11" s="53">
        <v>23.4</v>
      </c>
      <c r="N11" s="54"/>
      <c r="O11" s="55">
        <v>23.5</v>
      </c>
      <c r="P11" s="54"/>
      <c r="Q11" s="53">
        <v>23.9</v>
      </c>
      <c r="R11" s="54"/>
      <c r="S11" s="55">
        <v>23.9</v>
      </c>
      <c r="T11" s="54"/>
      <c r="U11" s="94">
        <v>24.029</v>
      </c>
      <c r="V11" s="54"/>
      <c r="W11" s="140">
        <v>24.84</v>
      </c>
      <c r="X11" s="143"/>
      <c r="Y11" s="140">
        <v>24.7</v>
      </c>
      <c r="Z11" s="143"/>
      <c r="AA11" s="140">
        <v>24.7</v>
      </c>
      <c r="AB11" s="143"/>
      <c r="AC11" s="140">
        <v>24.6</v>
      </c>
      <c r="AD11" s="143"/>
      <c r="AE11" s="140">
        <v>24.6</v>
      </c>
      <c r="AF11" s="170"/>
      <c r="AG11" s="140">
        <v>23.911297099999999</v>
      </c>
      <c r="AH11" s="137"/>
    </row>
    <row r="12" spans="1:42" ht="27.75" customHeight="1" x14ac:dyDescent="0.25">
      <c r="B12" s="92" t="s">
        <v>24</v>
      </c>
      <c r="C12" s="9" t="s">
        <v>5</v>
      </c>
      <c r="D12" s="10" t="s">
        <v>11</v>
      </c>
      <c r="E12" s="9" t="s">
        <v>5</v>
      </c>
      <c r="F12" s="10" t="s">
        <v>11</v>
      </c>
      <c r="G12" s="9" t="s">
        <v>5</v>
      </c>
      <c r="H12" s="10" t="s">
        <v>11</v>
      </c>
      <c r="I12" s="9" t="s">
        <v>5</v>
      </c>
      <c r="J12" s="24" t="s">
        <v>11</v>
      </c>
      <c r="K12" s="9" t="s">
        <v>5</v>
      </c>
      <c r="L12" s="24" t="s">
        <v>11</v>
      </c>
      <c r="M12" s="56" t="s">
        <v>5</v>
      </c>
      <c r="N12" s="57" t="s">
        <v>11</v>
      </c>
      <c r="O12" s="58" t="s">
        <v>5</v>
      </c>
      <c r="P12" s="57" t="s">
        <v>11</v>
      </c>
      <c r="Q12" s="56" t="s">
        <v>5</v>
      </c>
      <c r="R12" s="57" t="s">
        <v>11</v>
      </c>
      <c r="S12" s="58" t="s">
        <v>5</v>
      </c>
      <c r="T12" s="57" t="s">
        <v>11</v>
      </c>
      <c r="U12" s="58" t="s">
        <v>5</v>
      </c>
      <c r="V12" s="57" t="s">
        <v>11</v>
      </c>
      <c r="W12" s="58" t="s">
        <v>5</v>
      </c>
      <c r="X12" s="57" t="s">
        <v>11</v>
      </c>
      <c r="Y12" s="58" t="s">
        <v>5</v>
      </c>
      <c r="Z12" s="57" t="s">
        <v>11</v>
      </c>
      <c r="AA12" s="58" t="s">
        <v>5</v>
      </c>
      <c r="AB12" s="57" t="s">
        <v>11</v>
      </c>
      <c r="AC12" s="58" t="s">
        <v>5</v>
      </c>
      <c r="AD12" s="57" t="s">
        <v>11</v>
      </c>
      <c r="AE12" s="58" t="s">
        <v>5</v>
      </c>
      <c r="AF12" s="57" t="s">
        <v>11</v>
      </c>
      <c r="AG12" s="58" t="s">
        <v>5</v>
      </c>
      <c r="AH12" s="59" t="s">
        <v>11</v>
      </c>
    </row>
    <row r="13" spans="1:42" x14ac:dyDescent="0.2">
      <c r="B13" s="60" t="s">
        <v>12</v>
      </c>
      <c r="C13" s="11">
        <f>0+1+2+8+20+29+71+116+152</f>
        <v>399</v>
      </c>
      <c r="D13" s="12">
        <f>C13/(SUM($C$13:$C$16))</f>
        <v>0.12507836990595611</v>
      </c>
      <c r="E13" s="11">
        <f>4+9+20+32+64+105+135</f>
        <v>369</v>
      </c>
      <c r="F13" s="12">
        <f>E13/(SUM($E$13:$E$16))</f>
        <v>0.11673521037646314</v>
      </c>
      <c r="G13" s="11">
        <f>3+9+21+38+55+110+139</f>
        <v>375</v>
      </c>
      <c r="H13" s="12">
        <f>G13/(SUM($G$13:$G$16))</f>
        <v>0.11729746637472631</v>
      </c>
      <c r="I13" s="11">
        <v>354</v>
      </c>
      <c r="J13" s="25">
        <f>I13/(SUM($I$13:$I$16))</f>
        <v>0.12110845022237428</v>
      </c>
      <c r="K13" s="11">
        <f>134+86+42+22+17+13+3+6+2+1</f>
        <v>326</v>
      </c>
      <c r="L13" s="25">
        <f>K13/(SUM($K$13:$K$16))</f>
        <v>0.10794701986754966</v>
      </c>
      <c r="M13" s="61">
        <f>1+2+2+3+19+31+49+65+119</f>
        <v>291</v>
      </c>
      <c r="N13" s="62">
        <f>M13/(SUM($M$13:$M$16))</f>
        <v>9.9046970728386655E-2</v>
      </c>
      <c r="O13" s="63">
        <f>1+4+11+14+29+47+70+108</f>
        <v>284</v>
      </c>
      <c r="P13" s="62">
        <f>O13/(SUM(O$13:O$16))</f>
        <v>0.10193826274228285</v>
      </c>
      <c r="Q13" s="61">
        <v>248</v>
      </c>
      <c r="R13" s="62">
        <f>Q13/(SUM(Q$13:Q$16))</f>
        <v>8.7508821453775587E-2</v>
      </c>
      <c r="S13" s="130">
        <v>258</v>
      </c>
      <c r="T13" s="62">
        <f>S13/(SUM(S$13:S$16))</f>
        <v>8.8659793814432994E-2</v>
      </c>
      <c r="U13" s="130">
        <v>233</v>
      </c>
      <c r="V13" s="62">
        <f>U13/(SUM(U$13:U$16))</f>
        <v>8.1869290231904424E-2</v>
      </c>
      <c r="W13" s="130">
        <v>177</v>
      </c>
      <c r="X13" s="62">
        <v>5.412844036697248E-2</v>
      </c>
      <c r="Y13" s="130">
        <v>173</v>
      </c>
      <c r="Z13" s="62">
        <v>5.6223594410139743E-2</v>
      </c>
      <c r="AA13" s="130">
        <v>189</v>
      </c>
      <c r="AB13" s="62">
        <v>6.1046511627906974E-2</v>
      </c>
      <c r="AC13" s="130">
        <v>186</v>
      </c>
      <c r="AD13" s="62">
        <v>6.5126050420168072E-2</v>
      </c>
      <c r="AE13" s="130">
        <v>185</v>
      </c>
      <c r="AF13" s="62">
        <v>7.3763955342902712E-2</v>
      </c>
      <c r="AG13" s="130">
        <v>267</v>
      </c>
      <c r="AH13" s="64">
        <v>0.11169999999999999</v>
      </c>
    </row>
    <row r="14" spans="1:42" x14ac:dyDescent="0.2">
      <c r="B14" s="65" t="s">
        <v>13</v>
      </c>
      <c r="C14" s="11">
        <f>190+225+296</f>
        <v>711</v>
      </c>
      <c r="D14" s="12">
        <f>C14/(SUM($C$13:$C$16))</f>
        <v>0.22288401253918494</v>
      </c>
      <c r="E14" s="11">
        <f>171+202+290</f>
        <v>663</v>
      </c>
      <c r="F14" s="12">
        <f>E14/(SUM($E$13:$E$16))</f>
        <v>0.20974375197722239</v>
      </c>
      <c r="G14" s="11">
        <f>173+218+288</f>
        <v>679</v>
      </c>
      <c r="H14" s="12">
        <f>G14/(SUM($G$13:$G$16))</f>
        <v>0.21238661244917109</v>
      </c>
      <c r="I14" s="11">
        <f>147+225+253</f>
        <v>625</v>
      </c>
      <c r="J14" s="25">
        <f>I14/(SUM($I$13:$I$16))</f>
        <v>0.21382141635306193</v>
      </c>
      <c r="K14" s="11">
        <f>250+246+192</f>
        <v>688</v>
      </c>
      <c r="L14" s="25">
        <f>K14/(SUM($K$13:$K$16))</f>
        <v>0.22781456953642384</v>
      </c>
      <c r="M14" s="61">
        <f>170+174+258</f>
        <v>602</v>
      </c>
      <c r="N14" s="62">
        <f>M14/(SUM($M$13:$M$16))</f>
        <v>0.20490129339686861</v>
      </c>
      <c r="O14" s="63">
        <f>145+147+232</f>
        <v>524</v>
      </c>
      <c r="P14" s="62">
        <f t="shared" ref="P14:R16" si="0">O14/(SUM(O$13:O$16))</f>
        <v>0.18808327351040918</v>
      </c>
      <c r="Q14" s="61">
        <v>543</v>
      </c>
      <c r="R14" s="62">
        <f t="shared" si="0"/>
        <v>0.19160197600564574</v>
      </c>
      <c r="S14" s="130">
        <v>533</v>
      </c>
      <c r="T14" s="62">
        <f>S14/(SUM(S$13:S$16))</f>
        <v>0.1831615120274914</v>
      </c>
      <c r="U14" s="130">
        <v>503</v>
      </c>
      <c r="V14" s="62">
        <f>U14/(SUM(U$13:U$16))</f>
        <v>0.17673928320449753</v>
      </c>
      <c r="W14" s="130">
        <v>517</v>
      </c>
      <c r="X14" s="62">
        <v>0.1581039755351682</v>
      </c>
      <c r="Y14" s="130">
        <v>530</v>
      </c>
      <c r="Z14" s="62">
        <v>0.17224569385765356</v>
      </c>
      <c r="AA14" s="130">
        <v>527</v>
      </c>
      <c r="AB14" s="62">
        <v>0.17021963824289404</v>
      </c>
      <c r="AC14" s="130">
        <v>475</v>
      </c>
      <c r="AD14" s="62">
        <v>0.16631652661064425</v>
      </c>
      <c r="AE14" s="130">
        <v>425</v>
      </c>
      <c r="AF14" s="62">
        <v>0.16945773524720892</v>
      </c>
      <c r="AG14" s="130">
        <v>452</v>
      </c>
      <c r="AH14" s="64">
        <v>0.189</v>
      </c>
      <c r="AJ14" s="135"/>
      <c r="AN14" s="1" t="s">
        <v>17</v>
      </c>
      <c r="AO14" s="1" t="s">
        <v>17</v>
      </c>
      <c r="AP14" s="1" t="s">
        <v>17</v>
      </c>
    </row>
    <row r="15" spans="1:42" x14ac:dyDescent="0.2">
      <c r="B15" s="66" t="s">
        <v>14</v>
      </c>
      <c r="C15" s="11">
        <f>261+261+268+262+248</f>
        <v>1300</v>
      </c>
      <c r="D15" s="12">
        <f>C15/(SUM($C$13:$C$16))</f>
        <v>0.40752351097178685</v>
      </c>
      <c r="E15" s="11">
        <f>281+257+287+270+257</f>
        <v>1352</v>
      </c>
      <c r="F15" s="12">
        <f>E15/(SUM($E$13:$E$16))</f>
        <v>0.42771274913002216</v>
      </c>
      <c r="G15" s="11">
        <f>315+305+279+269+245</f>
        <v>1413</v>
      </c>
      <c r="H15" s="12">
        <f>G15/(SUM($G$13:$G$16))</f>
        <v>0.44197685329996872</v>
      </c>
      <c r="I15" s="11">
        <f>256+249+255+261+222</f>
        <v>1243</v>
      </c>
      <c r="J15" s="25">
        <f>I15/(SUM($I$13:$I$16))</f>
        <v>0.42524803284296953</v>
      </c>
      <c r="K15" s="11">
        <f>269+238+261+273+223+9+4+9+3+8</f>
        <v>1297</v>
      </c>
      <c r="L15" s="25">
        <f>K15/(SUM($K$13:$K$16))</f>
        <v>0.42947019867549668</v>
      </c>
      <c r="M15" s="61">
        <f>277+285+255+255+212</f>
        <v>1284</v>
      </c>
      <c r="N15" s="62">
        <f>M15/(SUM($M$13:$M$16))</f>
        <v>0.43703199455411845</v>
      </c>
      <c r="O15" s="63">
        <f>208+240+264+252+247</f>
        <v>1211</v>
      </c>
      <c r="P15" s="62">
        <f t="shared" si="0"/>
        <v>0.43467336683417085</v>
      </c>
      <c r="Q15" s="61">
        <v>1217</v>
      </c>
      <c r="R15" s="62">
        <f t="shared" si="0"/>
        <v>0.42942836979534227</v>
      </c>
      <c r="S15" s="130">
        <v>1240</v>
      </c>
      <c r="T15" s="62">
        <f>S15/(SUM(S$13:S$16))</f>
        <v>0.42611683848797249</v>
      </c>
      <c r="U15" s="130">
        <v>1216</v>
      </c>
      <c r="V15" s="62">
        <f>U15/(SUM(U$13:U$16))</f>
        <v>0.42726633872101194</v>
      </c>
      <c r="W15" s="130">
        <v>1383</v>
      </c>
      <c r="X15" s="62">
        <v>0.42293577981651376</v>
      </c>
      <c r="Y15" s="130">
        <v>1301</v>
      </c>
      <c r="Z15" s="62">
        <v>0.42281442963925903</v>
      </c>
      <c r="AA15" s="130">
        <v>1284</v>
      </c>
      <c r="AB15" s="62">
        <v>0.41472868217054265</v>
      </c>
      <c r="AC15" s="130">
        <v>1188</v>
      </c>
      <c r="AD15" s="62">
        <v>0.41596638655462187</v>
      </c>
      <c r="AE15" s="130">
        <v>1033</v>
      </c>
      <c r="AF15" s="62">
        <v>0.41188197767145135</v>
      </c>
      <c r="AG15" s="130">
        <v>991</v>
      </c>
      <c r="AH15" s="64">
        <v>0.41449999999999998</v>
      </c>
    </row>
    <row r="16" spans="1:42" ht="15.75" thickBot="1" x14ac:dyDescent="0.25">
      <c r="B16" s="67" t="s">
        <v>15</v>
      </c>
      <c r="C16" s="13">
        <f>206+175+134+120+60+38+35+8+4</f>
        <v>780</v>
      </c>
      <c r="D16" s="14">
        <f>C16/(SUM($C$13:$C$16))</f>
        <v>0.2445141065830721</v>
      </c>
      <c r="E16" s="13">
        <f>204+150+138+113+75+49+26+13+9</f>
        <v>777</v>
      </c>
      <c r="F16" s="14">
        <f>E16/(SUM($E$13:$E$16))</f>
        <v>0.2458082885162923</v>
      </c>
      <c r="G16" s="13">
        <f>186+148+120+102+54+59+40+17+4</f>
        <v>730</v>
      </c>
      <c r="H16" s="12">
        <f>G16/(SUM($G$13:$G$16))</f>
        <v>0.22833906787613387</v>
      </c>
      <c r="I16" s="13">
        <f>203+139+107+92+63+51+33+13</f>
        <v>701</v>
      </c>
      <c r="J16" s="26">
        <f>I16/(SUM($I$13:$I$16))</f>
        <v>0.23982210058159426</v>
      </c>
      <c r="K16" s="13">
        <f>11+5+2+2+1+183+158+119+90+53+43+24+15+3</f>
        <v>709</v>
      </c>
      <c r="L16" s="14">
        <f>K16/(SUM($K$13:$K$16))</f>
        <v>0.2347682119205298</v>
      </c>
      <c r="M16" s="68">
        <f>216+138+118+116+61+58+34+15+4+1</f>
        <v>761</v>
      </c>
      <c r="N16" s="62">
        <f>M16/(SUM($M$13:$M$16))</f>
        <v>0.25901974132062627</v>
      </c>
      <c r="O16" s="70">
        <f>8+12+41+71+62+124+106+144+199</f>
        <v>767</v>
      </c>
      <c r="P16" s="62">
        <f t="shared" si="0"/>
        <v>0.27530509691313709</v>
      </c>
      <c r="Q16" s="68">
        <v>826</v>
      </c>
      <c r="R16" s="62">
        <f t="shared" si="0"/>
        <v>0.29146083274523643</v>
      </c>
      <c r="S16" s="131">
        <v>879</v>
      </c>
      <c r="T16" s="69">
        <f>S16/(SUM(S$13:S$16))</f>
        <v>0.30206185567010307</v>
      </c>
      <c r="U16" s="131">
        <v>894</v>
      </c>
      <c r="V16" s="69">
        <f>U16/(SUM(U$13:U$16))</f>
        <v>0.31412508784258608</v>
      </c>
      <c r="W16" s="131">
        <v>1193</v>
      </c>
      <c r="X16" s="69">
        <v>0.36483180428134554</v>
      </c>
      <c r="Y16" s="131">
        <v>1073</v>
      </c>
      <c r="Z16" s="69">
        <v>0.34871628209294769</v>
      </c>
      <c r="AA16" s="131">
        <v>1096</v>
      </c>
      <c r="AB16" s="69">
        <v>0.35400516795865633</v>
      </c>
      <c r="AC16" s="131">
        <v>1007</v>
      </c>
      <c r="AD16" s="69">
        <v>0.35259103641456585</v>
      </c>
      <c r="AE16" s="131">
        <v>865</v>
      </c>
      <c r="AF16" s="69">
        <v>0.34489633173843698</v>
      </c>
      <c r="AG16" s="131">
        <v>681</v>
      </c>
      <c r="AH16" s="71">
        <v>0.2848</v>
      </c>
    </row>
    <row r="17" spans="2:34" ht="24.75" customHeight="1" x14ac:dyDescent="0.25">
      <c r="B17" s="115" t="s">
        <v>31</v>
      </c>
      <c r="C17" s="15" t="s">
        <v>5</v>
      </c>
      <c r="D17" s="16" t="s">
        <v>16</v>
      </c>
      <c r="E17" s="22" t="s">
        <v>5</v>
      </c>
      <c r="F17" s="16" t="s">
        <v>16</v>
      </c>
      <c r="G17" s="22" t="s">
        <v>5</v>
      </c>
      <c r="H17" s="23" t="s">
        <v>16</v>
      </c>
      <c r="I17" s="22" t="s">
        <v>5</v>
      </c>
      <c r="J17" s="27" t="s">
        <v>16</v>
      </c>
      <c r="K17" s="22" t="s">
        <v>5</v>
      </c>
      <c r="L17" s="27" t="s">
        <v>16</v>
      </c>
      <c r="M17" s="56" t="s">
        <v>5</v>
      </c>
      <c r="N17" s="23" t="s">
        <v>16</v>
      </c>
      <c r="O17" s="58" t="s">
        <v>5</v>
      </c>
      <c r="P17" s="23" t="s">
        <v>16</v>
      </c>
      <c r="Q17" s="56" t="s">
        <v>5</v>
      </c>
      <c r="R17" s="23" t="s">
        <v>16</v>
      </c>
      <c r="S17" s="132" t="s">
        <v>5</v>
      </c>
      <c r="T17" s="23" t="s">
        <v>16</v>
      </c>
      <c r="U17" s="132" t="s">
        <v>5</v>
      </c>
      <c r="V17" s="23" t="s">
        <v>16</v>
      </c>
      <c r="W17" s="132" t="s">
        <v>5</v>
      </c>
      <c r="X17" s="23" t="s">
        <v>16</v>
      </c>
      <c r="Y17" s="132" t="s">
        <v>5</v>
      </c>
      <c r="Z17" s="23" t="s">
        <v>16</v>
      </c>
      <c r="AA17" s="132" t="s">
        <v>5</v>
      </c>
      <c r="AB17" s="23" t="s">
        <v>16</v>
      </c>
      <c r="AC17" s="132" t="s">
        <v>5</v>
      </c>
      <c r="AD17" s="23" t="s">
        <v>16</v>
      </c>
      <c r="AE17" s="132" t="s">
        <v>5</v>
      </c>
      <c r="AF17" s="23" t="s">
        <v>16</v>
      </c>
      <c r="AG17" s="132" t="s">
        <v>5</v>
      </c>
      <c r="AH17" s="72" t="s">
        <v>16</v>
      </c>
    </row>
    <row r="18" spans="2:34" x14ac:dyDescent="0.2">
      <c r="B18" s="73" t="s">
        <v>3</v>
      </c>
      <c r="C18" s="17">
        <f>925+187+123+121+2+152</f>
        <v>1510</v>
      </c>
      <c r="D18" s="18">
        <v>23.8</v>
      </c>
      <c r="E18" s="17">
        <f>938+190+102+122+9+136</f>
        <v>1497</v>
      </c>
      <c r="F18" s="18">
        <v>23.7</v>
      </c>
      <c r="G18" s="17">
        <v>1465</v>
      </c>
      <c r="H18" s="18">
        <v>23.8</v>
      </c>
      <c r="I18" s="17">
        <f>800+199+125+113+9+163</f>
        <v>1409</v>
      </c>
      <c r="J18" s="28">
        <v>23.8</v>
      </c>
      <c r="K18" s="17">
        <f>784+198+107+126+8+136</f>
        <v>1359</v>
      </c>
      <c r="L18" s="28">
        <v>23.8</v>
      </c>
      <c r="M18" s="61">
        <f>816+174+90+134+3+148</f>
        <v>1365</v>
      </c>
      <c r="N18" s="74">
        <v>24.1</v>
      </c>
      <c r="O18" s="63">
        <v>1552</v>
      </c>
      <c r="P18" s="99">
        <v>24.3</v>
      </c>
      <c r="Q18" s="61">
        <v>1398</v>
      </c>
      <c r="R18" s="99">
        <v>24.6</v>
      </c>
      <c r="S18" s="130">
        <v>1398</v>
      </c>
      <c r="T18" s="99">
        <v>24.6</v>
      </c>
      <c r="U18" s="130">
        <v>1397</v>
      </c>
      <c r="V18" s="99">
        <v>24.75</v>
      </c>
      <c r="W18" s="130">
        <v>1612</v>
      </c>
      <c r="X18" s="99">
        <v>25.39</v>
      </c>
      <c r="Y18" s="130">
        <v>1578</v>
      </c>
      <c r="Z18" s="99">
        <v>25.4</v>
      </c>
      <c r="AA18" s="130">
        <v>1480</v>
      </c>
      <c r="AB18" s="99">
        <v>25.6</v>
      </c>
      <c r="AC18" s="130">
        <v>1380</v>
      </c>
      <c r="AD18" s="99">
        <v>25.4</v>
      </c>
      <c r="AE18" s="130">
        <v>1310</v>
      </c>
      <c r="AF18" s="99">
        <v>25.4</v>
      </c>
      <c r="AG18" s="130">
        <v>1147</v>
      </c>
      <c r="AH18" s="93">
        <v>24.59</v>
      </c>
    </row>
    <row r="19" spans="2:34" x14ac:dyDescent="0.2">
      <c r="B19" s="75" t="s">
        <v>4</v>
      </c>
      <c r="C19" s="17">
        <f>985+189+146+177+3+154</f>
        <v>1654</v>
      </c>
      <c r="D19" s="18">
        <v>23.2</v>
      </c>
      <c r="E19" s="17">
        <f>974+210+144+135+3+168</f>
        <v>1634</v>
      </c>
      <c r="F19" s="18">
        <v>23.5</v>
      </c>
      <c r="G19" s="17">
        <v>1683</v>
      </c>
      <c r="H19" s="18">
        <v>23.2</v>
      </c>
      <c r="I19" s="17">
        <f>889+194+78+124+2+176</f>
        <v>1463</v>
      </c>
      <c r="J19" s="28">
        <v>23.2</v>
      </c>
      <c r="K19" s="17">
        <f>861+184+101+158+4+159</f>
        <v>1467</v>
      </c>
      <c r="L19" s="28">
        <v>23.3</v>
      </c>
      <c r="M19" s="61">
        <f>865+174+100+141+2+151</f>
        <v>1433</v>
      </c>
      <c r="N19" s="74">
        <v>23.5</v>
      </c>
      <c r="O19" s="63">
        <v>1499</v>
      </c>
      <c r="P19" s="74">
        <v>23.6</v>
      </c>
      <c r="Q19" s="61">
        <v>1436</v>
      </c>
      <c r="R19" s="74">
        <v>23.8</v>
      </c>
      <c r="S19" s="130">
        <v>1512</v>
      </c>
      <c r="T19" s="74">
        <v>23.9</v>
      </c>
      <c r="U19" s="130">
        <v>1449</v>
      </c>
      <c r="V19" s="99">
        <v>24.03</v>
      </c>
      <c r="W19" s="130">
        <v>1658</v>
      </c>
      <c r="X19" s="99">
        <v>24.8</v>
      </c>
      <c r="Y19" s="130">
        <v>1498</v>
      </c>
      <c r="Z19" s="99">
        <v>24.4</v>
      </c>
      <c r="AA19" s="130">
        <v>1616</v>
      </c>
      <c r="AB19" s="99">
        <v>24.5</v>
      </c>
      <c r="AC19" s="130">
        <v>1476</v>
      </c>
      <c r="AD19" s="99">
        <v>24.6</v>
      </c>
      <c r="AE19" s="130">
        <v>1198</v>
      </c>
      <c r="AF19" s="99">
        <v>24.3</v>
      </c>
      <c r="AG19" s="130">
        <v>1244</v>
      </c>
      <c r="AH19" s="93">
        <v>23.4</v>
      </c>
    </row>
    <row r="20" spans="2:34" ht="15.75" thickBot="1" x14ac:dyDescent="0.25">
      <c r="B20" s="76" t="s">
        <v>0</v>
      </c>
      <c r="C20" s="19">
        <f>C19+C18</f>
        <v>3164</v>
      </c>
      <c r="D20" s="20">
        <v>23.4</v>
      </c>
      <c r="E20" s="19">
        <f>E19+E18</f>
        <v>3131</v>
      </c>
      <c r="F20" s="20">
        <v>23.6</v>
      </c>
      <c r="G20" s="19">
        <f>G19+G18</f>
        <v>3148</v>
      </c>
      <c r="H20" s="20">
        <v>23.4</v>
      </c>
      <c r="I20" s="19">
        <f>I19+I18</f>
        <v>2872</v>
      </c>
      <c r="J20" s="29">
        <v>23.5</v>
      </c>
      <c r="K20" s="19">
        <f>K19+K18</f>
        <v>2826</v>
      </c>
      <c r="L20" s="29">
        <v>23.5</v>
      </c>
      <c r="M20" s="77">
        <f>M19+M18</f>
        <v>2798</v>
      </c>
      <c r="N20" s="78">
        <v>23.8</v>
      </c>
      <c r="O20" s="79">
        <f>O19+O18</f>
        <v>3051</v>
      </c>
      <c r="P20" s="78">
        <v>23.9</v>
      </c>
      <c r="Q20" s="77">
        <f>Q19+Q18</f>
        <v>2834</v>
      </c>
      <c r="R20" s="78">
        <v>24.2</v>
      </c>
      <c r="S20" s="133">
        <f>S19+S18</f>
        <v>2910</v>
      </c>
      <c r="T20" s="105">
        <f>(S18*T18+S19*T19)/S20</f>
        <v>24.236288659793818</v>
      </c>
      <c r="U20" s="133">
        <f>U19+U18</f>
        <v>2846</v>
      </c>
      <c r="V20" s="105">
        <f>(U18*V18+U19*V19)/U20</f>
        <v>24.3834223471539</v>
      </c>
      <c r="W20" s="133">
        <v>3270</v>
      </c>
      <c r="X20" s="105">
        <v>25.1</v>
      </c>
      <c r="Y20" s="133">
        <v>3076</v>
      </c>
      <c r="Z20" s="105">
        <v>24.9</v>
      </c>
      <c r="AA20" s="133">
        <v>3096</v>
      </c>
      <c r="AB20" s="105">
        <v>25</v>
      </c>
      <c r="AC20" s="133">
        <v>2856</v>
      </c>
      <c r="AD20" s="105">
        <v>25</v>
      </c>
      <c r="AE20" s="133">
        <v>2508</v>
      </c>
      <c r="AF20" s="105">
        <v>24.8</v>
      </c>
      <c r="AG20" s="133">
        <f>AG19+AG18</f>
        <v>2391</v>
      </c>
      <c r="AH20" s="107">
        <f>(AG18*AH18+AG19*AH19)/AG20</f>
        <v>23.97086156419908</v>
      </c>
    </row>
    <row r="21" spans="2:34" ht="15.75" thickTop="1" x14ac:dyDescent="0.2">
      <c r="B21" s="167"/>
      <c r="C21" s="167"/>
      <c r="D21" s="167"/>
      <c r="E21" s="167"/>
      <c r="F21" s="167"/>
      <c r="G21" s="167"/>
      <c r="H21" s="167"/>
      <c r="I21" s="167"/>
      <c r="J21" s="80"/>
      <c r="K21" s="81"/>
      <c r="L21" s="80"/>
      <c r="M21" s="81"/>
      <c r="N21" s="81"/>
      <c r="O21" s="81"/>
      <c r="P21" s="81"/>
      <c r="Q21" s="81"/>
      <c r="R21" s="81"/>
      <c r="S21" s="134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</row>
    <row r="22" spans="2:34" ht="21" customHeight="1" x14ac:dyDescent="0.2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2:34" ht="18" x14ac:dyDescent="0.25">
      <c r="B23" s="100" t="s">
        <v>25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8"/>
      <c r="R23" s="98"/>
      <c r="S23" s="98"/>
      <c r="T23" s="98"/>
      <c r="U23" s="98"/>
      <c r="V23" s="98"/>
      <c r="W23" s="113"/>
      <c r="X23" s="113"/>
      <c r="Y23" s="113"/>
      <c r="Z23" s="113"/>
      <c r="AA23" s="129"/>
      <c r="AB23" s="129"/>
      <c r="AC23" s="129"/>
      <c r="AD23" s="129"/>
      <c r="AE23" s="129"/>
      <c r="AF23" s="129"/>
      <c r="AG23" s="129"/>
      <c r="AH23" s="129"/>
    </row>
    <row r="24" spans="2:34" ht="15.75" x14ac:dyDescent="0.25">
      <c r="B24" s="103" t="s">
        <v>29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98"/>
      <c r="R24" s="98"/>
      <c r="S24" s="98"/>
      <c r="T24" s="98"/>
      <c r="U24" s="98"/>
      <c r="V24" s="98"/>
      <c r="W24" s="113"/>
      <c r="X24" s="113"/>
      <c r="Y24" s="113"/>
      <c r="Z24" s="113"/>
      <c r="AA24" s="129"/>
      <c r="AB24" s="129"/>
      <c r="AC24" s="129"/>
      <c r="AD24" s="129"/>
      <c r="AE24" s="129"/>
      <c r="AF24" s="129"/>
      <c r="AG24" s="129"/>
      <c r="AH24" s="129"/>
    </row>
    <row r="25" spans="2:34" s="4" customFormat="1" ht="13.5" thickBot="1" x14ac:dyDescent="0.25">
      <c r="B25" s="80" t="s">
        <v>17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</row>
    <row r="26" spans="2:34" ht="17.25" customHeight="1" thickTop="1" thickBot="1" x14ac:dyDescent="0.3">
      <c r="B26" s="116"/>
      <c r="C26" s="164" t="s">
        <v>1</v>
      </c>
      <c r="D26" s="166"/>
      <c r="E26" s="164" t="s">
        <v>2</v>
      </c>
      <c r="F26" s="166"/>
      <c r="G26" s="164" t="s">
        <v>18</v>
      </c>
      <c r="H26" s="166"/>
      <c r="I26" s="164" t="s">
        <v>19</v>
      </c>
      <c r="J26" s="165"/>
      <c r="K26" s="164" t="s">
        <v>20</v>
      </c>
      <c r="L26" s="165"/>
      <c r="M26" s="162" t="s">
        <v>21</v>
      </c>
      <c r="N26" s="157"/>
      <c r="O26" s="156" t="s">
        <v>22</v>
      </c>
      <c r="P26" s="157"/>
      <c r="Q26" s="156" t="s">
        <v>26</v>
      </c>
      <c r="R26" s="157"/>
      <c r="S26" s="156" t="s">
        <v>27</v>
      </c>
      <c r="T26" s="157"/>
      <c r="U26" s="156" t="s">
        <v>30</v>
      </c>
      <c r="V26" s="157"/>
      <c r="W26" s="152" t="s">
        <v>32</v>
      </c>
      <c r="X26" s="153"/>
      <c r="Y26" s="152" t="s">
        <v>33</v>
      </c>
      <c r="Z26" s="153"/>
      <c r="AA26" s="152" t="s">
        <v>34</v>
      </c>
      <c r="AB26" s="153"/>
      <c r="AC26" s="152" t="s">
        <v>35</v>
      </c>
      <c r="AD26" s="153"/>
      <c r="AE26" s="152" t="s">
        <v>36</v>
      </c>
      <c r="AF26" s="153"/>
      <c r="AG26" s="148" t="s">
        <v>37</v>
      </c>
      <c r="AH26" s="149"/>
    </row>
    <row r="27" spans="2:34" ht="14.25" customHeight="1" x14ac:dyDescent="0.2">
      <c r="B27" s="117" t="s">
        <v>23</v>
      </c>
      <c r="C27" s="31"/>
      <c r="D27" s="32"/>
      <c r="E27" s="31"/>
      <c r="F27" s="32"/>
      <c r="G27" s="31"/>
      <c r="H27" s="32"/>
      <c r="I27" s="31"/>
      <c r="J27" s="33"/>
      <c r="K27" s="31"/>
      <c r="L27" s="33"/>
      <c r="M27" s="34"/>
      <c r="N27" s="35"/>
      <c r="O27" s="36"/>
      <c r="P27" s="35"/>
      <c r="Q27" s="36"/>
      <c r="R27" s="35"/>
      <c r="S27" s="36"/>
      <c r="T27" s="35"/>
      <c r="U27" s="36"/>
      <c r="V27" s="35"/>
      <c r="W27" s="141"/>
      <c r="X27" s="144"/>
      <c r="Y27" s="141"/>
      <c r="Z27" s="144"/>
      <c r="AA27" s="141"/>
      <c r="AB27" s="144"/>
      <c r="AC27" s="141"/>
      <c r="AD27" s="144"/>
      <c r="AE27" s="141"/>
      <c r="AF27" s="171"/>
      <c r="AG27" s="141"/>
      <c r="AH27" s="138"/>
    </row>
    <row r="28" spans="2:34" ht="14.25" customHeight="1" x14ac:dyDescent="0.2">
      <c r="B28" s="118" t="s">
        <v>6</v>
      </c>
      <c r="C28" s="38">
        <v>21.5</v>
      </c>
      <c r="D28" s="39"/>
      <c r="E28" s="38">
        <v>22</v>
      </c>
      <c r="F28" s="39"/>
      <c r="G28" s="38">
        <v>21.6</v>
      </c>
      <c r="H28" s="39"/>
      <c r="I28" s="38">
        <v>20.9</v>
      </c>
      <c r="J28" s="40"/>
      <c r="K28" s="38">
        <v>22.1</v>
      </c>
      <c r="L28" s="40"/>
      <c r="M28" s="41">
        <v>20.8</v>
      </c>
      <c r="N28" s="42"/>
      <c r="O28" s="43">
        <v>20.5</v>
      </c>
      <c r="P28" s="42"/>
      <c r="Q28" s="43">
        <v>22.6</v>
      </c>
      <c r="R28" s="42"/>
      <c r="S28" s="43">
        <v>22.1</v>
      </c>
      <c r="T28" s="42"/>
      <c r="U28" s="85">
        <v>21.67</v>
      </c>
      <c r="V28" s="42"/>
      <c r="W28" s="139">
        <v>22.6</v>
      </c>
      <c r="X28" s="142"/>
      <c r="Y28" s="139">
        <v>23.5</v>
      </c>
      <c r="Z28" s="142"/>
      <c r="AA28" s="139">
        <v>21.9</v>
      </c>
      <c r="AB28" s="142"/>
      <c r="AC28" s="139">
        <v>22.3</v>
      </c>
      <c r="AD28" s="142"/>
      <c r="AE28" s="139">
        <v>22.7</v>
      </c>
      <c r="AF28" s="169"/>
      <c r="AG28" s="139">
        <v>22.7614679</v>
      </c>
      <c r="AH28" s="136"/>
    </row>
    <row r="29" spans="2:34" ht="14.25" customHeight="1" x14ac:dyDescent="0.2">
      <c r="B29" s="118" t="s">
        <v>7</v>
      </c>
      <c r="C29" s="44">
        <v>20.399999999999999</v>
      </c>
      <c r="D29" s="45"/>
      <c r="E29" s="44">
        <v>20.8</v>
      </c>
      <c r="F29" s="45"/>
      <c r="G29" s="44">
        <v>20.6</v>
      </c>
      <c r="H29" s="45"/>
      <c r="I29" s="44">
        <v>20</v>
      </c>
      <c r="J29" s="46"/>
      <c r="K29" s="44">
        <v>20.6</v>
      </c>
      <c r="L29" s="46"/>
      <c r="M29" s="84">
        <v>20</v>
      </c>
      <c r="N29" s="42"/>
      <c r="O29" s="85">
        <v>19.2</v>
      </c>
      <c r="P29" s="42"/>
      <c r="Q29" s="85">
        <v>21.4</v>
      </c>
      <c r="R29" s="42"/>
      <c r="S29" s="85">
        <v>20.7</v>
      </c>
      <c r="T29" s="42"/>
      <c r="U29" s="85">
        <v>20.49</v>
      </c>
      <c r="V29" s="42"/>
      <c r="W29" s="139">
        <v>21.4</v>
      </c>
      <c r="X29" s="142"/>
      <c r="Y29" s="139">
        <v>22.9</v>
      </c>
      <c r="Z29" s="142"/>
      <c r="AA29" s="139">
        <v>20.7</v>
      </c>
      <c r="AB29" s="142"/>
      <c r="AC29" s="139">
        <v>21.2</v>
      </c>
      <c r="AD29" s="142"/>
      <c r="AE29" s="139">
        <v>21.3</v>
      </c>
      <c r="AF29" s="169"/>
      <c r="AG29" s="139">
        <v>21.467889899999999</v>
      </c>
      <c r="AH29" s="136"/>
    </row>
    <row r="30" spans="2:34" ht="14.25" customHeight="1" x14ac:dyDescent="0.2">
      <c r="B30" s="118" t="s">
        <v>8</v>
      </c>
      <c r="C30" s="44">
        <v>21.2</v>
      </c>
      <c r="D30" s="45"/>
      <c r="E30" s="44">
        <v>22.6</v>
      </c>
      <c r="F30" s="45"/>
      <c r="G30" s="44">
        <v>21.3</v>
      </c>
      <c r="H30" s="45"/>
      <c r="I30" s="44">
        <v>20.7</v>
      </c>
      <c r="J30" s="46"/>
      <c r="K30" s="44">
        <v>22.1</v>
      </c>
      <c r="L30" s="46"/>
      <c r="M30" s="41">
        <v>20.5</v>
      </c>
      <c r="N30" s="42"/>
      <c r="O30" s="43">
        <v>20.6</v>
      </c>
      <c r="P30" s="42"/>
      <c r="Q30" s="43">
        <v>22.4</v>
      </c>
      <c r="R30" s="42"/>
      <c r="S30" s="43">
        <v>21.9</v>
      </c>
      <c r="T30" s="42"/>
      <c r="U30" s="85">
        <v>21.815999999999999</v>
      </c>
      <c r="V30" s="42"/>
      <c r="W30" s="139">
        <v>23.1</v>
      </c>
      <c r="X30" s="142"/>
      <c r="Y30" s="139">
        <v>23</v>
      </c>
      <c r="Z30" s="142"/>
      <c r="AA30" s="139">
        <v>21.7</v>
      </c>
      <c r="AB30" s="142"/>
      <c r="AC30" s="139">
        <v>22.2</v>
      </c>
      <c r="AD30" s="142"/>
      <c r="AE30" s="139">
        <v>22.2</v>
      </c>
      <c r="AF30" s="169"/>
      <c r="AG30" s="139">
        <v>21.981651400000001</v>
      </c>
      <c r="AH30" s="136"/>
    </row>
    <row r="31" spans="2:34" ht="14.25" customHeight="1" x14ac:dyDescent="0.2">
      <c r="B31" s="118" t="s">
        <v>9</v>
      </c>
      <c r="C31" s="47">
        <v>22.1</v>
      </c>
      <c r="D31" s="45"/>
      <c r="E31" s="48">
        <v>22.3</v>
      </c>
      <c r="F31" s="45"/>
      <c r="G31" s="48">
        <v>22.1</v>
      </c>
      <c r="H31" s="45"/>
      <c r="I31" s="48">
        <v>21.2</v>
      </c>
      <c r="J31" s="46"/>
      <c r="K31" s="48">
        <v>22.8</v>
      </c>
      <c r="L31" s="46"/>
      <c r="M31" s="41">
        <v>21.3</v>
      </c>
      <c r="N31" s="42"/>
      <c r="O31" s="43">
        <v>21.1</v>
      </c>
      <c r="P31" s="42"/>
      <c r="Q31" s="43">
        <v>23.1</v>
      </c>
      <c r="R31" s="42"/>
      <c r="S31" s="43">
        <v>22.8</v>
      </c>
      <c r="T31" s="42"/>
      <c r="U31" s="85">
        <v>21.67</v>
      </c>
      <c r="V31" s="42"/>
      <c r="W31" s="139">
        <v>22.6</v>
      </c>
      <c r="X31" s="142"/>
      <c r="Y31" s="139">
        <v>24.5</v>
      </c>
      <c r="Z31" s="142"/>
      <c r="AA31" s="139">
        <v>22.4</v>
      </c>
      <c r="AB31" s="142"/>
      <c r="AC31" s="139">
        <v>22.9</v>
      </c>
      <c r="AD31" s="142"/>
      <c r="AE31" s="139">
        <v>23.6</v>
      </c>
      <c r="AF31" s="169"/>
      <c r="AG31" s="139">
        <v>23.513761500000001</v>
      </c>
      <c r="AH31" s="136"/>
    </row>
    <row r="32" spans="2:34" ht="14.25" customHeight="1" thickBot="1" x14ac:dyDescent="0.25">
      <c r="B32" s="118" t="s">
        <v>10</v>
      </c>
      <c r="C32" s="49">
        <v>21.9</v>
      </c>
      <c r="D32" s="50"/>
      <c r="E32" s="49">
        <v>22.1</v>
      </c>
      <c r="F32" s="50"/>
      <c r="G32" s="51">
        <v>21.8</v>
      </c>
      <c r="H32" s="50"/>
      <c r="I32" s="51">
        <v>21</v>
      </c>
      <c r="J32" s="52"/>
      <c r="K32" s="51">
        <v>22.5</v>
      </c>
      <c r="L32" s="52"/>
      <c r="M32" s="86">
        <v>21</v>
      </c>
      <c r="N32" s="54"/>
      <c r="O32" s="94">
        <v>20.6</v>
      </c>
      <c r="P32" s="54"/>
      <c r="Q32" s="94">
        <v>23</v>
      </c>
      <c r="R32" s="54"/>
      <c r="S32" s="94">
        <v>22.5</v>
      </c>
      <c r="T32" s="54"/>
      <c r="U32" s="94">
        <v>21.855</v>
      </c>
      <c r="V32" s="54"/>
      <c r="W32" s="140">
        <v>22.9</v>
      </c>
      <c r="X32" s="143"/>
      <c r="Y32" s="140">
        <v>23.2</v>
      </c>
      <c r="Z32" s="143"/>
      <c r="AA32" s="140">
        <v>22</v>
      </c>
      <c r="AB32" s="143"/>
      <c r="AC32" s="140">
        <v>22.1</v>
      </c>
      <c r="AD32" s="143"/>
      <c r="AE32" s="140">
        <v>23.1</v>
      </c>
      <c r="AF32" s="170"/>
      <c r="AG32" s="140">
        <v>23.5504587</v>
      </c>
      <c r="AH32" s="137"/>
    </row>
    <row r="33" spans="1:35" ht="32.25" customHeight="1" x14ac:dyDescent="0.25">
      <c r="B33" s="119" t="s">
        <v>24</v>
      </c>
      <c r="C33" s="9" t="s">
        <v>5</v>
      </c>
      <c r="D33" s="10" t="s">
        <v>11</v>
      </c>
      <c r="E33" s="9" t="s">
        <v>5</v>
      </c>
      <c r="F33" s="10" t="s">
        <v>11</v>
      </c>
      <c r="G33" s="9" t="s">
        <v>5</v>
      </c>
      <c r="H33" s="10" t="s">
        <v>11</v>
      </c>
      <c r="I33" s="9" t="s">
        <v>5</v>
      </c>
      <c r="J33" s="24" t="s">
        <v>11</v>
      </c>
      <c r="K33" s="9" t="s">
        <v>5</v>
      </c>
      <c r="L33" s="24" t="s">
        <v>11</v>
      </c>
      <c r="M33" s="56" t="s">
        <v>5</v>
      </c>
      <c r="N33" s="57" t="s">
        <v>11</v>
      </c>
      <c r="O33" s="58" t="s">
        <v>5</v>
      </c>
      <c r="P33" s="57" t="s">
        <v>11</v>
      </c>
      <c r="Q33" s="58" t="s">
        <v>5</v>
      </c>
      <c r="R33" s="57" t="s">
        <v>11</v>
      </c>
      <c r="S33" s="58" t="s">
        <v>5</v>
      </c>
      <c r="T33" s="57" t="s">
        <v>11</v>
      </c>
      <c r="U33" s="58" t="s">
        <v>5</v>
      </c>
      <c r="V33" s="57" t="s">
        <v>11</v>
      </c>
      <c r="W33" s="58" t="s">
        <v>5</v>
      </c>
      <c r="X33" s="57" t="s">
        <v>11</v>
      </c>
      <c r="Y33" s="58" t="s">
        <v>5</v>
      </c>
      <c r="Z33" s="57" t="s">
        <v>11</v>
      </c>
      <c r="AA33" s="58" t="s">
        <v>5</v>
      </c>
      <c r="AB33" s="57" t="s">
        <v>11</v>
      </c>
      <c r="AC33" s="58" t="s">
        <v>5</v>
      </c>
      <c r="AD33" s="57" t="s">
        <v>11</v>
      </c>
      <c r="AE33" s="58" t="s">
        <v>5</v>
      </c>
      <c r="AF33" s="57" t="s">
        <v>11</v>
      </c>
      <c r="AG33" s="58" t="s">
        <v>5</v>
      </c>
      <c r="AH33" s="59" t="s">
        <v>11</v>
      </c>
    </row>
    <row r="34" spans="1:35" ht="17.25" customHeight="1" x14ac:dyDescent="0.2">
      <c r="B34" s="120" t="s">
        <v>12</v>
      </c>
      <c r="C34" s="11">
        <f>1+0+1+0+7+6+10+9</f>
        <v>34</v>
      </c>
      <c r="D34" s="12">
        <f>C34/SUM($C$34:$C$37)</f>
        <v>0.2251655629139073</v>
      </c>
      <c r="E34" s="11">
        <f>4+5+4+2+3+1</f>
        <v>19</v>
      </c>
      <c r="F34" s="12">
        <f>E34/SUM(E$34:E$37)</f>
        <v>0.16666666666666666</v>
      </c>
      <c r="G34" s="11">
        <f>2+3+5+1+5+10</f>
        <v>26</v>
      </c>
      <c r="H34" s="12">
        <f>G34/SUM(G$34:G$37)</f>
        <v>0.2</v>
      </c>
      <c r="I34" s="11">
        <f>36</f>
        <v>36</v>
      </c>
      <c r="J34" s="25">
        <f>I34/SUM(I$34:I$37)</f>
        <v>0.31304347826086959</v>
      </c>
      <c r="K34" s="11">
        <f>7+5+6+3+1</f>
        <v>22</v>
      </c>
      <c r="L34" s="25">
        <f>K34/SUM(K$34:K$37)</f>
        <v>0.20183486238532111</v>
      </c>
      <c r="M34" s="61">
        <f>2+4+5+6+10+1</f>
        <v>28</v>
      </c>
      <c r="N34" s="62">
        <f>M34/SUM(M$34:M$37)</f>
        <v>0.2978723404255319</v>
      </c>
      <c r="O34" s="63">
        <f>1+1+6+3+8+6+7</f>
        <v>32</v>
      </c>
      <c r="P34" s="62">
        <f>O34/SUM(O$34:O$37)</f>
        <v>0.34408602150537637</v>
      </c>
      <c r="Q34" s="63">
        <v>14</v>
      </c>
      <c r="R34" s="62">
        <f>Q34/SUM(Q$34:Q$37)</f>
        <v>0.2153846153846154</v>
      </c>
      <c r="S34" s="63">
        <v>10</v>
      </c>
      <c r="T34" s="62">
        <f>S34/SUM(S$34:S$37)</f>
        <v>0.20833333333333334</v>
      </c>
      <c r="U34" s="63">
        <v>12</v>
      </c>
      <c r="V34" s="62">
        <f>U34/SUM(U$34:U$37)</f>
        <v>0.15789473684210525</v>
      </c>
      <c r="W34" s="63">
        <v>10</v>
      </c>
      <c r="X34" s="62">
        <v>0.11627906976744186</v>
      </c>
      <c r="Y34" s="63">
        <v>6</v>
      </c>
      <c r="Z34" s="62">
        <v>0.1</v>
      </c>
      <c r="AA34" s="63">
        <v>13</v>
      </c>
      <c r="AB34" s="62">
        <v>0.17567567567567569</v>
      </c>
      <c r="AC34" s="63">
        <v>15</v>
      </c>
      <c r="AD34" s="62">
        <v>0.17045454545454544</v>
      </c>
      <c r="AE34" s="63">
        <v>13</v>
      </c>
      <c r="AF34" s="62">
        <v>0.12380952380952381</v>
      </c>
      <c r="AG34" s="63">
        <v>20</v>
      </c>
      <c r="AH34" s="64">
        <v>0.1835</v>
      </c>
    </row>
    <row r="35" spans="1:35" ht="17.25" customHeight="1" x14ac:dyDescent="0.2">
      <c r="B35" s="121" t="s">
        <v>13</v>
      </c>
      <c r="C35" s="11">
        <f>17+19+13</f>
        <v>49</v>
      </c>
      <c r="D35" s="12">
        <f>C35/SUM($C$34:$C$37)</f>
        <v>0.32450331125827814</v>
      </c>
      <c r="E35" s="11">
        <f>8+12+9</f>
        <v>29</v>
      </c>
      <c r="F35" s="12">
        <f>E35/SUM(E$34:E$37)</f>
        <v>0.25438596491228072</v>
      </c>
      <c r="G35" s="11">
        <f>8+14+18</f>
        <v>40</v>
      </c>
      <c r="H35" s="12">
        <f>G35/SUM(G$34:G$37)</f>
        <v>0.30769230769230771</v>
      </c>
      <c r="I35" s="11">
        <v>32</v>
      </c>
      <c r="J35" s="25">
        <f>I35/SUM(I$34:I$37)</f>
        <v>0.27826086956521739</v>
      </c>
      <c r="K35" s="11">
        <f>10+5+18</f>
        <v>33</v>
      </c>
      <c r="L35" s="25">
        <f>K35/SUM(K$34:K$37)</f>
        <v>0.30275229357798167</v>
      </c>
      <c r="M35" s="61">
        <f>5+11+12</f>
        <v>28</v>
      </c>
      <c r="N35" s="62">
        <f>M35/SUM(M$34:M$37)</f>
        <v>0.2978723404255319</v>
      </c>
      <c r="O35" s="63">
        <f>15+6+4</f>
        <v>25</v>
      </c>
      <c r="P35" s="62">
        <f>O35/SUM(O$34:O$37)</f>
        <v>0.26881720430107525</v>
      </c>
      <c r="Q35" s="63">
        <v>10</v>
      </c>
      <c r="R35" s="62">
        <f>Q35/SUM(Q$34:Q$37)</f>
        <v>0.15384615384615385</v>
      </c>
      <c r="S35" s="63">
        <v>11</v>
      </c>
      <c r="T35" s="62">
        <f>S35/SUM(S$34:S$37)</f>
        <v>0.22916666666666666</v>
      </c>
      <c r="U35" s="63">
        <v>23</v>
      </c>
      <c r="V35" s="62">
        <f>U35/SUM(U$34:U$37)</f>
        <v>0.30263157894736842</v>
      </c>
      <c r="W35" s="63">
        <v>20</v>
      </c>
      <c r="X35" s="62">
        <v>0.23255813953488372</v>
      </c>
      <c r="Y35" s="63">
        <v>7</v>
      </c>
      <c r="Z35" s="62">
        <v>0.11666666666666667</v>
      </c>
      <c r="AA35" s="63">
        <v>25</v>
      </c>
      <c r="AB35" s="62">
        <v>0.33783783783783783</v>
      </c>
      <c r="AC35" s="63">
        <v>23</v>
      </c>
      <c r="AD35" s="62">
        <v>0.26136363636363635</v>
      </c>
      <c r="AE35" s="63">
        <v>34</v>
      </c>
      <c r="AF35" s="62">
        <v>0.32380952380952382</v>
      </c>
      <c r="AG35" s="63">
        <v>23</v>
      </c>
      <c r="AH35" s="64">
        <v>0.21099999999999999</v>
      </c>
    </row>
    <row r="36" spans="1:35" x14ac:dyDescent="0.2">
      <c r="B36" s="122" t="s">
        <v>14</v>
      </c>
      <c r="C36" s="11">
        <f>10+7+11+13+10</f>
        <v>51</v>
      </c>
      <c r="D36" s="12">
        <f>C36/SUM($C$34:$C$37)</f>
        <v>0.33774834437086093</v>
      </c>
      <c r="E36" s="11">
        <f>11+15+11+8+5</f>
        <v>50</v>
      </c>
      <c r="F36" s="12">
        <f>E36/SUM(E$34:E$37)</f>
        <v>0.43859649122807015</v>
      </c>
      <c r="G36" s="11">
        <f>12+7+16+11+8</f>
        <v>54</v>
      </c>
      <c r="H36" s="12">
        <f>G36/SUM(G$34:G$37)</f>
        <v>0.41538461538461541</v>
      </c>
      <c r="I36" s="11">
        <f>8+4+8+11+5</f>
        <v>36</v>
      </c>
      <c r="J36" s="25">
        <f>I36/SUM(I$34:I$37)</f>
        <v>0.31304347826086959</v>
      </c>
      <c r="K36" s="11">
        <f>9+4+9+3+8</f>
        <v>33</v>
      </c>
      <c r="L36" s="25">
        <f>K36/SUM(K$34:K$37)</f>
        <v>0.30275229357798167</v>
      </c>
      <c r="M36" s="61">
        <f>7+7+3+9+1</f>
        <v>27</v>
      </c>
      <c r="N36" s="62">
        <f>M36/SUM(M$34:M$37)</f>
        <v>0.28723404255319152</v>
      </c>
      <c r="O36" s="63">
        <f>3+5+7+5+10</f>
        <v>30</v>
      </c>
      <c r="P36" s="62">
        <f>O36/SUM(O$34:O$37)</f>
        <v>0.32258064516129031</v>
      </c>
      <c r="Q36" s="63">
        <v>27</v>
      </c>
      <c r="R36" s="62">
        <f>Q36/SUM(Q$34:Q$37)</f>
        <v>0.41538461538461541</v>
      </c>
      <c r="S36" s="63">
        <v>21</v>
      </c>
      <c r="T36" s="62">
        <f>S36/SUM(S$34:S$37)</f>
        <v>0.4375</v>
      </c>
      <c r="U36" s="63">
        <v>35</v>
      </c>
      <c r="V36" s="62">
        <f>U36/SUM(U$34:U$37)</f>
        <v>0.46052631578947367</v>
      </c>
      <c r="W36" s="63">
        <v>48</v>
      </c>
      <c r="X36" s="62">
        <v>0.55813953488372092</v>
      </c>
      <c r="Y36" s="63">
        <v>37</v>
      </c>
      <c r="Z36" s="62">
        <v>0.6166666666666667</v>
      </c>
      <c r="AA36" s="63">
        <v>27</v>
      </c>
      <c r="AB36" s="62">
        <v>0.36486486486486486</v>
      </c>
      <c r="AC36" s="63">
        <v>33</v>
      </c>
      <c r="AD36" s="62">
        <v>0.375</v>
      </c>
      <c r="AE36" s="63">
        <v>39</v>
      </c>
      <c r="AF36" s="62">
        <v>0.37142857142857144</v>
      </c>
      <c r="AG36" s="63">
        <v>43</v>
      </c>
      <c r="AH36" s="64">
        <v>0.39450000000000002</v>
      </c>
    </row>
    <row r="37" spans="1:35" ht="15.75" thickBot="1" x14ac:dyDescent="0.25">
      <c r="B37" s="123" t="s">
        <v>15</v>
      </c>
      <c r="C37" s="13">
        <f>6+2+5+2+2</f>
        <v>17</v>
      </c>
      <c r="D37" s="14">
        <f>C37/SUM($C$34:$C$37)</f>
        <v>0.11258278145695365</v>
      </c>
      <c r="E37" s="13">
        <f>7+6+1+1+1</f>
        <v>16</v>
      </c>
      <c r="F37" s="14">
        <f>E37/SUM(E$34:E$37)</f>
        <v>0.14035087719298245</v>
      </c>
      <c r="G37" s="13">
        <f>3+4+1+2</f>
        <v>10</v>
      </c>
      <c r="H37" s="14">
        <f>G37/SUM(G$34:G$37)</f>
        <v>7.6923076923076927E-2</v>
      </c>
      <c r="I37" s="13">
        <f>11</f>
        <v>11</v>
      </c>
      <c r="J37" s="26">
        <f>I37/SUM(I$34:I$37)</f>
        <v>9.5652173913043481E-2</v>
      </c>
      <c r="K37" s="13">
        <f>11+5+2+2+1</f>
        <v>21</v>
      </c>
      <c r="L37" s="26">
        <f>K37/SUM(K$34:K$37)</f>
        <v>0.19266055045871561</v>
      </c>
      <c r="M37" s="68">
        <f>5+2+1+1+1+1</f>
        <v>11</v>
      </c>
      <c r="N37" s="69">
        <f>M37/SUM(M$34:M$37)</f>
        <v>0.11702127659574468</v>
      </c>
      <c r="O37" s="70">
        <f>2+1+2+1</f>
        <v>6</v>
      </c>
      <c r="P37" s="69">
        <f>O37/SUM(O$34:O$37)</f>
        <v>6.4516129032258063E-2</v>
      </c>
      <c r="Q37" s="70">
        <v>14</v>
      </c>
      <c r="R37" s="69">
        <f>Q37/SUM(Q$34:Q$37)</f>
        <v>0.2153846153846154</v>
      </c>
      <c r="S37" s="70">
        <v>6</v>
      </c>
      <c r="T37" s="69">
        <f>S37/SUM(S$34:S$37)</f>
        <v>0.125</v>
      </c>
      <c r="U37" s="70">
        <v>6</v>
      </c>
      <c r="V37" s="69">
        <f>U37/SUM(U$34:U$37)</f>
        <v>7.8947368421052627E-2</v>
      </c>
      <c r="W37" s="70">
        <v>8</v>
      </c>
      <c r="X37" s="69">
        <v>9.3023255813953487E-2</v>
      </c>
      <c r="Y37" s="70">
        <v>10</v>
      </c>
      <c r="Z37" s="69">
        <v>0.16666666666666666</v>
      </c>
      <c r="AA37" s="70">
        <v>9</v>
      </c>
      <c r="AB37" s="69">
        <v>0.12162162162162163</v>
      </c>
      <c r="AC37" s="70">
        <v>17</v>
      </c>
      <c r="AD37" s="69">
        <v>0.19318181818181818</v>
      </c>
      <c r="AE37" s="70">
        <v>19</v>
      </c>
      <c r="AF37" s="69">
        <v>0.18095238095238095</v>
      </c>
      <c r="AG37" s="70">
        <v>23</v>
      </c>
      <c r="AH37" s="71">
        <v>0.21099999999999999</v>
      </c>
    </row>
    <row r="38" spans="1:35" ht="24.75" customHeight="1" x14ac:dyDescent="0.25">
      <c r="B38" s="124" t="s">
        <v>31</v>
      </c>
      <c r="C38" s="15" t="s">
        <v>5</v>
      </c>
      <c r="D38" s="16" t="s">
        <v>16</v>
      </c>
      <c r="E38" s="22" t="s">
        <v>5</v>
      </c>
      <c r="F38" s="16" t="s">
        <v>16</v>
      </c>
      <c r="G38" s="22" t="s">
        <v>5</v>
      </c>
      <c r="H38" s="16" t="s">
        <v>16</v>
      </c>
      <c r="I38" s="22" t="s">
        <v>5</v>
      </c>
      <c r="J38" s="27" t="s">
        <v>16</v>
      </c>
      <c r="K38" s="22" t="s">
        <v>5</v>
      </c>
      <c r="L38" s="27" t="s">
        <v>16</v>
      </c>
      <c r="M38" s="56" t="s">
        <v>5</v>
      </c>
      <c r="N38" s="23" t="s">
        <v>16</v>
      </c>
      <c r="O38" s="58" t="s">
        <v>5</v>
      </c>
      <c r="P38" s="23" t="s">
        <v>16</v>
      </c>
      <c r="Q38" s="58" t="s">
        <v>5</v>
      </c>
      <c r="R38" s="23" t="s">
        <v>16</v>
      </c>
      <c r="S38" s="58" t="s">
        <v>5</v>
      </c>
      <c r="T38" s="23" t="s">
        <v>16</v>
      </c>
      <c r="U38" s="58" t="s">
        <v>5</v>
      </c>
      <c r="V38" s="23" t="s">
        <v>16</v>
      </c>
      <c r="W38" s="58" t="s">
        <v>5</v>
      </c>
      <c r="X38" s="23" t="s">
        <v>16</v>
      </c>
      <c r="Y38" s="58" t="s">
        <v>5</v>
      </c>
      <c r="Z38" s="23" t="s">
        <v>16</v>
      </c>
      <c r="AA38" s="58" t="s">
        <v>5</v>
      </c>
      <c r="AB38" s="23" t="s">
        <v>16</v>
      </c>
      <c r="AC38" s="58" t="s">
        <v>5</v>
      </c>
      <c r="AD38" s="23" t="s">
        <v>16</v>
      </c>
      <c r="AE38" s="58" t="s">
        <v>5</v>
      </c>
      <c r="AF38" s="23" t="s">
        <v>16</v>
      </c>
      <c r="AG38" s="58" t="s">
        <v>5</v>
      </c>
      <c r="AH38" s="72" t="s">
        <v>16</v>
      </c>
    </row>
    <row r="39" spans="1:35" s="4" customFormat="1" ht="12.75" x14ac:dyDescent="0.2">
      <c r="B39" s="125" t="s">
        <v>3</v>
      </c>
      <c r="C39" s="17">
        <f>51+13+12+2+1+36</f>
        <v>115</v>
      </c>
      <c r="D39" s="18">
        <v>21.6</v>
      </c>
      <c r="E39" s="17">
        <v>87</v>
      </c>
      <c r="F39" s="18">
        <v>22.3</v>
      </c>
      <c r="G39" s="17">
        <v>90</v>
      </c>
      <c r="H39" s="18">
        <v>21.8</v>
      </c>
      <c r="I39" s="17">
        <f>27+15+5+1+29</f>
        <v>77</v>
      </c>
      <c r="J39" s="28">
        <v>21.7</v>
      </c>
      <c r="K39" s="17">
        <f>37+13+5+29</f>
        <v>84</v>
      </c>
      <c r="L39" s="28">
        <v>22.6</v>
      </c>
      <c r="M39" s="87">
        <v>67</v>
      </c>
      <c r="N39" s="88">
        <v>20.6</v>
      </c>
      <c r="O39" s="95">
        <v>68</v>
      </c>
      <c r="P39" s="88">
        <v>21.3</v>
      </c>
      <c r="Q39" s="95">
        <v>54</v>
      </c>
      <c r="R39" s="88">
        <v>22.6</v>
      </c>
      <c r="S39" s="95">
        <v>41</v>
      </c>
      <c r="T39" s="88">
        <v>22.4</v>
      </c>
      <c r="U39" s="95">
        <v>48</v>
      </c>
      <c r="V39" s="110">
        <v>21.78</v>
      </c>
      <c r="W39" s="95">
        <v>73</v>
      </c>
      <c r="X39" s="110">
        <v>23</v>
      </c>
      <c r="Y39" s="95">
        <v>52</v>
      </c>
      <c r="Z39" s="110">
        <v>23.7</v>
      </c>
      <c r="AA39" s="95">
        <v>65</v>
      </c>
      <c r="AB39" s="110">
        <v>22</v>
      </c>
      <c r="AC39" s="95">
        <v>80</v>
      </c>
      <c r="AD39" s="110">
        <v>22.4</v>
      </c>
      <c r="AE39" s="95">
        <v>88</v>
      </c>
      <c r="AF39" s="110">
        <v>22.6</v>
      </c>
      <c r="AG39" s="95">
        <v>101</v>
      </c>
      <c r="AH39" s="108">
        <v>22.66</v>
      </c>
    </row>
    <row r="40" spans="1:35" ht="12.75" customHeight="1" x14ac:dyDescent="0.2">
      <c r="B40" s="126" t="s">
        <v>4</v>
      </c>
      <c r="C40" s="17">
        <f>14+1+2+18</f>
        <v>35</v>
      </c>
      <c r="D40" s="18">
        <v>20.9</v>
      </c>
      <c r="E40" s="17">
        <v>27</v>
      </c>
      <c r="F40" s="18">
        <v>21.3</v>
      </c>
      <c r="G40" s="17">
        <v>38</v>
      </c>
      <c r="H40" s="18">
        <v>21.1</v>
      </c>
      <c r="I40" s="17">
        <f>36</f>
        <v>36</v>
      </c>
      <c r="J40" s="28">
        <v>19.2</v>
      </c>
      <c r="K40" s="17">
        <f>6+4+2+1+12</f>
        <v>25</v>
      </c>
      <c r="L40" s="28">
        <v>20.3</v>
      </c>
      <c r="M40" s="87">
        <v>27</v>
      </c>
      <c r="N40" s="88">
        <v>21.9</v>
      </c>
      <c r="O40" s="95">
        <v>25</v>
      </c>
      <c r="P40" s="88">
        <v>18.3</v>
      </c>
      <c r="Q40" s="95">
        <v>11</v>
      </c>
      <c r="R40" s="88">
        <v>22.6</v>
      </c>
      <c r="S40" s="95">
        <v>7</v>
      </c>
      <c r="T40" s="88">
        <v>20.6</v>
      </c>
      <c r="U40" s="95">
        <v>8</v>
      </c>
      <c r="V40" s="110">
        <v>21.4</v>
      </c>
      <c r="W40" s="95">
        <v>13</v>
      </c>
      <c r="X40" s="110">
        <v>20.6</v>
      </c>
      <c r="Y40" s="95">
        <v>8</v>
      </c>
      <c r="Z40" s="110">
        <v>22.3</v>
      </c>
      <c r="AA40" s="95">
        <v>9</v>
      </c>
      <c r="AB40" s="110">
        <v>20.8</v>
      </c>
      <c r="AC40" s="95">
        <v>8</v>
      </c>
      <c r="AD40" s="110">
        <v>21.4</v>
      </c>
      <c r="AE40" s="95">
        <v>17</v>
      </c>
      <c r="AF40" s="110">
        <v>23.1</v>
      </c>
      <c r="AG40" s="95">
        <v>8</v>
      </c>
      <c r="AH40" s="108">
        <v>24</v>
      </c>
    </row>
    <row r="41" spans="1:35" ht="15.75" thickBot="1" x14ac:dyDescent="0.25">
      <c r="B41" s="127" t="s">
        <v>0</v>
      </c>
      <c r="C41" s="19">
        <f>C39+C40</f>
        <v>150</v>
      </c>
      <c r="D41" s="20">
        <v>21.5</v>
      </c>
      <c r="E41" s="19">
        <f>E39+E40</f>
        <v>114</v>
      </c>
      <c r="F41" s="20">
        <v>21.5</v>
      </c>
      <c r="G41" s="19">
        <f>G39+G40</f>
        <v>128</v>
      </c>
      <c r="H41" s="20">
        <v>21.6</v>
      </c>
      <c r="I41" s="19">
        <f>I39+I40</f>
        <v>113</v>
      </c>
      <c r="J41" s="29">
        <v>20.9</v>
      </c>
      <c r="K41" s="19">
        <f>K39+K40</f>
        <v>109</v>
      </c>
      <c r="L41" s="29">
        <v>22.1</v>
      </c>
      <c r="M41" s="89">
        <f>M39+M40</f>
        <v>94</v>
      </c>
      <c r="N41" s="90">
        <v>20.8</v>
      </c>
      <c r="O41" s="96">
        <f>O39+O40</f>
        <v>93</v>
      </c>
      <c r="P41" s="90">
        <v>20.5</v>
      </c>
      <c r="Q41" s="96">
        <f>SUM(Q39:Q40)</f>
        <v>65</v>
      </c>
      <c r="R41" s="90">
        <v>22.6</v>
      </c>
      <c r="S41" s="96">
        <f>SUM(S39:S40)</f>
        <v>48</v>
      </c>
      <c r="T41" s="104">
        <f>(S39*T39+S40*T40)/S41</f>
        <v>22.137499999999999</v>
      </c>
      <c r="U41" s="96">
        <f>SUM(U39:U40)</f>
        <v>56</v>
      </c>
      <c r="V41" s="104">
        <f>(U39*V39+U40*V40)/U41</f>
        <v>21.725714285714286</v>
      </c>
      <c r="W41" s="96">
        <v>86</v>
      </c>
      <c r="X41" s="104">
        <v>22.63720930232558</v>
      </c>
      <c r="Y41" s="96">
        <v>60</v>
      </c>
      <c r="Z41" s="104">
        <v>23.513333333333332</v>
      </c>
      <c r="AA41" s="96">
        <v>74</v>
      </c>
      <c r="AB41" s="104">
        <v>21.854054054054053</v>
      </c>
      <c r="AC41" s="96">
        <v>88</v>
      </c>
      <c r="AD41" s="104">
        <v>22.309090909090909</v>
      </c>
      <c r="AE41" s="96">
        <v>105</v>
      </c>
      <c r="AF41" s="104">
        <v>22.68095238095238</v>
      </c>
      <c r="AG41" s="96">
        <f>SUM(AG39:AG40)</f>
        <v>109</v>
      </c>
      <c r="AH41" s="109">
        <f>(AG39*AH39+AG40*AH40)/AG41</f>
        <v>22.758348623853209</v>
      </c>
    </row>
    <row r="42" spans="1:35" ht="23.25" customHeight="1" thickTop="1" x14ac:dyDescent="0.2">
      <c r="B42" s="91"/>
      <c r="C42" s="91"/>
      <c r="D42" s="81"/>
      <c r="E42" s="81"/>
      <c r="F42" s="81"/>
      <c r="G42" s="81"/>
      <c r="H42" s="81"/>
      <c r="I42" s="81"/>
      <c r="J42" s="81"/>
      <c r="K42" s="81"/>
      <c r="L42" s="97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21"/>
    </row>
    <row r="43" spans="1:35" ht="22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11"/>
      <c r="X43" s="111"/>
      <c r="Y43" s="111"/>
      <c r="Z43" s="111"/>
      <c r="AA43" s="128"/>
      <c r="AB43" s="128"/>
      <c r="AC43" s="128"/>
      <c r="AD43" s="128"/>
      <c r="AE43" s="128"/>
      <c r="AF43" s="128"/>
      <c r="AG43" s="128"/>
      <c r="AH43" s="128"/>
    </row>
    <row r="44" spans="1:35" x14ac:dyDescent="0.2">
      <c r="B44" s="5"/>
    </row>
    <row r="45" spans="1:35" s="4" customFormat="1" ht="11.25" x14ac:dyDescent="0.2">
      <c r="B45" s="7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</row>
    <row r="46" spans="1:35" x14ac:dyDescent="0.2">
      <c r="B46" s="5"/>
    </row>
    <row r="47" spans="1:35" x14ac:dyDescent="0.2">
      <c r="B47" s="5"/>
    </row>
    <row r="48" spans="1:35" ht="20.25" customHeight="1" x14ac:dyDescent="0.2">
      <c r="B48" s="5"/>
    </row>
    <row r="49" spans="2:6" ht="9" customHeight="1" x14ac:dyDescent="0.2">
      <c r="B49" s="5"/>
    </row>
    <row r="50" spans="2:6" x14ac:dyDescent="0.2">
      <c r="B50" s="5"/>
    </row>
    <row r="51" spans="2:6" x14ac:dyDescent="0.2">
      <c r="B51" s="5"/>
      <c r="C51" s="2"/>
      <c r="D51" s="3"/>
      <c r="E51" s="3"/>
      <c r="F51" s="3"/>
    </row>
    <row r="52" spans="2:6" x14ac:dyDescent="0.2">
      <c r="B52" s="5"/>
      <c r="C52" s="2"/>
      <c r="D52" s="3"/>
      <c r="E52" s="3"/>
      <c r="F52" s="3"/>
    </row>
    <row r="53" spans="2:6" x14ac:dyDescent="0.2">
      <c r="B53" s="5"/>
      <c r="C53" s="2"/>
      <c r="D53" s="3"/>
      <c r="E53" s="3"/>
      <c r="F53" s="3"/>
    </row>
    <row r="54" spans="2:6" x14ac:dyDescent="0.2">
      <c r="B54" s="5"/>
      <c r="C54" s="2"/>
      <c r="D54" s="3"/>
      <c r="E54" s="3"/>
      <c r="F54" s="3"/>
    </row>
    <row r="55" spans="2:6" x14ac:dyDescent="0.2">
      <c r="B55" s="5"/>
      <c r="C55" s="2"/>
      <c r="D55" s="3"/>
      <c r="E55" s="3"/>
      <c r="F55" s="3"/>
    </row>
    <row r="56" spans="2:6" x14ac:dyDescent="0.2">
      <c r="B56" s="5"/>
      <c r="C56" s="2"/>
      <c r="D56" s="3"/>
      <c r="E56" s="3"/>
      <c r="F56" s="3"/>
    </row>
    <row r="57" spans="2:6" x14ac:dyDescent="0.2">
      <c r="B57" s="5"/>
      <c r="C57" s="2"/>
      <c r="D57" s="3"/>
      <c r="E57" s="3"/>
      <c r="F57" s="3"/>
    </row>
    <row r="58" spans="2:6" x14ac:dyDescent="0.2">
      <c r="B58" s="5"/>
    </row>
    <row r="59" spans="2:6" x14ac:dyDescent="0.2">
      <c r="B59" s="5"/>
    </row>
    <row r="60" spans="2:6" x14ac:dyDescent="0.2">
      <c r="B60" s="5"/>
    </row>
    <row r="61" spans="2:6" x14ac:dyDescent="0.2">
      <c r="B61" s="5"/>
    </row>
    <row r="62" spans="2:6" x14ac:dyDescent="0.2">
      <c r="B62" s="5"/>
    </row>
    <row r="63" spans="2:6" x14ac:dyDescent="0.2">
      <c r="B63" s="5"/>
    </row>
    <row r="64" spans="2:6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  <row r="76" spans="2:2" x14ac:dyDescent="0.2">
      <c r="B76" s="5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  <row r="143" spans="2:2" x14ac:dyDescent="0.2">
      <c r="B143" s="5"/>
    </row>
    <row r="144" spans="2:2" x14ac:dyDescent="0.2">
      <c r="B144" s="5"/>
    </row>
    <row r="145" spans="2:2" x14ac:dyDescent="0.2">
      <c r="B145" s="5"/>
    </row>
    <row r="146" spans="2:2" x14ac:dyDescent="0.2">
      <c r="B146" s="5"/>
    </row>
    <row r="147" spans="2:2" x14ac:dyDescent="0.2">
      <c r="B147" s="5"/>
    </row>
    <row r="148" spans="2:2" x14ac:dyDescent="0.2">
      <c r="B148" s="5"/>
    </row>
    <row r="149" spans="2:2" x14ac:dyDescent="0.2">
      <c r="B149" s="5"/>
    </row>
    <row r="150" spans="2:2" x14ac:dyDescent="0.2">
      <c r="B150" s="5"/>
    </row>
    <row r="151" spans="2:2" x14ac:dyDescent="0.2">
      <c r="B151" s="5"/>
    </row>
    <row r="152" spans="2:2" x14ac:dyDescent="0.2">
      <c r="B152" s="5"/>
    </row>
    <row r="153" spans="2:2" x14ac:dyDescent="0.2">
      <c r="B153" s="5"/>
    </row>
    <row r="154" spans="2:2" x14ac:dyDescent="0.2">
      <c r="B154" s="5"/>
    </row>
    <row r="155" spans="2:2" x14ac:dyDescent="0.2">
      <c r="B155" s="5"/>
    </row>
    <row r="156" spans="2:2" x14ac:dyDescent="0.2">
      <c r="B156" s="5"/>
    </row>
    <row r="157" spans="2:2" x14ac:dyDescent="0.2">
      <c r="B157" s="5"/>
    </row>
    <row r="158" spans="2:2" x14ac:dyDescent="0.2">
      <c r="B158" s="5"/>
    </row>
    <row r="159" spans="2:2" x14ac:dyDescent="0.2">
      <c r="B159" s="5"/>
    </row>
    <row r="160" spans="2:2" x14ac:dyDescent="0.2">
      <c r="B160" s="5"/>
    </row>
    <row r="161" spans="2:8" x14ac:dyDescent="0.2">
      <c r="B161" s="5"/>
    </row>
    <row r="162" spans="2:8" x14ac:dyDescent="0.2">
      <c r="B162" s="5"/>
    </row>
    <row r="163" spans="2:8" x14ac:dyDescent="0.2">
      <c r="B163" s="5"/>
    </row>
    <row r="164" spans="2:8" x14ac:dyDescent="0.2">
      <c r="B164" s="5"/>
    </row>
    <row r="165" spans="2:8" x14ac:dyDescent="0.2">
      <c r="B165" s="5"/>
    </row>
    <row r="166" spans="2:8" x14ac:dyDescent="0.2">
      <c r="B166" s="5"/>
    </row>
    <row r="167" spans="2:8" x14ac:dyDescent="0.2">
      <c r="B167" s="5"/>
    </row>
    <row r="168" spans="2:8" x14ac:dyDescent="0.2">
      <c r="B168" s="5"/>
      <c r="H168" s="5"/>
    </row>
    <row r="169" spans="2:8" x14ac:dyDescent="0.2">
      <c r="B169" s="5"/>
    </row>
    <row r="170" spans="2:8" x14ac:dyDescent="0.2">
      <c r="B170" s="5"/>
    </row>
    <row r="171" spans="2:8" x14ac:dyDescent="0.2">
      <c r="B171" s="5"/>
    </row>
    <row r="172" spans="2:8" x14ac:dyDescent="0.2">
      <c r="B172" s="5"/>
    </row>
    <row r="173" spans="2:8" x14ac:dyDescent="0.2">
      <c r="B173" s="5"/>
    </row>
    <row r="174" spans="2:8" x14ac:dyDescent="0.2">
      <c r="B174" s="5"/>
    </row>
    <row r="175" spans="2:8" x14ac:dyDescent="0.2">
      <c r="B175" s="5"/>
    </row>
    <row r="176" spans="2:8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</sheetData>
  <mergeCells count="105">
    <mergeCell ref="C5:D5"/>
    <mergeCell ref="E5:F5"/>
    <mergeCell ref="M26:N26"/>
    <mergeCell ref="K5:L5"/>
    <mergeCell ref="K26:L26"/>
    <mergeCell ref="I5:J5"/>
    <mergeCell ref="G5:H5"/>
    <mergeCell ref="C26:D26"/>
    <mergeCell ref="E26:F26"/>
    <mergeCell ref="I26:J26"/>
    <mergeCell ref="B21:I21"/>
    <mergeCell ref="G26:H26"/>
    <mergeCell ref="M5:N5"/>
    <mergeCell ref="O5:P5"/>
    <mergeCell ref="O26:P26"/>
    <mergeCell ref="AA5:AB5"/>
    <mergeCell ref="AA26:AB26"/>
    <mergeCell ref="Y5:Z5"/>
    <mergeCell ref="Y26:Z26"/>
    <mergeCell ref="U5:V5"/>
    <mergeCell ref="U26:V26"/>
    <mergeCell ref="S5:T5"/>
    <mergeCell ref="S26:T26"/>
    <mergeCell ref="Q5:R5"/>
    <mergeCell ref="Q26:R26"/>
    <mergeCell ref="Y9:Z9"/>
    <mergeCell ref="Y10:Z10"/>
    <mergeCell ref="Y11:Z11"/>
    <mergeCell ref="AA7:AB7"/>
    <mergeCell ref="AG5:AH5"/>
    <mergeCell ref="AG26:AH26"/>
    <mergeCell ref="AC26:AD26"/>
    <mergeCell ref="W5:X5"/>
    <mergeCell ref="W26:X26"/>
    <mergeCell ref="AE5:AF5"/>
    <mergeCell ref="AE26:AF26"/>
    <mergeCell ref="AC5:AD5"/>
    <mergeCell ref="W6:X6"/>
    <mergeCell ref="W7:X7"/>
    <mergeCell ref="W8:X8"/>
    <mergeCell ref="W9:X9"/>
    <mergeCell ref="W10:X10"/>
    <mergeCell ref="W11:X11"/>
    <mergeCell ref="Y7:Z7"/>
    <mergeCell ref="Y8:Z8"/>
    <mergeCell ref="Y6:Z6"/>
    <mergeCell ref="AC6:AD6"/>
    <mergeCell ref="AC7:AD7"/>
    <mergeCell ref="AC8:AD8"/>
    <mergeCell ref="AC9:AD9"/>
    <mergeCell ref="AA8:AB8"/>
    <mergeCell ref="AA9:AB9"/>
    <mergeCell ref="AA10:AB10"/>
    <mergeCell ref="AA11:AB11"/>
    <mergeCell ref="AA6:AB6"/>
    <mergeCell ref="AG6:AH6"/>
    <mergeCell ref="AG7:AH7"/>
    <mergeCell ref="AG8:AH8"/>
    <mergeCell ref="AG9:AH9"/>
    <mergeCell ref="AG10:AH10"/>
    <mergeCell ref="AC10:AD10"/>
    <mergeCell ref="AC11:AD11"/>
    <mergeCell ref="AE6:AF6"/>
    <mergeCell ref="AE7:AF7"/>
    <mergeCell ref="AE8:AF8"/>
    <mergeCell ref="AE9:AF9"/>
    <mergeCell ref="AE10:AF10"/>
    <mergeCell ref="AE11:AF11"/>
    <mergeCell ref="W31:X31"/>
    <mergeCell ref="W32:X32"/>
    <mergeCell ref="Y27:Z27"/>
    <mergeCell ref="Y28:Z28"/>
    <mergeCell ref="Y29:Z29"/>
    <mergeCell ref="Y30:Z30"/>
    <mergeCell ref="Y31:Z31"/>
    <mergeCell ref="Y32:Z32"/>
    <mergeCell ref="AG11:AH11"/>
    <mergeCell ref="W27:X27"/>
    <mergeCell ref="W28:X28"/>
    <mergeCell ref="W29:X29"/>
    <mergeCell ref="W30:X30"/>
    <mergeCell ref="AA27:AB27"/>
    <mergeCell ref="AA28:AB28"/>
    <mergeCell ref="AA29:AB29"/>
    <mergeCell ref="AA30:AB30"/>
    <mergeCell ref="AE27:AF27"/>
    <mergeCell ref="AE28:AF28"/>
    <mergeCell ref="AE29:AF29"/>
    <mergeCell ref="AE30:AF30"/>
    <mergeCell ref="AE31:AF31"/>
    <mergeCell ref="AE32:AF32"/>
    <mergeCell ref="AG27:AH27"/>
    <mergeCell ref="AG28:AH28"/>
    <mergeCell ref="AG29:AH29"/>
    <mergeCell ref="AG30:AH30"/>
    <mergeCell ref="AG31:AH31"/>
    <mergeCell ref="AG32:AH32"/>
    <mergeCell ref="AA31:AB31"/>
    <mergeCell ref="AA32:AB32"/>
    <mergeCell ref="AC27:AD27"/>
    <mergeCell ref="AC28:AD28"/>
    <mergeCell ref="AC29:AD29"/>
    <mergeCell ref="AC30:AD30"/>
    <mergeCell ref="AC31:AD31"/>
    <mergeCell ref="AC32:AD32"/>
  </mergeCells>
  <phoneticPr fontId="0" type="noConversion"/>
  <printOptions horizontalCentered="1"/>
  <pageMargins left="0.22" right="0.51" top="0.75" bottom="0.75" header="0.5" footer="0.5"/>
  <pageSetup scale="76" orientation="portrait" r:id="rId1"/>
  <headerFooter alignWithMargins="0">
    <oddHeader>&amp;C&amp;14Kansas State University</oddHeader>
  </headerFooter>
  <ignoredErrors>
    <ignoredError sqref="I34:O37 T41:V41 T20:V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L X 5 z U R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L X 5 z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+ c 1 E o i k e 4 D g A A A B E A A A A T A B w A R m 9 y b X V s Y X M v U 2 V j d G l v b j E u b S C i G A A o o B Q A A A A A A A A A A A A A A A A A A A A A A A A A A A A r T k 0 u y c z P U w i G 0 I b W A F B L A Q I t A B Q A A g A I A C 1 + c 1 E d N C w y p w A A A P k A A A A S A A A A A A A A A A A A A A A A A A A A A A B D b 2 5 m a W c v U G F j a 2 F n Z S 5 4 b W x Q S w E C L Q A U A A I A C A A t f n N R D 8 r p q 6 Q A A A D p A A A A E w A A A A A A A A A A A A A A A A D z A A A A W 0 N v b n R l b n R f V H l w Z X N d L n h t b F B L A Q I t A B Q A A g A I A C 1 + c 1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Y Y 5 u P E a W G R Y p 0 p J l 4 D l W 1 A A A A A A I A A A A A A A N m A A D A A A A A E A A A A E V y A t C w v D n b e s a h y W t x b r 8 A A A A A B I A A A K A A A A A Q A A A A P o N 7 e 8 c H F M j 9 C q Y U t k l e f 1 A A A A C J s x n u u d I P Y 2 p F 7 E N 0 R 5 a R y d s 1 p Y 8 6 o G K b Z o K e X U w G a s 5 t A E + 0 W z 5 d p 3 Z G b f a 3 p e L 6 W E n O / f M e M A b 6 E F z 8 a 1 e h e V B O C M G L W v h h T / L i S 0 y S L x Q A A A C S 9 q 6 i u 7 I Q 8 c B r o / p r e d j r Y n 2 T M Q = = < / D a t a M a s h u p > 
</file>

<file path=customXml/itemProps1.xml><?xml version="1.0" encoding="utf-8"?>
<ds:datastoreItem xmlns:ds="http://schemas.openxmlformats.org/officeDocument/2006/customXml" ds:itemID="{5C3AB043-A238-4F8C-9BAE-11DEC27E72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</vt:lpstr>
      <vt:lpstr>ACT!Print_Area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Yuhao Liu</cp:lastModifiedBy>
  <cp:lastPrinted>2018-08-13T15:33:11Z</cp:lastPrinted>
  <dcterms:created xsi:type="dcterms:W3CDTF">2004-05-27T14:32:51Z</dcterms:created>
  <dcterms:modified xsi:type="dcterms:W3CDTF">2022-04-07T20:29:10Z</dcterms:modified>
</cp:coreProperties>
</file>