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uhao1\Desktop\Student Report\2025\enrollment\"/>
    </mc:Choice>
  </mc:AlternateContent>
  <xr:revisionPtr revIDLastSave="0" documentId="13_ncr:1_{BC0E80DE-EA78-491E-AF08-76FA4517F2BD}" xr6:coauthVersionLast="47" xr6:coauthVersionMax="47" xr10:uidLastSave="{00000000-0000-0000-0000-000000000000}"/>
  <bookViews>
    <workbookView xWindow="28680" yWindow="-120" windowWidth="24240" windowHeight="13020" tabRatio="943" activeTab="1" xr2:uid="{00000000-000D-0000-FFFF-FFFF00000000}"/>
  </bookViews>
  <sheets>
    <sheet name="Grad demo &amp; graph" sheetId="49552" r:id="rId1"/>
    <sheet name="Grad origin, deg, maj" sheetId="16" r:id="rId2"/>
  </sheets>
  <definedNames>
    <definedName name="_xlnm.Print_Area" localSheetId="0">'Grad demo &amp; graph'!$A$1:$AF$56</definedName>
    <definedName name="_xlnm.Print_Area" localSheetId="1">'Grad origin, deg, maj'!$A$1:$I$29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6" i="49552" l="1"/>
  <c r="D12" i="16"/>
  <c r="E12" i="16" s="1"/>
  <c r="G12" i="16"/>
  <c r="H12" i="16" s="1"/>
  <c r="H11" i="16"/>
  <c r="H10" i="16"/>
  <c r="H9" i="16"/>
  <c r="H8" i="16"/>
  <c r="H7" i="16"/>
  <c r="H6" i="16"/>
  <c r="E6" i="16"/>
  <c r="E11" i="16"/>
  <c r="E10" i="16"/>
  <c r="E9" i="16"/>
  <c r="E8" i="16"/>
  <c r="E7" i="16"/>
  <c r="AA6" i="49552" l="1"/>
  <c r="Z6" i="49552" l="1"/>
  <c r="Y6" i="49552" l="1"/>
  <c r="X6" i="49552" l="1"/>
  <c r="R6" i="49552" l="1"/>
  <c r="V6" i="49552"/>
  <c r="T6" i="49552"/>
  <c r="U6" i="49552"/>
  <c r="W6" i="49552"/>
  <c r="S25" i="49552"/>
  <c r="S6" i="49552"/>
  <c r="Q26" i="49552"/>
  <c r="Q25" i="49552"/>
  <c r="Q23" i="49552"/>
  <c r="Q6" i="49552"/>
  <c r="P6" i="49552"/>
  <c r="O6" i="49552"/>
  <c r="N6" i="49552"/>
  <c r="M17" i="49552"/>
  <c r="L17" i="49552"/>
  <c r="K17" i="49552"/>
  <c r="J17" i="49552"/>
  <c r="M16" i="49552"/>
  <c r="L16" i="49552"/>
  <c r="K16" i="49552"/>
  <c r="J16" i="49552"/>
  <c r="M15" i="49552"/>
  <c r="L15" i="49552"/>
  <c r="K15" i="49552"/>
  <c r="J15" i="49552"/>
  <c r="M14" i="49552"/>
  <c r="L14" i="49552"/>
  <c r="M6" i="49552"/>
  <c r="M26" i="49552"/>
  <c r="M25" i="49552"/>
  <c r="M23" i="49552"/>
  <c r="M20" i="49552"/>
  <c r="M19" i="49552"/>
  <c r="M21" i="49552"/>
  <c r="M18" i="49552"/>
  <c r="M12" i="49552"/>
  <c r="M11" i="49552"/>
  <c r="M9" i="49552"/>
  <c r="L25" i="49552"/>
  <c r="L23" i="49552"/>
  <c r="L6" i="49552"/>
  <c r="K18" i="49552"/>
  <c r="K6" i="49552"/>
  <c r="H26" i="49552"/>
  <c r="G26" i="49552"/>
  <c r="F26" i="49552"/>
  <c r="E26" i="49552"/>
  <c r="D26" i="49552"/>
  <c r="C26" i="49552"/>
  <c r="H23" i="49552"/>
  <c r="G23" i="49552"/>
  <c r="F23" i="49552"/>
  <c r="E23" i="49552"/>
  <c r="D23" i="49552"/>
  <c r="C23" i="49552"/>
  <c r="H20" i="49552"/>
  <c r="G20" i="49552"/>
  <c r="F20" i="49552"/>
  <c r="E20" i="49552"/>
  <c r="D20" i="49552"/>
  <c r="C20" i="49552"/>
  <c r="H19" i="49552"/>
  <c r="G19" i="49552"/>
  <c r="F19" i="49552"/>
  <c r="E19" i="49552"/>
  <c r="D19" i="49552"/>
  <c r="C19" i="49552"/>
  <c r="H21" i="49552"/>
  <c r="G21" i="49552"/>
  <c r="F21" i="49552"/>
  <c r="E21" i="49552"/>
  <c r="D21" i="49552"/>
  <c r="C21" i="49552"/>
  <c r="H18" i="49552"/>
  <c r="G18" i="49552"/>
  <c r="F18" i="49552"/>
  <c r="E18" i="49552"/>
  <c r="D18" i="49552"/>
  <c r="C18" i="49552"/>
  <c r="H12" i="49552"/>
  <c r="G12" i="49552"/>
  <c r="F12" i="49552"/>
  <c r="E12" i="49552"/>
  <c r="D12" i="49552"/>
  <c r="C12" i="49552"/>
  <c r="H11" i="49552"/>
  <c r="G11" i="49552"/>
  <c r="F11" i="49552"/>
  <c r="E11" i="49552"/>
  <c r="D11" i="49552"/>
  <c r="C11" i="49552"/>
  <c r="H10" i="49552"/>
  <c r="G10" i="49552"/>
  <c r="F10" i="49552"/>
  <c r="E10" i="49552"/>
  <c r="D10" i="49552"/>
  <c r="C10" i="49552"/>
  <c r="H9" i="49552"/>
  <c r="G9" i="49552"/>
  <c r="F9" i="49552"/>
  <c r="E9" i="49552"/>
  <c r="D9" i="49552"/>
  <c r="C9" i="49552"/>
  <c r="H8" i="49552"/>
  <c r="G8" i="49552"/>
  <c r="G6" i="49552" s="1"/>
  <c r="F8" i="49552"/>
  <c r="E8" i="49552"/>
  <c r="D8" i="49552"/>
  <c r="C8" i="49552"/>
  <c r="H7" i="49552"/>
  <c r="G7" i="49552"/>
  <c r="F7" i="49552"/>
  <c r="E7" i="49552"/>
  <c r="D7" i="49552"/>
  <c r="C7" i="49552"/>
  <c r="J6" i="49552"/>
  <c r="I6" i="49552"/>
  <c r="H6" i="49552" l="1"/>
  <c r="F6" i="49552"/>
  <c r="D6" i="49552"/>
  <c r="C6" i="49552"/>
  <c r="E6" i="49552"/>
</calcChain>
</file>

<file path=xl/sharedStrings.xml><?xml version="1.0" encoding="utf-8"?>
<sst xmlns="http://schemas.openxmlformats.org/spreadsheetml/2006/main" count="79" uniqueCount="73">
  <si>
    <t>Fall Semester</t>
  </si>
  <si>
    <t>1990</t>
  </si>
  <si>
    <t>1991</t>
  </si>
  <si>
    <t>1992</t>
  </si>
  <si>
    <t>1993</t>
  </si>
  <si>
    <t>1994</t>
  </si>
  <si>
    <t>1995</t>
  </si>
  <si>
    <t>Full-Time</t>
  </si>
  <si>
    <t>Part-Time</t>
  </si>
  <si>
    <t>In-State</t>
  </si>
  <si>
    <t>Out-of-State</t>
  </si>
  <si>
    <t>Men</t>
  </si>
  <si>
    <t>Women</t>
  </si>
  <si>
    <t>Non-Res. Alien</t>
  </si>
  <si>
    <t>Black</t>
  </si>
  <si>
    <t>American Indian</t>
  </si>
  <si>
    <t>Asian</t>
  </si>
  <si>
    <t>Hispanic</t>
  </si>
  <si>
    <t>White</t>
  </si>
  <si>
    <t>Veterinary Medicine</t>
  </si>
  <si>
    <t>Total</t>
  </si>
  <si>
    <t>N</t>
  </si>
  <si>
    <t>%</t>
  </si>
  <si>
    <t>Rank</t>
  </si>
  <si>
    <t>Missouri</t>
  </si>
  <si>
    <t>Texas</t>
  </si>
  <si>
    <t>Masters Program</t>
  </si>
  <si>
    <t>Countries</t>
  </si>
  <si>
    <t>China</t>
  </si>
  <si>
    <t xml:space="preserve">Total </t>
  </si>
  <si>
    <t>Unknown</t>
  </si>
  <si>
    <t>Other States</t>
  </si>
  <si>
    <t>Other Countries</t>
  </si>
  <si>
    <t>Doctorate Program</t>
  </si>
  <si>
    <t>Illinois</t>
  </si>
  <si>
    <t>California</t>
  </si>
  <si>
    <t>India</t>
  </si>
  <si>
    <t>Nepal</t>
  </si>
  <si>
    <t>Graduate Student Enrollment*</t>
  </si>
  <si>
    <t>* does not include DVM students</t>
  </si>
  <si>
    <t>Graduate and VetMed Student Origins</t>
  </si>
  <si>
    <t>Age: 19 and Under</t>
  </si>
  <si>
    <t>Age: 20-24</t>
  </si>
  <si>
    <t>Age: 25-39</t>
  </si>
  <si>
    <t>Age: 40 and Over</t>
  </si>
  <si>
    <t>Hawaiian/Pacific Is</t>
  </si>
  <si>
    <t>Fall Enrollment</t>
  </si>
  <si>
    <t>Multiracial</t>
  </si>
  <si>
    <t>U.S. States (outside Kansas)</t>
  </si>
  <si>
    <t>States and Countries with the Largest</t>
  </si>
  <si>
    <t>Note:  Counts are based upon official residency</t>
  </si>
  <si>
    <t>Bangladesh</t>
  </si>
  <si>
    <t>Master of Architecture</t>
  </si>
  <si>
    <t>Other US States/Unknown</t>
  </si>
  <si>
    <t>Nebraska</t>
  </si>
  <si>
    <t>Colorado</t>
  </si>
  <si>
    <t xml:space="preserve">Master of Arts in Teaching </t>
  </si>
  <si>
    <t>Nigeria</t>
  </si>
  <si>
    <t>Master of Personal Financial Planning</t>
  </si>
  <si>
    <t>Total Graduate Students</t>
  </si>
  <si>
    <t>Iran</t>
  </si>
  <si>
    <t>Note: This table includes all majors, both primary and non-primary.</t>
  </si>
  <si>
    <t>Master of Business Administration</t>
  </si>
  <si>
    <t>Master of Veterinary Biomedical Science</t>
  </si>
  <si>
    <t>Gender Unknown</t>
  </si>
  <si>
    <t>*The chart doesn't include a small number of students whose gender is unknown.</t>
  </si>
  <si>
    <t>Curriculum and Instruction</t>
  </si>
  <si>
    <t>Counseling &amp; Student Devel</t>
  </si>
  <si>
    <t>Community Coll Leadership</t>
  </si>
  <si>
    <t>Adult Learning &amp; Leadership</t>
  </si>
  <si>
    <t>Graduate students originated from 100 Kansas counties, 55 United States, and 74 other countries.</t>
  </si>
  <si>
    <t>Graduate Majors with the Largest Fall 2025 Enrollment</t>
  </si>
  <si>
    <t>Fall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</si>
</sst>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"/>
  </numFmts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b/>
      <sz val="9.5"/>
      <name val="Arial"/>
      <family val="2"/>
    </font>
    <font>
      <sz val="9.5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  <font>
      <sz val="10"/>
      <name val="Arial Unicode MS"/>
      <family val="2"/>
    </font>
    <font>
      <sz val="10"/>
      <name val="Arial Unicode MS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slantDashDot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01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9" borderId="0" applyNumberFormat="0" applyBorder="0" applyAlignment="0" applyProtection="0"/>
    <xf numFmtId="0" fontId="25" fillId="3" borderId="0" applyNumberFormat="0" applyBorder="0" applyAlignment="0" applyProtection="0"/>
    <xf numFmtId="0" fontId="26" fillId="20" borderId="1" applyNumberFormat="0" applyAlignment="0" applyProtection="0"/>
    <xf numFmtId="0" fontId="27" fillId="21" borderId="2" applyNumberFormat="0" applyAlignment="0" applyProtection="0"/>
    <xf numFmtId="43" fontId="5" fillId="0" borderId="0" applyFont="0" applyFill="0" applyBorder="0" applyAlignment="0" applyProtection="0"/>
    <xf numFmtId="0" fontId="12" fillId="0" borderId="0" applyFill="0" applyBorder="0" applyAlignment="0" applyProtection="0"/>
    <xf numFmtId="0" fontId="28" fillId="0" borderId="0" applyNumberFormat="0" applyFill="0" applyBorder="0" applyAlignment="0" applyProtection="0"/>
    <xf numFmtId="2" fontId="12" fillId="0" borderId="0" applyFill="0" applyBorder="0" applyAlignment="0" applyProtection="0"/>
    <xf numFmtId="0" fontId="29" fillId="4" borderId="0" applyNumberFormat="0" applyBorder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3" fillId="7" borderId="1" applyNumberFormat="0" applyAlignment="0" applyProtection="0"/>
    <xf numFmtId="0" fontId="34" fillId="0" borderId="6" applyNumberFormat="0" applyFill="0" applyAlignment="0" applyProtection="0"/>
    <xf numFmtId="0" fontId="35" fillId="22" borderId="0" applyNumberFormat="0" applyBorder="0" applyAlignment="0" applyProtection="0"/>
    <xf numFmtId="0" fontId="39" fillId="0" borderId="0"/>
    <xf numFmtId="0" fontId="10" fillId="23" borderId="7" applyNumberFormat="0" applyFont="0" applyAlignment="0" applyProtection="0"/>
    <xf numFmtId="0" fontId="36" fillId="20" borderId="8" applyNumberFormat="0" applyAlignment="0" applyProtection="0"/>
    <xf numFmtId="0" fontId="37" fillId="0" borderId="0" applyNumberFormat="0" applyFill="0" applyBorder="0" applyAlignment="0" applyProtection="0"/>
    <xf numFmtId="0" fontId="12" fillId="0" borderId="9" applyNumberFormat="0" applyFill="0" applyAlignment="0" applyProtection="0"/>
    <xf numFmtId="0" fontId="38" fillId="0" borderId="0" applyNumberFormat="0" applyFill="0" applyBorder="0" applyAlignment="0" applyProtection="0"/>
    <xf numFmtId="0" fontId="5" fillId="0" borderId="0"/>
    <xf numFmtId="0" fontId="4" fillId="0" borderId="0"/>
    <xf numFmtId="0" fontId="40" fillId="0" borderId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42" fillId="37" borderId="0" applyNumberFormat="0" applyBorder="0" applyAlignment="0" applyProtection="0"/>
    <xf numFmtId="0" fontId="42" fillId="38" borderId="0" applyNumberFormat="0" applyBorder="0" applyAlignment="0" applyProtection="0"/>
    <xf numFmtId="0" fontId="42" fillId="39" borderId="0" applyNumberFormat="0" applyBorder="0" applyAlignment="0" applyProtection="0"/>
    <xf numFmtId="0" fontId="42" fillId="40" borderId="0" applyNumberFormat="0" applyBorder="0" applyAlignment="0" applyProtection="0"/>
    <xf numFmtId="0" fontId="42" fillId="41" borderId="0" applyNumberFormat="0" applyBorder="0" applyAlignment="0" applyProtection="0"/>
    <xf numFmtId="0" fontId="42" fillId="42" borderId="0" applyNumberFormat="0" applyBorder="0" applyAlignment="0" applyProtection="0"/>
    <xf numFmtId="0" fontId="42" fillId="43" borderId="0" applyNumberFormat="0" applyBorder="0" applyAlignment="0" applyProtection="0"/>
    <xf numFmtId="0" fontId="42" fillId="44" borderId="0" applyNumberFormat="0" applyBorder="0" applyAlignment="0" applyProtection="0"/>
    <xf numFmtId="0" fontId="42" fillId="45" borderId="0" applyNumberFormat="0" applyBorder="0" applyAlignment="0" applyProtection="0"/>
    <xf numFmtId="0" fontId="42" fillId="46" borderId="0" applyNumberFormat="0" applyBorder="0" applyAlignment="0" applyProtection="0"/>
    <xf numFmtId="0" fontId="42" fillId="47" borderId="0" applyNumberFormat="0" applyBorder="0" applyAlignment="0" applyProtection="0"/>
    <xf numFmtId="0" fontId="42" fillId="48" borderId="0" applyNumberFormat="0" applyBorder="0" applyAlignment="0" applyProtection="0"/>
    <xf numFmtId="0" fontId="43" fillId="49" borderId="0" applyNumberFormat="0" applyBorder="0" applyAlignment="0" applyProtection="0"/>
    <xf numFmtId="0" fontId="44" fillId="50" borderId="55" applyNumberFormat="0" applyAlignment="0" applyProtection="0"/>
    <xf numFmtId="0" fontId="45" fillId="51" borderId="56" applyNumberFormat="0" applyAlignment="0" applyProtection="0"/>
    <xf numFmtId="0" fontId="46" fillId="0" borderId="0" applyNumberFormat="0" applyFill="0" applyBorder="0" applyAlignment="0" applyProtection="0"/>
    <xf numFmtId="0" fontId="47" fillId="52" borderId="0" applyNumberFormat="0" applyBorder="0" applyAlignment="0" applyProtection="0"/>
    <xf numFmtId="0" fontId="48" fillId="0" borderId="57" applyNumberFormat="0" applyFill="0" applyAlignment="0" applyProtection="0"/>
    <xf numFmtId="0" fontId="49" fillId="0" borderId="58" applyNumberFormat="0" applyFill="0" applyAlignment="0" applyProtection="0"/>
    <xf numFmtId="0" fontId="50" fillId="0" borderId="59" applyNumberFormat="0" applyFill="0" applyAlignment="0" applyProtection="0"/>
    <xf numFmtId="0" fontId="50" fillId="0" borderId="0" applyNumberFormat="0" applyFill="0" applyBorder="0" applyAlignment="0" applyProtection="0"/>
    <xf numFmtId="0" fontId="51" fillId="53" borderId="55" applyNumberFormat="0" applyAlignment="0" applyProtection="0"/>
    <xf numFmtId="0" fontId="52" fillId="0" borderId="60" applyNumberFormat="0" applyFill="0" applyAlignment="0" applyProtection="0"/>
    <xf numFmtId="0" fontId="53" fillId="54" borderId="0" applyNumberFormat="0" applyBorder="0" applyAlignment="0" applyProtection="0"/>
    <xf numFmtId="0" fontId="41" fillId="0" borderId="0"/>
    <xf numFmtId="0" fontId="2" fillId="0" borderId="0"/>
    <xf numFmtId="0" fontId="3" fillId="0" borderId="0"/>
    <xf numFmtId="0" fontId="11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2" fillId="55" borderId="61" applyNumberFormat="0" applyFont="0" applyAlignment="0" applyProtection="0"/>
    <xf numFmtId="0" fontId="54" fillId="50" borderId="62" applyNumberFormat="0" applyAlignment="0" applyProtection="0"/>
    <xf numFmtId="0" fontId="55" fillId="0" borderId="0" applyNumberFormat="0" applyFill="0" applyBorder="0" applyAlignment="0" applyProtection="0"/>
    <xf numFmtId="0" fontId="56" fillId="0" borderId="63" applyNumberFormat="0" applyFill="0" applyAlignment="0" applyProtection="0"/>
    <xf numFmtId="0" fontId="57" fillId="0" borderId="0" applyNumberFormat="0" applyFill="0" applyBorder="0" applyAlignment="0" applyProtection="0"/>
    <xf numFmtId="0" fontId="1" fillId="0" borderId="0"/>
  </cellStyleXfs>
  <cellXfs count="124">
    <xf numFmtId="0" fontId="0" fillId="0" borderId="0" xfId="0"/>
    <xf numFmtId="0" fontId="7" fillId="0" borderId="11" xfId="0" applyFont="1" applyBorder="1"/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3" fontId="9" fillId="0" borderId="0" xfId="0" applyNumberFormat="1" applyFont="1"/>
    <xf numFmtId="3" fontId="9" fillId="0" borderId="15" xfId="0" applyNumberFormat="1" applyFont="1" applyBorder="1"/>
    <xf numFmtId="164" fontId="9" fillId="0" borderId="16" xfId="28" applyNumberFormat="1" applyFont="1" applyBorder="1"/>
    <xf numFmtId="0" fontId="5" fillId="0" borderId="10" xfId="0" applyFont="1" applyBorder="1" applyAlignment="1">
      <alignment horizontal="right"/>
    </xf>
    <xf numFmtId="3" fontId="5" fillId="0" borderId="0" xfId="0" applyNumberFormat="1" applyFont="1"/>
    <xf numFmtId="3" fontId="5" fillId="0" borderId="15" xfId="0" applyNumberFormat="1" applyFont="1" applyBorder="1"/>
    <xf numFmtId="164" fontId="5" fillId="0" borderId="16" xfId="28" applyNumberFormat="1" applyFont="1" applyBorder="1"/>
    <xf numFmtId="164" fontId="5" fillId="0" borderId="16" xfId="28" applyNumberFormat="1" applyFont="1" applyFill="1" applyBorder="1"/>
    <xf numFmtId="164" fontId="5" fillId="0" borderId="15" xfId="28" applyNumberFormat="1" applyFont="1" applyFill="1" applyBorder="1"/>
    <xf numFmtId="164" fontId="5" fillId="0" borderId="16" xfId="28" applyNumberFormat="1" applyBorder="1"/>
    <xf numFmtId="164" fontId="5" fillId="0" borderId="15" xfId="28" applyNumberFormat="1" applyBorder="1"/>
    <xf numFmtId="164" fontId="5" fillId="0" borderId="17" xfId="28" applyNumberFormat="1" applyBorder="1"/>
    <xf numFmtId="0" fontId="5" fillId="0" borderId="20" xfId="0" applyFont="1" applyBorder="1" applyAlignment="1">
      <alignment horizontal="right"/>
    </xf>
    <xf numFmtId="3" fontId="5" fillId="0" borderId="21" xfId="0" applyNumberFormat="1" applyFont="1" applyBorder="1"/>
    <xf numFmtId="3" fontId="5" fillId="0" borderId="22" xfId="0" applyNumberFormat="1" applyFont="1" applyBorder="1"/>
    <xf numFmtId="164" fontId="5" fillId="0" borderId="17" xfId="28" applyNumberFormat="1" applyFont="1" applyBorder="1"/>
    <xf numFmtId="164" fontId="10" fillId="0" borderId="0" xfId="28" applyNumberFormat="1" applyFont="1" applyBorder="1"/>
    <xf numFmtId="164" fontId="10" fillId="0" borderId="15" xfId="28" applyNumberFormat="1" applyFont="1" applyBorder="1"/>
    <xf numFmtId="3" fontId="5" fillId="0" borderId="16" xfId="0" applyNumberFormat="1" applyFont="1" applyBorder="1"/>
    <xf numFmtId="0" fontId="0" fillId="0" borderId="19" xfId="0" applyBorder="1"/>
    <xf numFmtId="3" fontId="0" fillId="0" borderId="15" xfId="0" applyNumberFormat="1" applyBorder="1"/>
    <xf numFmtId="0" fontId="0" fillId="0" borderId="35" xfId="0" applyBorder="1"/>
    <xf numFmtId="0" fontId="0" fillId="0" borderId="28" xfId="0" applyBorder="1"/>
    <xf numFmtId="0" fontId="0" fillId="0" borderId="21" xfId="0" applyBorder="1"/>
    <xf numFmtId="0" fontId="7" fillId="0" borderId="18" xfId="0" applyFont="1" applyBorder="1"/>
    <xf numFmtId="164" fontId="9" fillId="0" borderId="26" xfId="28" applyNumberFormat="1" applyFont="1" applyBorder="1"/>
    <xf numFmtId="164" fontId="5" fillId="0" borderId="16" xfId="28" applyNumberFormat="1" applyBorder="1" applyAlignment="1">
      <alignment horizontal="right"/>
    </xf>
    <xf numFmtId="0" fontId="0" fillId="0" borderId="39" xfId="0" applyBorder="1"/>
    <xf numFmtId="0" fontId="19" fillId="0" borderId="30" xfId="0" applyFont="1" applyBorder="1" applyAlignment="1">
      <alignment horizontal="center"/>
    </xf>
    <xf numFmtId="0" fontId="19" fillId="0" borderId="34" xfId="0" applyFont="1" applyBorder="1" applyAlignment="1">
      <alignment horizontal="center"/>
    </xf>
    <xf numFmtId="0" fontId="22" fillId="0" borderId="36" xfId="0" applyFont="1" applyBorder="1" applyAlignment="1">
      <alignment horizontal="center"/>
    </xf>
    <xf numFmtId="0" fontId="19" fillId="0" borderId="43" xfId="0" applyFont="1" applyBorder="1" applyAlignment="1">
      <alignment horizontal="center"/>
    </xf>
    <xf numFmtId="3" fontId="20" fillId="0" borderId="15" xfId="0" applyNumberFormat="1" applyFont="1" applyBorder="1"/>
    <xf numFmtId="0" fontId="19" fillId="0" borderId="0" xfId="0" applyFont="1" applyAlignment="1">
      <alignment horizontal="right"/>
    </xf>
    <xf numFmtId="166" fontId="20" fillId="0" borderId="45" xfId="0" applyNumberFormat="1" applyFont="1" applyBorder="1"/>
    <xf numFmtId="166" fontId="20" fillId="0" borderId="35" xfId="0" applyNumberFormat="1" applyFont="1" applyBorder="1"/>
    <xf numFmtId="3" fontId="0" fillId="0" borderId="0" xfId="0" applyNumberFormat="1"/>
    <xf numFmtId="0" fontId="22" fillId="0" borderId="46" xfId="0" applyFont="1" applyBorder="1" applyAlignment="1">
      <alignment horizontal="center"/>
    </xf>
    <xf numFmtId="0" fontId="22" fillId="0" borderId="47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0" fillId="0" borderId="50" xfId="0" applyBorder="1" applyAlignment="1">
      <alignment horizontal="center"/>
    </xf>
    <xf numFmtId="164" fontId="0" fillId="0" borderId="0" xfId="0" applyNumberFormat="1"/>
    <xf numFmtId="164" fontId="9" fillId="0" borderId="24" xfId="28" applyNumberFormat="1" applyFont="1" applyBorder="1"/>
    <xf numFmtId="164" fontId="5" fillId="0" borderId="15" xfId="28" applyNumberFormat="1" applyBorder="1" applyAlignment="1">
      <alignment horizontal="right"/>
    </xf>
    <xf numFmtId="164" fontId="5" fillId="0" borderId="22" xfId="28" applyNumberFormat="1" applyBorder="1"/>
    <xf numFmtId="164" fontId="9" fillId="0" borderId="15" xfId="28" applyNumberFormat="1" applyFont="1" applyBorder="1"/>
    <xf numFmtId="164" fontId="5" fillId="0" borderId="21" xfId="28" applyNumberFormat="1" applyBorder="1"/>
    <xf numFmtId="164" fontId="10" fillId="0" borderId="15" xfId="28" applyNumberFormat="1" applyFont="1" applyFill="1" applyBorder="1"/>
    <xf numFmtId="164" fontId="10" fillId="0" borderId="0" xfId="28" applyNumberFormat="1" applyFont="1" applyFill="1" applyBorder="1"/>
    <xf numFmtId="164" fontId="9" fillId="0" borderId="48" xfId="28" applyNumberFormat="1" applyFont="1" applyBorder="1"/>
    <xf numFmtId="0" fontId="20" fillId="0" borderId="0" xfId="0" applyFont="1" applyAlignment="1">
      <alignment horizontal="center"/>
    </xf>
    <xf numFmtId="0" fontId="5" fillId="0" borderId="0" xfId="0" applyFont="1"/>
    <xf numFmtId="0" fontId="22" fillId="0" borderId="2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2" fillId="0" borderId="25" xfId="0" applyFont="1" applyBorder="1" applyAlignment="1">
      <alignment horizontal="center"/>
    </xf>
    <xf numFmtId="3" fontId="19" fillId="0" borderId="27" xfId="0" applyNumberFormat="1" applyFont="1" applyBorder="1"/>
    <xf numFmtId="0" fontId="5" fillId="0" borderId="0" xfId="0" applyFont="1" applyAlignment="1">
      <alignment horizontal="left"/>
    </xf>
    <xf numFmtId="164" fontId="9" fillId="0" borderId="24" xfId="28" applyNumberFormat="1" applyFont="1" applyFill="1" applyBorder="1"/>
    <xf numFmtId="164" fontId="5" fillId="0" borderId="22" xfId="28" applyNumberFormat="1" applyFill="1" applyBorder="1"/>
    <xf numFmtId="3" fontId="0" fillId="0" borderId="22" xfId="0" applyNumberFormat="1" applyBorder="1"/>
    <xf numFmtId="0" fontId="0" fillId="0" borderId="0" xfId="0" applyAlignment="1">
      <alignment horizontal="centerContinuous"/>
    </xf>
    <xf numFmtId="0" fontId="16" fillId="0" borderId="0" xfId="0" applyFont="1" applyAlignment="1">
      <alignment horizontal="left"/>
    </xf>
    <xf numFmtId="0" fontId="16" fillId="0" borderId="35" xfId="0" applyFont="1" applyBorder="1" applyAlignment="1">
      <alignment horizontal="left"/>
    </xf>
    <xf numFmtId="165" fontId="20" fillId="0" borderId="53" xfId="0" applyNumberFormat="1" applyFont="1" applyBorder="1"/>
    <xf numFmtId="0" fontId="18" fillId="0" borderId="21" xfId="0" applyFont="1" applyBorder="1" applyAlignment="1">
      <alignment horizontal="centerContinuous"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6" fillId="0" borderId="21" xfId="0" applyFont="1" applyBorder="1" applyAlignment="1">
      <alignment horizontal="centerContinuous" vertical="center"/>
    </xf>
    <xf numFmtId="0" fontId="10" fillId="0" borderId="23" xfId="0" applyFont="1" applyBorder="1" applyAlignment="1">
      <alignment horizontal="left"/>
    </xf>
    <xf numFmtId="166" fontId="20" fillId="0" borderId="54" xfId="0" applyNumberFormat="1" applyFont="1" applyBorder="1"/>
    <xf numFmtId="0" fontId="0" fillId="0" borderId="31" xfId="0" applyBorder="1" applyAlignment="1">
      <alignment horizontal="centerContinuous"/>
    </xf>
    <xf numFmtId="164" fontId="10" fillId="24" borderId="0" xfId="28" applyNumberFormat="1" applyFont="1" applyFill="1" applyBorder="1"/>
    <xf numFmtId="37" fontId="10" fillId="0" borderId="15" xfId="28" applyNumberFormat="1" applyFont="1" applyFill="1" applyBorder="1"/>
    <xf numFmtId="0" fontId="8" fillId="0" borderId="41" xfId="0" applyFont="1" applyBorder="1" applyAlignment="1">
      <alignment horizontal="centerContinuous"/>
    </xf>
    <xf numFmtId="0" fontId="8" fillId="0" borderId="31" xfId="0" applyFont="1" applyBorder="1" applyAlignment="1">
      <alignment horizontal="centerContinuous"/>
    </xf>
    <xf numFmtId="0" fontId="3" fillId="0" borderId="10" xfId="0" applyFont="1" applyBorder="1" applyAlignment="1">
      <alignment horizontal="right"/>
    </xf>
    <xf numFmtId="0" fontId="3" fillId="0" borderId="15" xfId="0" applyFont="1" applyBorder="1" applyAlignment="1">
      <alignment horizontal="center"/>
    </xf>
    <xf numFmtId="0" fontId="21" fillId="0" borderId="42" xfId="0" applyFont="1" applyBorder="1" applyAlignment="1">
      <alignment horizontal="center"/>
    </xf>
    <xf numFmtId="0" fontId="21" fillId="0" borderId="30" xfId="0" applyFont="1" applyBorder="1" applyAlignment="1">
      <alignment horizontal="center"/>
    </xf>
    <xf numFmtId="0" fontId="21" fillId="0" borderId="31" xfId="0" applyFont="1" applyBorder="1" applyAlignment="1">
      <alignment horizontal="center"/>
    </xf>
    <xf numFmtId="0" fontId="21" fillId="0" borderId="49" xfId="0" applyFont="1" applyBorder="1" applyAlignment="1">
      <alignment horizontal="center"/>
    </xf>
    <xf numFmtId="0" fontId="21" fillId="0" borderId="51" xfId="0" applyFont="1" applyBorder="1" applyAlignment="1">
      <alignment horizontal="center"/>
    </xf>
    <xf numFmtId="0" fontId="19" fillId="0" borderId="31" xfId="0" applyFont="1" applyBorder="1" applyAlignment="1">
      <alignment horizontal="center"/>
    </xf>
    <xf numFmtId="0" fontId="6" fillId="0" borderId="0" xfId="0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6" fillId="0" borderId="52" xfId="0" applyFont="1" applyBorder="1" applyAlignment="1">
      <alignment horizontal="left"/>
    </xf>
    <xf numFmtId="0" fontId="0" fillId="0" borderId="37" xfId="0" applyBorder="1"/>
    <xf numFmtId="164" fontId="9" fillId="0" borderId="48" xfId="28" applyNumberFormat="1" applyFont="1" applyFill="1" applyBorder="1"/>
    <xf numFmtId="3" fontId="0" fillId="0" borderId="21" xfId="0" applyNumberFormat="1" applyBorder="1"/>
    <xf numFmtId="164" fontId="9" fillId="0" borderId="64" xfId="28" applyNumberFormat="1" applyFont="1" applyFill="1" applyBorder="1"/>
    <xf numFmtId="3" fontId="0" fillId="0" borderId="25" xfId="0" applyNumberFormat="1" applyBorder="1"/>
    <xf numFmtId="3" fontId="0" fillId="0" borderId="65" xfId="0" applyNumberFormat="1" applyBorder="1"/>
    <xf numFmtId="0" fontId="7" fillId="0" borderId="16" xfId="0" applyFont="1" applyBorder="1" applyAlignment="1">
      <alignment horizontal="center"/>
    </xf>
    <xf numFmtId="0" fontId="0" fillId="0" borderId="34" xfId="0" applyBorder="1" applyAlignment="1">
      <alignment horizontal="centerContinuous"/>
    </xf>
    <xf numFmtId="0" fontId="0" fillId="0" borderId="0" xfId="0" applyAlignment="1">
      <alignment horizontal="left" vertical="center"/>
    </xf>
    <xf numFmtId="0" fontId="9" fillId="0" borderId="64" xfId="28" applyNumberFormat="1" applyFont="1" applyFill="1" applyBorder="1" applyAlignment="1">
      <alignment horizontal="center"/>
    </xf>
    <xf numFmtId="0" fontId="7" fillId="0" borderId="10" xfId="0" applyFont="1" applyBorder="1"/>
    <xf numFmtId="0" fontId="17" fillId="0" borderId="0" xfId="0" applyFont="1" applyAlignment="1">
      <alignment wrapText="1"/>
    </xf>
    <xf numFmtId="0" fontId="0" fillId="0" borderId="0" xfId="0" applyAlignment="1">
      <alignment wrapText="1"/>
    </xf>
    <xf numFmtId="0" fontId="19" fillId="0" borderId="36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0" fillId="0" borderId="38" xfId="0" applyBorder="1"/>
    <xf numFmtId="0" fontId="0" fillId="0" borderId="28" xfId="0" applyBorder="1"/>
    <xf numFmtId="0" fontId="22" fillId="0" borderId="16" xfId="0" applyFont="1" applyBorder="1" applyAlignment="1">
      <alignment horizontal="center"/>
    </xf>
    <xf numFmtId="0" fontId="0" fillId="0" borderId="23" xfId="0" applyBorder="1"/>
    <xf numFmtId="0" fontId="20" fillId="0" borderId="36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21" fillId="0" borderId="41" xfId="0" applyFont="1" applyBorder="1" applyAlignment="1">
      <alignment horizontal="center"/>
    </xf>
    <xf numFmtId="0" fontId="0" fillId="0" borderId="32" xfId="0" applyBorder="1"/>
    <xf numFmtId="0" fontId="16" fillId="0" borderId="36" xfId="0" applyFont="1" applyBorder="1" applyAlignment="1">
      <alignment horizontal="left"/>
    </xf>
    <xf numFmtId="0" fontId="0" fillId="0" borderId="0" xfId="0"/>
    <xf numFmtId="0" fontId="0" fillId="0" borderId="36" xfId="0" applyBorder="1"/>
    <xf numFmtId="0" fontId="19" fillId="0" borderId="29" xfId="0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20" fillId="0" borderId="44" xfId="0" applyFont="1" applyBorder="1" applyAlignment="1">
      <alignment horizontal="center"/>
    </xf>
    <xf numFmtId="0" fontId="0" fillId="0" borderId="33" xfId="0" applyBorder="1" applyAlignment="1">
      <alignment horizontal="center"/>
    </xf>
  </cellXfs>
  <cellStyles count="101">
    <cellStyle name="20% - Accent1" xfId="1" builtinId="30" customBuiltin="1"/>
    <cellStyle name="20% - Accent1 2" xfId="51" xr:uid="{00000000-0005-0000-0000-000001000000}"/>
    <cellStyle name="20% - Accent2" xfId="2" builtinId="34" customBuiltin="1"/>
    <cellStyle name="20% - Accent2 2" xfId="52" xr:uid="{00000000-0005-0000-0000-000003000000}"/>
    <cellStyle name="20% - Accent3" xfId="3" builtinId="38" customBuiltin="1"/>
    <cellStyle name="20% - Accent3 2" xfId="53" xr:uid="{00000000-0005-0000-0000-000005000000}"/>
    <cellStyle name="20% - Accent4" xfId="4" builtinId="42" customBuiltin="1"/>
    <cellStyle name="20% - Accent4 2" xfId="54" xr:uid="{00000000-0005-0000-0000-000007000000}"/>
    <cellStyle name="20% - Accent5" xfId="5" builtinId="46" customBuiltin="1"/>
    <cellStyle name="20% - Accent5 2" xfId="55" xr:uid="{00000000-0005-0000-0000-000009000000}"/>
    <cellStyle name="20% - Accent6" xfId="6" builtinId="50" customBuiltin="1"/>
    <cellStyle name="20% - Accent6 2" xfId="56" xr:uid="{00000000-0005-0000-0000-00000B000000}"/>
    <cellStyle name="40% - Accent1" xfId="7" builtinId="31" customBuiltin="1"/>
    <cellStyle name="40% - Accent1 2" xfId="57" xr:uid="{00000000-0005-0000-0000-00000D000000}"/>
    <cellStyle name="40% - Accent2" xfId="8" builtinId="35" customBuiltin="1"/>
    <cellStyle name="40% - Accent2 2" xfId="58" xr:uid="{00000000-0005-0000-0000-00000F000000}"/>
    <cellStyle name="40% - Accent3" xfId="9" builtinId="39" customBuiltin="1"/>
    <cellStyle name="40% - Accent3 2" xfId="59" xr:uid="{00000000-0005-0000-0000-000011000000}"/>
    <cellStyle name="40% - Accent4" xfId="10" builtinId="43" customBuiltin="1"/>
    <cellStyle name="40% - Accent4 2" xfId="60" xr:uid="{00000000-0005-0000-0000-000013000000}"/>
    <cellStyle name="40% - Accent5" xfId="11" builtinId="47" customBuiltin="1"/>
    <cellStyle name="40% - Accent5 2" xfId="61" xr:uid="{00000000-0005-0000-0000-000015000000}"/>
    <cellStyle name="40% - Accent6" xfId="12" builtinId="51" customBuiltin="1"/>
    <cellStyle name="40% - Accent6 2" xfId="62" xr:uid="{00000000-0005-0000-0000-000017000000}"/>
    <cellStyle name="60% - Accent1" xfId="13" builtinId="32" customBuiltin="1"/>
    <cellStyle name="60% - Accent1 2" xfId="63" xr:uid="{00000000-0005-0000-0000-000019000000}"/>
    <cellStyle name="60% - Accent2" xfId="14" builtinId="36" customBuiltin="1"/>
    <cellStyle name="60% - Accent2 2" xfId="64" xr:uid="{00000000-0005-0000-0000-00001B000000}"/>
    <cellStyle name="60% - Accent3" xfId="15" builtinId="40" customBuiltin="1"/>
    <cellStyle name="60% - Accent3 2" xfId="65" xr:uid="{00000000-0005-0000-0000-00001D000000}"/>
    <cellStyle name="60% - Accent4" xfId="16" builtinId="44" customBuiltin="1"/>
    <cellStyle name="60% - Accent4 2" xfId="66" xr:uid="{00000000-0005-0000-0000-00001F000000}"/>
    <cellStyle name="60% - Accent5" xfId="17" builtinId="48" customBuiltin="1"/>
    <cellStyle name="60% - Accent5 2" xfId="67" xr:uid="{00000000-0005-0000-0000-000021000000}"/>
    <cellStyle name="60% - Accent6" xfId="18" builtinId="52" customBuiltin="1"/>
    <cellStyle name="60% - Accent6 2" xfId="68" xr:uid="{00000000-0005-0000-0000-000023000000}"/>
    <cellStyle name="Accent1" xfId="19" builtinId="29" customBuiltin="1"/>
    <cellStyle name="Accent1 2" xfId="69" xr:uid="{00000000-0005-0000-0000-000025000000}"/>
    <cellStyle name="Accent2" xfId="20" builtinId="33" customBuiltin="1"/>
    <cellStyle name="Accent2 2" xfId="70" xr:uid="{00000000-0005-0000-0000-000027000000}"/>
    <cellStyle name="Accent3" xfId="21" builtinId="37" customBuiltin="1"/>
    <cellStyle name="Accent3 2" xfId="71" xr:uid="{00000000-0005-0000-0000-000029000000}"/>
    <cellStyle name="Accent4" xfId="22" builtinId="41" customBuiltin="1"/>
    <cellStyle name="Accent4 2" xfId="72" xr:uid="{00000000-0005-0000-0000-00002B000000}"/>
    <cellStyle name="Accent5" xfId="23" builtinId="45" customBuiltin="1"/>
    <cellStyle name="Accent5 2" xfId="73" xr:uid="{00000000-0005-0000-0000-00002D000000}"/>
    <cellStyle name="Accent6" xfId="24" builtinId="49" customBuiltin="1"/>
    <cellStyle name="Accent6 2" xfId="74" xr:uid="{00000000-0005-0000-0000-00002F000000}"/>
    <cellStyle name="Bad" xfId="25" builtinId="27" customBuiltin="1"/>
    <cellStyle name="Bad 2" xfId="75" xr:uid="{00000000-0005-0000-0000-000031000000}"/>
    <cellStyle name="Calculation" xfId="26" builtinId="22" customBuiltin="1"/>
    <cellStyle name="Calculation 2" xfId="76" xr:uid="{00000000-0005-0000-0000-000033000000}"/>
    <cellStyle name="Check Cell" xfId="27" builtinId="23" customBuiltin="1"/>
    <cellStyle name="Check Cell 2" xfId="77" xr:uid="{00000000-0005-0000-0000-000035000000}"/>
    <cellStyle name="Comma" xfId="28" builtinId="3"/>
    <cellStyle name="Date" xfId="29" xr:uid="{00000000-0005-0000-0000-000037000000}"/>
    <cellStyle name="Explanatory Text" xfId="30" builtinId="53" customBuiltin="1"/>
    <cellStyle name="Explanatory Text 2" xfId="78" xr:uid="{00000000-0005-0000-0000-000039000000}"/>
    <cellStyle name="Fixed" xfId="31" xr:uid="{00000000-0005-0000-0000-00003A000000}"/>
    <cellStyle name="Good" xfId="32" builtinId="26" customBuiltin="1"/>
    <cellStyle name="Good 2" xfId="79" xr:uid="{00000000-0005-0000-0000-00003C000000}"/>
    <cellStyle name="Heading 1" xfId="33" builtinId="16" customBuiltin="1"/>
    <cellStyle name="Heading 1 2" xfId="80" xr:uid="{00000000-0005-0000-0000-00003E000000}"/>
    <cellStyle name="Heading 2" xfId="34" builtinId="17" customBuiltin="1"/>
    <cellStyle name="Heading 2 2" xfId="81" xr:uid="{00000000-0005-0000-0000-000040000000}"/>
    <cellStyle name="Heading 3" xfId="35" builtinId="18" customBuiltin="1"/>
    <cellStyle name="Heading 3 2" xfId="82" xr:uid="{00000000-0005-0000-0000-000042000000}"/>
    <cellStyle name="Heading 4" xfId="36" builtinId="19" customBuiltin="1"/>
    <cellStyle name="Heading 4 2" xfId="83" xr:uid="{00000000-0005-0000-0000-000044000000}"/>
    <cellStyle name="HEADING1" xfId="37" xr:uid="{00000000-0005-0000-0000-000045000000}"/>
    <cellStyle name="HEADING2" xfId="38" xr:uid="{00000000-0005-0000-0000-000046000000}"/>
    <cellStyle name="Input" xfId="39" builtinId="20" customBuiltin="1"/>
    <cellStyle name="Input 2" xfId="84" xr:uid="{00000000-0005-0000-0000-000048000000}"/>
    <cellStyle name="Linked Cell" xfId="40" builtinId="24" customBuiltin="1"/>
    <cellStyle name="Linked Cell 2" xfId="85" xr:uid="{00000000-0005-0000-0000-00004A000000}"/>
    <cellStyle name="Neutral" xfId="41" builtinId="28" customBuiltin="1"/>
    <cellStyle name="Neutral 2" xfId="86" xr:uid="{00000000-0005-0000-0000-00004C000000}"/>
    <cellStyle name="Normal" xfId="0" builtinId="0"/>
    <cellStyle name="Normal 10" xfId="100" xr:uid="{00000000-0005-0000-0000-00004E000000}"/>
    <cellStyle name="Normal 2" xfId="42" xr:uid="{00000000-0005-0000-0000-00004F000000}"/>
    <cellStyle name="Normal 2 2" xfId="49" xr:uid="{00000000-0005-0000-0000-000050000000}"/>
    <cellStyle name="Normal 2 2 2" xfId="88" xr:uid="{00000000-0005-0000-0000-000051000000}"/>
    <cellStyle name="Normal 2 3" xfId="87" xr:uid="{00000000-0005-0000-0000-000052000000}"/>
    <cellStyle name="Normal 3" xfId="48" xr:uid="{00000000-0005-0000-0000-000053000000}"/>
    <cellStyle name="Normal 3 2" xfId="89" xr:uid="{00000000-0005-0000-0000-000054000000}"/>
    <cellStyle name="Normal 4" xfId="90" xr:uid="{00000000-0005-0000-0000-000055000000}"/>
    <cellStyle name="Normal 5" xfId="91" xr:uid="{00000000-0005-0000-0000-000056000000}"/>
    <cellStyle name="Normal 6" xfId="92" xr:uid="{00000000-0005-0000-0000-000057000000}"/>
    <cellStyle name="Normal 7" xfId="93" xr:uid="{00000000-0005-0000-0000-000058000000}"/>
    <cellStyle name="Normal 8" xfId="94" xr:uid="{00000000-0005-0000-0000-000059000000}"/>
    <cellStyle name="Normal 9" xfId="50" xr:uid="{00000000-0005-0000-0000-00005A000000}"/>
    <cellStyle name="Note" xfId="43" builtinId="10" customBuiltin="1"/>
    <cellStyle name="Note 2" xfId="95" xr:uid="{00000000-0005-0000-0000-00005C000000}"/>
    <cellStyle name="Output" xfId="44" builtinId="21" customBuiltin="1"/>
    <cellStyle name="Output 2" xfId="96" xr:uid="{00000000-0005-0000-0000-00005E000000}"/>
    <cellStyle name="Title" xfId="45" builtinId="15" customBuiltin="1"/>
    <cellStyle name="Title 2" xfId="97" xr:uid="{00000000-0005-0000-0000-000060000000}"/>
    <cellStyle name="Total" xfId="46" builtinId="25" customBuiltin="1"/>
    <cellStyle name="Total 2" xfId="98" xr:uid="{00000000-0005-0000-0000-000062000000}"/>
    <cellStyle name="Warning Text" xfId="47" builtinId="11" customBuiltin="1"/>
    <cellStyle name="Warning Text 2" xfId="99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3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Graduate Enrollment </a:t>
            </a:r>
            <a:endParaRPr lang="en-US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Men vs. Women</a:t>
            </a:r>
          </a:p>
        </c:rich>
      </c:tx>
      <c:layout>
        <c:manualLayout>
          <c:xMode val="edge"/>
          <c:yMode val="edge"/>
          <c:x val="0.29782627565255132"/>
          <c:y val="3.002309468822170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76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7668836977792163"/>
          <c:y val="0.15003061130107573"/>
          <c:w val="0.79287803296843662"/>
          <c:h val="0.632795170859161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'Grad demo &amp; graph'!$B$11</c:f>
              <c:strCache>
                <c:ptCount val="1"/>
                <c:pt idx="0">
                  <c:v>Men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3185890546026386E-3"/>
                  <c:y val="0.155498495102255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CF-4A5B-8ECB-3A93B07C2734}"/>
                </c:ext>
              </c:extLst>
            </c:dLbl>
            <c:dLbl>
              <c:idx val="1"/>
              <c:layout>
                <c:manualLayout>
                  <c:x val="6.3667219398277973E-7"/>
                  <c:y val="0.1774380591737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CF-4A5B-8ECB-3A93B07C2734}"/>
                </c:ext>
              </c:extLst>
            </c:dLbl>
            <c:dLbl>
              <c:idx val="2"/>
              <c:layout>
                <c:manualLayout>
                  <c:x val="2.3200906313311266E-3"/>
                  <c:y val="0.1526310360699947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CF-4A5B-8ECB-3A93B07C2734}"/>
                </c:ext>
              </c:extLst>
            </c:dLbl>
            <c:dLbl>
              <c:idx val="3"/>
              <c:layout>
                <c:manualLayout>
                  <c:x val="6.8132317091758538E-3"/>
                  <c:y val="0.124480717061082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CF-4A5B-8ECB-3A93B07C2734}"/>
                </c:ext>
              </c:extLst>
            </c:dLbl>
            <c:dLbl>
              <c:idx val="4"/>
              <c:layout>
                <c:manualLayout>
                  <c:x val="2.610711382828269E-3"/>
                  <c:y val="0.139882762962966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CF-4A5B-8ECB-3A93B07C2734}"/>
                </c:ext>
              </c:extLst>
            </c:dLbl>
            <c:dLbl>
              <c:idx val="5"/>
              <c:layout>
                <c:manualLayout>
                  <c:x val="1.8987773593144479E-3"/>
                  <c:y val="0.117295576631372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CF-4A5B-8ECB-3A93B07C2734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'Grad demo &amp; graph'!$AB$5:$AF$5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'Grad demo &amp; graph'!$AB$11:$AF$11</c:f>
              <c:numCache>
                <c:formatCode>#,##0</c:formatCode>
                <c:ptCount val="5"/>
                <c:pt idx="0">
                  <c:v>1698</c:v>
                </c:pt>
                <c:pt idx="1">
                  <c:v>1719</c:v>
                </c:pt>
                <c:pt idx="2">
                  <c:v>1762</c:v>
                </c:pt>
                <c:pt idx="3">
                  <c:v>1717</c:v>
                </c:pt>
                <c:pt idx="4">
                  <c:v>1628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5CF-4A5B-8ECB-3A93B07C2734}"/>
            </c:ext>
          </c:extLst>
        </c:ser>
        <c:ser>
          <c:idx val="1"/>
          <c:order val="1"/>
          <c:tx>
            <c:strRef>
              <c:f>'Grad demo &amp; graph'!$B$12</c:f>
              <c:strCache>
                <c:ptCount val="1"/>
                <c:pt idx="0">
                  <c:v>Women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1371578920468635E-4"/>
                  <c:y val="0.1672154389484723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5CF-4A5B-8ECB-3A93B07C2734}"/>
                </c:ext>
              </c:extLst>
            </c:dLbl>
            <c:dLbl>
              <c:idx val="1"/>
              <c:layout>
                <c:manualLayout>
                  <c:x val="1.905509937591935E-3"/>
                  <c:y val="0.130399144113209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5CF-4A5B-8ECB-3A93B07C2734}"/>
                </c:ext>
              </c:extLst>
            </c:dLbl>
            <c:dLbl>
              <c:idx val="2"/>
              <c:layout>
                <c:manualLayout>
                  <c:x val="4.224963896729079E-3"/>
                  <c:y val="0.151249299569381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5CF-4A5B-8ECB-3A93B07C2734}"/>
                </c:ext>
              </c:extLst>
            </c:dLbl>
            <c:dLbl>
              <c:idx val="3"/>
              <c:layout>
                <c:manualLayout>
                  <c:x val="2.1963589214295445E-3"/>
                  <c:y val="0.143135990164206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5CF-4A5B-8ECB-3A93B07C2734}"/>
                </c:ext>
              </c:extLst>
            </c:dLbl>
            <c:dLbl>
              <c:idx val="4"/>
              <c:layout>
                <c:manualLayout>
                  <c:x val="4.5158128805667438E-3"/>
                  <c:y val="0.161595740727286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5CF-4A5B-8ECB-3A93B07C2734}"/>
                </c:ext>
              </c:extLst>
            </c:dLbl>
            <c:dLbl>
              <c:idx val="5"/>
              <c:layout>
                <c:manualLayout>
                  <c:x val="1.0234157524152611E-3"/>
                  <c:y val="0.134595729051634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5CF-4A5B-8ECB-3A93B07C2734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'Grad demo &amp; graph'!$AB$5:$AF$5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'Grad demo &amp; graph'!$AB$12:$AF$12</c:f>
              <c:numCache>
                <c:formatCode>#,##0</c:formatCode>
                <c:ptCount val="5"/>
                <c:pt idx="0">
                  <c:v>2436</c:v>
                </c:pt>
                <c:pt idx="1">
                  <c:v>2477</c:v>
                </c:pt>
                <c:pt idx="2">
                  <c:v>2394</c:v>
                </c:pt>
                <c:pt idx="3">
                  <c:v>2434</c:v>
                </c:pt>
                <c:pt idx="4">
                  <c:v>2535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5CF-4A5B-8ECB-3A93B07C2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8486760"/>
        <c:axId val="408487152"/>
        <c:axId val="0"/>
      </c:bar3DChart>
      <c:catAx>
        <c:axId val="408486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Fall Semester</a:t>
                </a:r>
              </a:p>
            </c:rich>
          </c:tx>
          <c:layout>
            <c:manualLayout>
              <c:xMode val="edge"/>
              <c:yMode val="edge"/>
              <c:x val="0.4652177237687809"/>
              <c:y val="0.849885496414564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8487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84871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Headcount</a:t>
                </a:r>
              </a:p>
            </c:rich>
          </c:tx>
          <c:layout>
            <c:manualLayout>
              <c:xMode val="edge"/>
              <c:yMode val="edge"/>
              <c:x val="3.913055159443652E-2"/>
              <c:y val="0.408776466452086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84867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739803810332301"/>
          <c:y val="0.91677518874522046"/>
          <c:w val="0.33331199136389977"/>
          <c:h val="4.618937644341802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Graduate Degrees Conferred 
FY 2001
 to FY 2005
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85"/>
      <c:rotY val="20"/>
      <c:depthPercent val="100"/>
      <c:rAngAx val="1"/>
    </c:view3D>
    <c:floor>
      <c:thickness val="0"/>
      <c:spPr>
        <a:solidFill>
          <a:srgbClr val="FFFFFF"/>
        </a:solidFill>
        <a:ln w="9525">
          <a:noFill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Masters</c:v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86B-4982-A984-49F72F16D9C5}"/>
            </c:ext>
          </c:extLst>
        </c:ser>
        <c:ser>
          <c:idx val="1"/>
          <c:order val="1"/>
          <c:tx>
            <c:v>Doctorate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86B-4982-A984-49F72F16D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8488328"/>
        <c:axId val="408611800"/>
        <c:axId val="0"/>
      </c:bar3DChart>
      <c:catAx>
        <c:axId val="408488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Fiscal Year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86118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086118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Number of Degrees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84883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260681</xdr:colOff>
      <xdr:row>28</xdr:row>
      <xdr:rowOff>50133</xdr:rowOff>
    </xdr:from>
    <xdr:to>
      <xdr:col>32</xdr:col>
      <xdr:colOff>0</xdr:colOff>
      <xdr:row>52</xdr:row>
      <xdr:rowOff>157370</xdr:rowOff>
    </xdr:to>
    <xdr:graphicFrame macro="">
      <xdr:nvGraphicFramePr>
        <xdr:cNvPr id="13540" name="Chart 1">
          <a:extLst>
            <a:ext uri="{FF2B5EF4-FFF2-40B4-BE49-F238E27FC236}">
              <a16:creationId xmlns:a16="http://schemas.microsoft.com/office/drawing/2014/main" id="{00000000-0008-0000-0000-0000E4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19</xdr:row>
      <xdr:rowOff>0</xdr:rowOff>
    </xdr:from>
    <xdr:to>
      <xdr:col>8</xdr:col>
      <xdr:colOff>0</xdr:colOff>
      <xdr:row>21</xdr:row>
      <xdr:rowOff>0</xdr:rowOff>
    </xdr:to>
    <xdr:graphicFrame macro="">
      <xdr:nvGraphicFramePr>
        <xdr:cNvPr id="14564" name="Chart 2">
          <a:extLst>
            <a:ext uri="{FF2B5EF4-FFF2-40B4-BE49-F238E27FC236}">
              <a16:creationId xmlns:a16="http://schemas.microsoft.com/office/drawing/2014/main" id="{00000000-0008-0000-0100-0000E4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7">
    <tabColor indexed="11"/>
    <pageSetUpPr fitToPage="1"/>
  </sheetPr>
  <dimension ref="A1:AG59"/>
  <sheetViews>
    <sheetView view="pageBreakPreview" topLeftCell="A2" zoomScale="115" zoomScaleNormal="115" zoomScaleSheetLayoutView="115" workbookViewId="0">
      <selection activeCell="AF24" sqref="AF24"/>
    </sheetView>
  </sheetViews>
  <sheetFormatPr defaultRowHeight="12.75" x14ac:dyDescent="0.2"/>
  <cols>
    <col min="1" max="1" width="4" customWidth="1"/>
    <col min="2" max="2" width="22.85546875" customWidth="1"/>
    <col min="3" max="5" width="9" hidden="1" customWidth="1"/>
    <col min="6" max="11" width="8.7109375" hidden="1" customWidth="1"/>
    <col min="12" max="12" width="10.5703125" hidden="1" customWidth="1"/>
    <col min="13" max="13" width="11" hidden="1" customWidth="1"/>
    <col min="14" max="14" width="10.5703125" hidden="1" customWidth="1"/>
    <col min="15" max="15" width="11.28515625" hidden="1" customWidth="1"/>
    <col min="16" max="16" width="11.5703125" hidden="1" customWidth="1"/>
    <col min="17" max="20" width="9.85546875" hidden="1" customWidth="1"/>
    <col min="21" max="27" width="8.7109375" hidden="1" customWidth="1"/>
    <col min="28" max="28" width="8.7109375" customWidth="1"/>
  </cols>
  <sheetData>
    <row r="1" spans="1:33" ht="24" customHeight="1" x14ac:dyDescent="0.2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1:33" ht="23.25" customHeight="1" x14ac:dyDescent="0.35">
      <c r="A2" s="71" t="s">
        <v>38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</row>
    <row r="3" spans="1:33" ht="13.5" thickBot="1" x14ac:dyDescent="0.25">
      <c r="W3" s="28"/>
      <c r="X3" s="28"/>
      <c r="Y3" s="28"/>
      <c r="Z3" s="28"/>
      <c r="AA3" s="28"/>
      <c r="AB3" s="28"/>
      <c r="AC3" s="28"/>
      <c r="AD3" s="28"/>
      <c r="AE3" s="28"/>
    </row>
    <row r="4" spans="1:33" ht="16.5" thickTop="1" x14ac:dyDescent="0.25">
      <c r="B4" s="29"/>
      <c r="C4" s="79" t="s">
        <v>0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 t="s">
        <v>46</v>
      </c>
      <c r="U4" s="80"/>
      <c r="V4" s="80"/>
      <c r="W4" s="76"/>
      <c r="X4" s="76"/>
      <c r="Y4" s="76"/>
      <c r="Z4" s="76"/>
      <c r="AA4" s="76"/>
      <c r="AB4" s="76"/>
      <c r="AC4" s="76"/>
      <c r="AD4" s="76"/>
      <c r="AE4" s="76"/>
      <c r="AF4" s="101"/>
    </row>
    <row r="5" spans="1:33" x14ac:dyDescent="0.2">
      <c r="B5" s="1"/>
      <c r="C5" s="4" t="s">
        <v>1</v>
      </c>
      <c r="D5" s="3" t="s">
        <v>2</v>
      </c>
      <c r="E5" s="4" t="s">
        <v>3</v>
      </c>
      <c r="F5" s="3" t="s">
        <v>4</v>
      </c>
      <c r="G5" s="4" t="s">
        <v>5</v>
      </c>
      <c r="H5" s="3" t="s">
        <v>6</v>
      </c>
      <c r="I5" s="3">
        <v>1996</v>
      </c>
      <c r="J5" s="3">
        <v>1997</v>
      </c>
      <c r="K5" s="4">
        <v>1998</v>
      </c>
      <c r="L5" s="2">
        <v>1999</v>
      </c>
      <c r="M5" s="2">
        <v>2000</v>
      </c>
      <c r="N5" s="2">
        <v>2001</v>
      </c>
      <c r="O5" s="3">
        <v>2002</v>
      </c>
      <c r="P5" s="3">
        <v>2003</v>
      </c>
      <c r="Q5" s="3">
        <v>2004</v>
      </c>
      <c r="R5" s="4">
        <v>2005</v>
      </c>
      <c r="S5" s="3">
        <v>2006</v>
      </c>
      <c r="T5" s="4">
        <v>2007</v>
      </c>
      <c r="U5" s="3">
        <v>2008</v>
      </c>
      <c r="V5" s="3">
        <v>2009</v>
      </c>
      <c r="W5" s="3">
        <v>2010</v>
      </c>
      <c r="X5" s="3">
        <v>2011</v>
      </c>
      <c r="Y5" s="3">
        <v>2012</v>
      </c>
      <c r="Z5" s="3">
        <v>2013</v>
      </c>
      <c r="AA5" s="3">
        <v>2014</v>
      </c>
      <c r="AB5" s="3">
        <v>2021</v>
      </c>
      <c r="AC5" s="3">
        <v>2022</v>
      </c>
      <c r="AD5" s="3">
        <v>2023</v>
      </c>
      <c r="AE5" s="4">
        <v>2024</v>
      </c>
      <c r="AF5" s="103">
        <v>2025</v>
      </c>
      <c r="AG5" s="100"/>
    </row>
    <row r="6" spans="1:33" x14ac:dyDescent="0.2">
      <c r="B6" s="104" t="s">
        <v>59</v>
      </c>
      <c r="C6" s="5">
        <f t="shared" ref="C6:Q6" si="0">SUM(C7:C8)</f>
        <v>3399</v>
      </c>
      <c r="D6" s="6">
        <f t="shared" si="0"/>
        <v>3247</v>
      </c>
      <c r="E6" s="5">
        <f t="shared" si="0"/>
        <v>3277</v>
      </c>
      <c r="F6" s="6">
        <f t="shared" si="0"/>
        <v>3260</v>
      </c>
      <c r="G6" s="5">
        <f t="shared" si="0"/>
        <v>3310</v>
      </c>
      <c r="H6" s="6">
        <f t="shared" si="0"/>
        <v>3096</v>
      </c>
      <c r="I6" s="6">
        <f t="shared" si="0"/>
        <v>3017</v>
      </c>
      <c r="J6" s="6">
        <f t="shared" si="0"/>
        <v>2986</v>
      </c>
      <c r="K6" s="5">
        <f t="shared" si="0"/>
        <v>2958</v>
      </c>
      <c r="L6" s="7">
        <f t="shared" si="0"/>
        <v>3244</v>
      </c>
      <c r="M6" s="7">
        <f t="shared" si="0"/>
        <v>3277</v>
      </c>
      <c r="N6" s="7">
        <f t="shared" si="0"/>
        <v>3225</v>
      </c>
      <c r="O6" s="47">
        <f t="shared" si="0"/>
        <v>3309</v>
      </c>
      <c r="P6" s="50">
        <f t="shared" si="0"/>
        <v>3534</v>
      </c>
      <c r="Q6" s="50">
        <f t="shared" si="0"/>
        <v>3619</v>
      </c>
      <c r="R6" s="30">
        <f t="shared" ref="R6:W6" si="1">SUM(R7:R8)</f>
        <v>3916</v>
      </c>
      <c r="S6" s="47">
        <f t="shared" si="1"/>
        <v>4359</v>
      </c>
      <c r="T6" s="54">
        <f t="shared" si="1"/>
        <v>4359</v>
      </c>
      <c r="U6" s="62">
        <f t="shared" si="1"/>
        <v>4590</v>
      </c>
      <c r="V6" s="62">
        <f t="shared" si="1"/>
        <v>4366</v>
      </c>
      <c r="W6" s="62">
        <f t="shared" si="1"/>
        <v>3921</v>
      </c>
      <c r="X6" s="62">
        <f t="shared" ref="X6:AA6" si="2">SUM(X7:X8)</f>
        <v>4021</v>
      </c>
      <c r="Y6" s="62">
        <f t="shared" si="2"/>
        <v>4061</v>
      </c>
      <c r="Z6" s="62">
        <f t="shared" si="2"/>
        <v>3947</v>
      </c>
      <c r="AA6" s="62">
        <f t="shared" si="2"/>
        <v>3963</v>
      </c>
      <c r="AB6" s="62">
        <v>4134</v>
      </c>
      <c r="AC6" s="62">
        <v>4196</v>
      </c>
      <c r="AD6" s="62">
        <v>4156</v>
      </c>
      <c r="AE6" s="95">
        <v>4152</v>
      </c>
      <c r="AF6" s="97">
        <f>SUM(AF7:AF8)</f>
        <v>4164</v>
      </c>
    </row>
    <row r="7" spans="1:33" x14ac:dyDescent="0.2">
      <c r="B7" s="8" t="s">
        <v>7</v>
      </c>
      <c r="C7" s="9">
        <f>184+708+24+119+353+35</f>
        <v>1423</v>
      </c>
      <c r="D7" s="10">
        <f>194+640+24+22+355+153</f>
        <v>1388</v>
      </c>
      <c r="E7" s="9">
        <f>215+655+15+161+376+18</f>
        <v>1440</v>
      </c>
      <c r="F7" s="10">
        <f>902+553</f>
        <v>1455</v>
      </c>
      <c r="G7" s="9">
        <f>232+635+15+23+399+145</f>
        <v>1449</v>
      </c>
      <c r="H7" s="10">
        <f>826+557</f>
        <v>1383</v>
      </c>
      <c r="I7" s="10">
        <v>1293</v>
      </c>
      <c r="J7" s="10">
        <v>1270</v>
      </c>
      <c r="K7" s="9">
        <v>1318</v>
      </c>
      <c r="L7" s="11">
        <v>1285</v>
      </c>
      <c r="M7" s="11">
        <v>1328</v>
      </c>
      <c r="N7" s="12">
        <v>1262</v>
      </c>
      <c r="O7" s="13">
        <v>1299</v>
      </c>
      <c r="P7" s="13">
        <v>1351</v>
      </c>
      <c r="Q7" s="22">
        <v>1308</v>
      </c>
      <c r="R7" s="21">
        <v>1228</v>
      </c>
      <c r="S7" s="22">
        <v>1482</v>
      </c>
      <c r="T7" s="21">
        <v>1482</v>
      </c>
      <c r="U7" s="52">
        <v>1922</v>
      </c>
      <c r="V7" s="25">
        <v>1909</v>
      </c>
      <c r="W7" s="25">
        <v>1864</v>
      </c>
      <c r="X7" s="25">
        <v>1909</v>
      </c>
      <c r="Y7" s="25">
        <v>2025</v>
      </c>
      <c r="Z7" s="25">
        <v>1992</v>
      </c>
      <c r="AA7" s="25">
        <v>2031</v>
      </c>
      <c r="AB7" s="25">
        <v>2078</v>
      </c>
      <c r="AC7" s="25">
        <v>2053</v>
      </c>
      <c r="AD7" s="25">
        <v>2076</v>
      </c>
      <c r="AE7" s="41">
        <v>2055</v>
      </c>
      <c r="AF7" s="98">
        <v>2017</v>
      </c>
    </row>
    <row r="8" spans="1:33" x14ac:dyDescent="0.2">
      <c r="B8" s="8" t="s">
        <v>8</v>
      </c>
      <c r="C8" s="9">
        <f>802+1174</f>
        <v>1976</v>
      </c>
      <c r="D8" s="10">
        <f>813+1046</f>
        <v>1859</v>
      </c>
      <c r="E8" s="9">
        <f>790+1047</f>
        <v>1837</v>
      </c>
      <c r="F8" s="10">
        <f>786+1019</f>
        <v>1805</v>
      </c>
      <c r="G8" s="9">
        <f>51+598+193+395+571+53</f>
        <v>1861</v>
      </c>
      <c r="H8" s="10">
        <f>775+938</f>
        <v>1713</v>
      </c>
      <c r="I8" s="10">
        <v>1724</v>
      </c>
      <c r="J8" s="10">
        <v>1716</v>
      </c>
      <c r="K8" s="9">
        <v>1640</v>
      </c>
      <c r="L8" s="11">
        <v>1959</v>
      </c>
      <c r="M8" s="11">
        <v>1949</v>
      </c>
      <c r="N8" s="12">
        <v>1963</v>
      </c>
      <c r="O8" s="13">
        <v>2010</v>
      </c>
      <c r="P8" s="13">
        <v>2183</v>
      </c>
      <c r="Q8" s="22">
        <v>2311</v>
      </c>
      <c r="R8" s="21">
        <v>2688</v>
      </c>
      <c r="S8" s="22">
        <v>2877</v>
      </c>
      <c r="T8" s="21">
        <v>2877</v>
      </c>
      <c r="U8" s="52">
        <v>2668</v>
      </c>
      <c r="V8" s="25">
        <v>2457</v>
      </c>
      <c r="W8" s="25">
        <v>2057</v>
      </c>
      <c r="X8" s="25">
        <v>2112</v>
      </c>
      <c r="Y8" s="25">
        <v>2036</v>
      </c>
      <c r="Z8" s="25">
        <v>1955</v>
      </c>
      <c r="AA8" s="25">
        <v>1932</v>
      </c>
      <c r="AB8" s="25">
        <v>2056</v>
      </c>
      <c r="AC8" s="25">
        <v>2143</v>
      </c>
      <c r="AD8" s="25">
        <v>2080</v>
      </c>
      <c r="AE8" s="41">
        <v>2097</v>
      </c>
      <c r="AF8" s="98">
        <v>2147</v>
      </c>
    </row>
    <row r="9" spans="1:33" x14ac:dyDescent="0.2">
      <c r="B9" s="8" t="s">
        <v>9</v>
      </c>
      <c r="C9" s="9">
        <f>1682+236+95</f>
        <v>2013</v>
      </c>
      <c r="D9" s="10">
        <f>1457+235+85</f>
        <v>1777</v>
      </c>
      <c r="E9" s="9">
        <f>1436+226+71</f>
        <v>1733</v>
      </c>
      <c r="F9" s="10">
        <f>1350+249+78</f>
        <v>1677</v>
      </c>
      <c r="G9" s="9">
        <f>1374+252+80</f>
        <v>1706</v>
      </c>
      <c r="H9" s="10">
        <f>1258+240+91</f>
        <v>1589</v>
      </c>
      <c r="I9" s="10">
        <v>1652</v>
      </c>
      <c r="J9" s="10">
        <v>1648</v>
      </c>
      <c r="K9" s="23">
        <v>1612</v>
      </c>
      <c r="L9" s="11">
        <v>1794</v>
      </c>
      <c r="M9" s="11">
        <f>1004+71+372</f>
        <v>1447</v>
      </c>
      <c r="N9" s="31">
        <v>1763</v>
      </c>
      <c r="O9" s="48">
        <v>1852</v>
      </c>
      <c r="P9" s="48">
        <v>1989</v>
      </c>
      <c r="Q9" s="22">
        <v>1903</v>
      </c>
      <c r="R9" s="21">
        <v>2219</v>
      </c>
      <c r="S9" s="22">
        <v>2378</v>
      </c>
      <c r="T9" s="53">
        <v>2378</v>
      </c>
      <c r="U9" s="52">
        <v>2476</v>
      </c>
      <c r="V9" s="25">
        <v>2172</v>
      </c>
      <c r="W9" s="25">
        <v>1719</v>
      </c>
      <c r="X9" s="25">
        <v>1702</v>
      </c>
      <c r="Y9" s="25">
        <v>1670</v>
      </c>
      <c r="Z9" s="25">
        <v>1546</v>
      </c>
      <c r="AA9" s="25">
        <v>1492</v>
      </c>
      <c r="AB9" s="25">
        <v>1649</v>
      </c>
      <c r="AC9" s="25">
        <v>1690</v>
      </c>
      <c r="AD9" s="25">
        <v>1732</v>
      </c>
      <c r="AE9" s="41">
        <v>1705</v>
      </c>
      <c r="AF9" s="98">
        <v>1810</v>
      </c>
    </row>
    <row r="10" spans="1:33" x14ac:dyDescent="0.2">
      <c r="B10" s="8" t="s">
        <v>10</v>
      </c>
      <c r="C10" s="9">
        <f>809+572+5</f>
        <v>1386</v>
      </c>
      <c r="D10" s="10">
        <f>904+558+8</f>
        <v>1470</v>
      </c>
      <c r="E10" s="9">
        <f>908+625+11</f>
        <v>1544</v>
      </c>
      <c r="F10" s="10">
        <f>979+595+9</f>
        <v>1583</v>
      </c>
      <c r="G10" s="9">
        <f>959+633+12</f>
        <v>1604</v>
      </c>
      <c r="H10" s="10">
        <f>865+635+7</f>
        <v>1507</v>
      </c>
      <c r="I10" s="10">
        <v>1365</v>
      </c>
      <c r="J10" s="10">
        <v>1338</v>
      </c>
      <c r="K10" s="23">
        <v>1346</v>
      </c>
      <c r="L10" s="11">
        <v>1450</v>
      </c>
      <c r="M10" s="11">
        <v>1076</v>
      </c>
      <c r="N10" s="31">
        <v>1462</v>
      </c>
      <c r="O10" s="48">
        <v>1457</v>
      </c>
      <c r="P10" s="48">
        <v>1545</v>
      </c>
      <c r="Q10" s="22">
        <v>1716</v>
      </c>
      <c r="R10" s="21">
        <v>1697</v>
      </c>
      <c r="S10" s="22">
        <v>1981</v>
      </c>
      <c r="T10" s="53">
        <v>1981</v>
      </c>
      <c r="U10" s="52">
        <v>2114</v>
      </c>
      <c r="V10" s="25">
        <v>2195</v>
      </c>
      <c r="W10" s="25">
        <v>2202</v>
      </c>
      <c r="X10" s="25">
        <v>2319</v>
      </c>
      <c r="Y10" s="25">
        <v>2391</v>
      </c>
      <c r="Z10" s="25">
        <v>2401</v>
      </c>
      <c r="AA10" s="25">
        <v>2471</v>
      </c>
      <c r="AB10" s="25">
        <v>2485</v>
      </c>
      <c r="AC10" s="25">
        <v>2506</v>
      </c>
      <c r="AD10" s="25">
        <v>2424</v>
      </c>
      <c r="AE10" s="41">
        <v>2447</v>
      </c>
      <c r="AF10" s="98">
        <v>2354</v>
      </c>
    </row>
    <row r="11" spans="1:33" x14ac:dyDescent="0.2">
      <c r="B11" s="8" t="s">
        <v>11</v>
      </c>
      <c r="C11" s="9">
        <f>184+708+24+802</f>
        <v>1718</v>
      </c>
      <c r="D11" s="10">
        <f>813+24+640+194</f>
        <v>1671</v>
      </c>
      <c r="E11" s="9">
        <f>790+15+655+215</f>
        <v>1675</v>
      </c>
      <c r="F11" s="10">
        <f>786+902</f>
        <v>1688</v>
      </c>
      <c r="G11" s="9">
        <f>232+635+15+842</f>
        <v>1724</v>
      </c>
      <c r="H11" s="10">
        <f>775+826</f>
        <v>1601</v>
      </c>
      <c r="I11" s="10">
        <v>1482</v>
      </c>
      <c r="J11" s="10">
        <v>1456</v>
      </c>
      <c r="K11" s="9">
        <v>1433</v>
      </c>
      <c r="L11" s="11">
        <v>1507</v>
      </c>
      <c r="M11" s="11">
        <f>746+709</f>
        <v>1455</v>
      </c>
      <c r="N11" s="14">
        <v>1455</v>
      </c>
      <c r="O11" s="15">
        <v>1490</v>
      </c>
      <c r="P11" s="15">
        <v>1604</v>
      </c>
      <c r="Q11" s="22">
        <v>1649</v>
      </c>
      <c r="R11" s="21">
        <v>1645</v>
      </c>
      <c r="S11" s="22">
        <v>1875</v>
      </c>
      <c r="T11" s="21">
        <v>1875</v>
      </c>
      <c r="U11" s="52">
        <v>1923</v>
      </c>
      <c r="V11" s="25">
        <v>1897</v>
      </c>
      <c r="W11" s="25">
        <v>1828</v>
      </c>
      <c r="X11" s="25">
        <v>1843</v>
      </c>
      <c r="Y11" s="25">
        <v>1899</v>
      </c>
      <c r="Z11" s="25">
        <v>1848</v>
      </c>
      <c r="AA11" s="25">
        <v>1840</v>
      </c>
      <c r="AB11" s="25">
        <v>1698</v>
      </c>
      <c r="AC11" s="25">
        <v>1719</v>
      </c>
      <c r="AD11" s="25">
        <v>1762</v>
      </c>
      <c r="AE11" s="41">
        <v>1717</v>
      </c>
      <c r="AF11" s="98">
        <v>1628</v>
      </c>
    </row>
    <row r="12" spans="1:33" x14ac:dyDescent="0.2">
      <c r="B12" s="8" t="s">
        <v>12</v>
      </c>
      <c r="C12" s="9">
        <f>119+353+35+1174</f>
        <v>1681</v>
      </c>
      <c r="D12" s="10">
        <f>22+355+153+1046</f>
        <v>1576</v>
      </c>
      <c r="E12" s="9">
        <f>161+376+18+1047</f>
        <v>1602</v>
      </c>
      <c r="F12" s="10">
        <f>553+1019</f>
        <v>1572</v>
      </c>
      <c r="G12" s="9">
        <f>1019+23+399+145</f>
        <v>1586</v>
      </c>
      <c r="H12" s="10">
        <f>557+938</f>
        <v>1495</v>
      </c>
      <c r="I12" s="10">
        <v>1535</v>
      </c>
      <c r="J12" s="10">
        <v>1530</v>
      </c>
      <c r="K12" s="9">
        <v>1525</v>
      </c>
      <c r="L12" s="11">
        <v>1737</v>
      </c>
      <c r="M12" s="11">
        <f>1240+582</f>
        <v>1822</v>
      </c>
      <c r="N12" s="14">
        <v>1770</v>
      </c>
      <c r="O12" s="15">
        <v>1819</v>
      </c>
      <c r="P12" s="15">
        <v>1930</v>
      </c>
      <c r="Q12" s="22">
        <v>1970</v>
      </c>
      <c r="R12" s="21">
        <v>2271</v>
      </c>
      <c r="S12" s="22">
        <v>2484</v>
      </c>
      <c r="T12" s="21">
        <v>2484</v>
      </c>
      <c r="U12" s="52">
        <v>2667</v>
      </c>
      <c r="V12" s="25">
        <v>2469</v>
      </c>
      <c r="W12" s="25">
        <v>2093</v>
      </c>
      <c r="X12" s="25">
        <v>2178</v>
      </c>
      <c r="Y12" s="25">
        <v>2162</v>
      </c>
      <c r="Z12" s="25">
        <v>2099</v>
      </c>
      <c r="AA12" s="25">
        <v>2123</v>
      </c>
      <c r="AB12" s="25">
        <v>2436</v>
      </c>
      <c r="AC12" s="25">
        <v>2477</v>
      </c>
      <c r="AD12" s="25">
        <v>2394</v>
      </c>
      <c r="AE12" s="41">
        <v>2434</v>
      </c>
      <c r="AF12" s="98">
        <v>2535</v>
      </c>
    </row>
    <row r="13" spans="1:33" x14ac:dyDescent="0.2">
      <c r="B13" s="81" t="s">
        <v>64</v>
      </c>
      <c r="C13" s="9"/>
      <c r="D13" s="10"/>
      <c r="E13" s="9"/>
      <c r="F13" s="10"/>
      <c r="G13" s="9"/>
      <c r="H13" s="10"/>
      <c r="I13" s="10"/>
      <c r="J13" s="9"/>
      <c r="K13" s="9"/>
      <c r="L13" s="11"/>
      <c r="M13" s="11"/>
      <c r="N13" s="14"/>
      <c r="O13" s="15"/>
      <c r="P13" s="15"/>
      <c r="Q13" s="22"/>
      <c r="R13" s="21"/>
      <c r="S13" s="22"/>
      <c r="T13" s="21"/>
      <c r="U13" s="52"/>
      <c r="V13" s="25"/>
      <c r="W13" s="25"/>
      <c r="X13" s="25"/>
      <c r="Y13" s="25"/>
      <c r="Z13" s="25"/>
      <c r="AA13" s="25"/>
      <c r="AB13" s="25">
        <v>0</v>
      </c>
      <c r="AC13" s="25">
        <v>0</v>
      </c>
      <c r="AD13" s="25">
        <v>0</v>
      </c>
      <c r="AE13" s="41">
        <v>1</v>
      </c>
      <c r="AF13" s="98">
        <v>1</v>
      </c>
    </row>
    <row r="14" spans="1:33" x14ac:dyDescent="0.2">
      <c r="B14" s="8" t="s">
        <v>41</v>
      </c>
      <c r="C14" s="9"/>
      <c r="D14" s="10"/>
      <c r="E14" s="9"/>
      <c r="F14" s="10"/>
      <c r="G14" s="9"/>
      <c r="H14" s="10"/>
      <c r="I14" s="10"/>
      <c r="J14" s="9">
        <v>9</v>
      </c>
      <c r="K14" s="23">
        <v>9</v>
      </c>
      <c r="L14" s="11">
        <f>23</f>
        <v>23</v>
      </c>
      <c r="M14" s="11">
        <f>20</f>
        <v>20</v>
      </c>
      <c r="N14" s="14">
        <v>13</v>
      </c>
      <c r="O14" s="15"/>
      <c r="P14" s="15"/>
      <c r="Q14" s="22"/>
      <c r="R14" s="21"/>
      <c r="S14" s="22"/>
      <c r="T14" s="21">
        <v>1</v>
      </c>
      <c r="U14" s="25">
        <v>0</v>
      </c>
      <c r="V14" s="25">
        <v>0</v>
      </c>
      <c r="W14" s="25">
        <v>1</v>
      </c>
      <c r="X14" s="25">
        <v>1</v>
      </c>
      <c r="Y14" s="25">
        <v>0</v>
      </c>
      <c r="Z14" s="25">
        <v>1</v>
      </c>
      <c r="AA14" s="25">
        <v>0</v>
      </c>
      <c r="AB14" s="25">
        <v>0</v>
      </c>
      <c r="AC14" s="25">
        <v>1</v>
      </c>
      <c r="AD14" s="25">
        <v>0</v>
      </c>
      <c r="AE14" s="41">
        <v>0</v>
      </c>
      <c r="AF14" s="98">
        <v>2</v>
      </c>
    </row>
    <row r="15" spans="1:33" x14ac:dyDescent="0.2">
      <c r="B15" s="8" t="s">
        <v>42</v>
      </c>
      <c r="C15" s="9"/>
      <c r="D15" s="10"/>
      <c r="E15" s="9"/>
      <c r="F15" s="10"/>
      <c r="G15" s="9"/>
      <c r="H15" s="10"/>
      <c r="I15" s="10"/>
      <c r="J15" s="9">
        <f>18+569</f>
        <v>587</v>
      </c>
      <c r="K15" s="23">
        <f>25+591</f>
        <v>616</v>
      </c>
      <c r="L15" s="11">
        <f>25+626</f>
        <v>651</v>
      </c>
      <c r="M15" s="11">
        <f>27+650</f>
        <v>677</v>
      </c>
      <c r="N15" s="14">
        <v>688</v>
      </c>
      <c r="O15" s="15"/>
      <c r="P15" s="15"/>
      <c r="Q15" s="22"/>
      <c r="R15" s="21"/>
      <c r="S15" s="22"/>
      <c r="T15" s="21">
        <v>1023</v>
      </c>
      <c r="U15" s="52">
        <v>1031</v>
      </c>
      <c r="V15" s="25">
        <v>1037</v>
      </c>
      <c r="W15" s="25">
        <v>964</v>
      </c>
      <c r="X15" s="25">
        <v>964</v>
      </c>
      <c r="Y15" s="25">
        <v>1105</v>
      </c>
      <c r="Z15" s="25">
        <v>1050</v>
      </c>
      <c r="AA15" s="25">
        <v>959</v>
      </c>
      <c r="AB15" s="25">
        <v>1049</v>
      </c>
      <c r="AC15" s="25">
        <v>1088</v>
      </c>
      <c r="AD15" s="25">
        <v>1154</v>
      </c>
      <c r="AE15" s="41">
        <v>1145</v>
      </c>
      <c r="AF15" s="98">
        <v>1080</v>
      </c>
    </row>
    <row r="16" spans="1:33" x14ac:dyDescent="0.2">
      <c r="B16" s="8" t="s">
        <v>43</v>
      </c>
      <c r="C16" s="9"/>
      <c r="D16" s="10"/>
      <c r="E16" s="9"/>
      <c r="F16" s="10"/>
      <c r="G16" s="9"/>
      <c r="H16" s="10"/>
      <c r="I16" s="10"/>
      <c r="J16" s="9">
        <f>814+813</f>
        <v>1627</v>
      </c>
      <c r="K16" s="23">
        <f>810+830</f>
        <v>1640</v>
      </c>
      <c r="L16" s="11">
        <f>875+849</f>
        <v>1724</v>
      </c>
      <c r="M16" s="11">
        <f>868+866</f>
        <v>1734</v>
      </c>
      <c r="N16" s="14">
        <v>1734</v>
      </c>
      <c r="O16" s="15"/>
      <c r="P16" s="15"/>
      <c r="Q16" s="22"/>
      <c r="R16" s="21"/>
      <c r="S16" s="22"/>
      <c r="T16" s="21">
        <v>2294</v>
      </c>
      <c r="U16" s="52">
        <v>2512</v>
      </c>
      <c r="V16" s="25">
        <v>2308</v>
      </c>
      <c r="W16" s="25">
        <v>2190</v>
      </c>
      <c r="X16" s="25">
        <v>2287</v>
      </c>
      <c r="Y16" s="25">
        <v>2235</v>
      </c>
      <c r="Z16" s="25">
        <v>2237</v>
      </c>
      <c r="AA16" s="25">
        <v>2348</v>
      </c>
      <c r="AB16" s="25">
        <v>2272</v>
      </c>
      <c r="AC16" s="25">
        <v>2254</v>
      </c>
      <c r="AD16" s="25">
        <v>2133</v>
      </c>
      <c r="AE16" s="41">
        <v>2105</v>
      </c>
      <c r="AF16" s="98">
        <v>2102</v>
      </c>
    </row>
    <row r="17" spans="2:32" x14ac:dyDescent="0.2">
      <c r="B17" s="8" t="s">
        <v>44</v>
      </c>
      <c r="C17" s="9"/>
      <c r="D17" s="10"/>
      <c r="E17" s="9"/>
      <c r="F17" s="10"/>
      <c r="G17" s="9"/>
      <c r="H17" s="10"/>
      <c r="I17" s="10"/>
      <c r="J17" s="9">
        <f>586+177</f>
        <v>763</v>
      </c>
      <c r="K17" s="23">
        <f>544+149</f>
        <v>693</v>
      </c>
      <c r="L17" s="11">
        <f>604+242</f>
        <v>846</v>
      </c>
      <c r="M17" s="11">
        <f>578+268</f>
        <v>846</v>
      </c>
      <c r="N17" s="14">
        <v>790</v>
      </c>
      <c r="O17" s="15"/>
      <c r="P17" s="15"/>
      <c r="Q17" s="22"/>
      <c r="R17" s="21"/>
      <c r="S17" s="22"/>
      <c r="T17" s="21">
        <v>1041</v>
      </c>
      <c r="U17" s="52">
        <v>1047</v>
      </c>
      <c r="V17" s="25">
        <v>1021</v>
      </c>
      <c r="W17" s="25">
        <v>766</v>
      </c>
      <c r="X17" s="25">
        <v>769</v>
      </c>
      <c r="Y17" s="25">
        <v>721</v>
      </c>
      <c r="Z17" s="25">
        <v>659</v>
      </c>
      <c r="AA17" s="25">
        <v>656</v>
      </c>
      <c r="AB17" s="25">
        <v>813</v>
      </c>
      <c r="AC17" s="25">
        <v>853</v>
      </c>
      <c r="AD17" s="25">
        <v>869</v>
      </c>
      <c r="AE17" s="41">
        <v>902</v>
      </c>
      <c r="AF17" s="98">
        <v>980</v>
      </c>
    </row>
    <row r="18" spans="2:32" x14ac:dyDescent="0.2">
      <c r="B18" s="8" t="s">
        <v>13</v>
      </c>
      <c r="C18" s="9">
        <f>162+61+424+136</f>
        <v>783</v>
      </c>
      <c r="D18" s="10">
        <f>175+67+394+143</f>
        <v>779</v>
      </c>
      <c r="E18" s="9">
        <f>411+156+171+91</f>
        <v>829</v>
      </c>
      <c r="F18" s="10">
        <f>203+104+395+158</f>
        <v>860</v>
      </c>
      <c r="G18" s="9">
        <f>187+102+369+131</f>
        <v>789</v>
      </c>
      <c r="H18" s="10">
        <f>334+126+206+96</f>
        <v>762</v>
      </c>
      <c r="I18" s="10">
        <v>696</v>
      </c>
      <c r="J18" s="10">
        <v>677</v>
      </c>
      <c r="K18" s="9">
        <f>151+77+308+164</f>
        <v>700</v>
      </c>
      <c r="L18" s="11">
        <v>747</v>
      </c>
      <c r="M18" s="11">
        <f>522+257</f>
        <v>779</v>
      </c>
      <c r="N18" s="14">
        <v>811</v>
      </c>
      <c r="O18" s="15">
        <v>859</v>
      </c>
      <c r="P18" s="15">
        <v>831</v>
      </c>
      <c r="Q18" s="22">
        <v>793</v>
      </c>
      <c r="R18" s="21">
        <v>698</v>
      </c>
      <c r="S18" s="22">
        <v>786</v>
      </c>
      <c r="T18" s="21">
        <v>786</v>
      </c>
      <c r="U18" s="52">
        <v>797</v>
      </c>
      <c r="V18" s="25">
        <v>790</v>
      </c>
      <c r="W18" s="25">
        <v>810</v>
      </c>
      <c r="X18" s="25">
        <v>757</v>
      </c>
      <c r="Y18" s="25">
        <v>739</v>
      </c>
      <c r="Z18" s="25">
        <v>722</v>
      </c>
      <c r="AA18" s="25">
        <v>773</v>
      </c>
      <c r="AB18" s="25">
        <v>678</v>
      </c>
      <c r="AC18" s="25">
        <v>654</v>
      </c>
      <c r="AD18" s="25">
        <v>682</v>
      </c>
      <c r="AE18" s="41">
        <v>702</v>
      </c>
      <c r="AF18" s="98">
        <v>695</v>
      </c>
    </row>
    <row r="19" spans="2:32" x14ac:dyDescent="0.2">
      <c r="B19" s="8" t="s">
        <v>15</v>
      </c>
      <c r="C19" s="9">
        <f>3+3</f>
        <v>6</v>
      </c>
      <c r="D19" s="10">
        <f>1+3+1+1</f>
        <v>6</v>
      </c>
      <c r="E19" s="9">
        <f>1+2+1+2</f>
        <v>6</v>
      </c>
      <c r="F19" s="10">
        <f>3+3</f>
        <v>6</v>
      </c>
      <c r="G19" s="9">
        <f>1+4+2+2</f>
        <v>9</v>
      </c>
      <c r="H19" s="10">
        <f>1+5+2+2</f>
        <v>10</v>
      </c>
      <c r="I19" s="10">
        <v>11</v>
      </c>
      <c r="J19" s="10">
        <v>10</v>
      </c>
      <c r="K19" s="9">
        <v>12</v>
      </c>
      <c r="L19" s="11">
        <v>18</v>
      </c>
      <c r="M19" s="11">
        <f>11+6</f>
        <v>17</v>
      </c>
      <c r="N19" s="14">
        <v>13</v>
      </c>
      <c r="O19" s="15">
        <v>16</v>
      </c>
      <c r="P19" s="15">
        <v>18</v>
      </c>
      <c r="Q19" s="22">
        <v>20</v>
      </c>
      <c r="R19" s="21">
        <v>21</v>
      </c>
      <c r="S19" s="22">
        <v>27</v>
      </c>
      <c r="T19" s="21">
        <v>27</v>
      </c>
      <c r="U19" s="52">
        <v>31</v>
      </c>
      <c r="V19" s="25">
        <v>25</v>
      </c>
      <c r="W19" s="25">
        <v>21</v>
      </c>
      <c r="X19" s="25">
        <v>16</v>
      </c>
      <c r="Y19" s="25">
        <v>13</v>
      </c>
      <c r="Z19" s="25">
        <v>13</v>
      </c>
      <c r="AA19" s="25">
        <v>17</v>
      </c>
      <c r="AB19" s="25">
        <v>17</v>
      </c>
      <c r="AC19" s="25">
        <v>31</v>
      </c>
      <c r="AD19" s="25">
        <v>24</v>
      </c>
      <c r="AE19" s="41">
        <v>16</v>
      </c>
      <c r="AF19" s="98">
        <v>16</v>
      </c>
    </row>
    <row r="20" spans="2:32" x14ac:dyDescent="0.2">
      <c r="B20" s="8" t="s">
        <v>16</v>
      </c>
      <c r="C20" s="9">
        <f>12+4+11+9</f>
        <v>36</v>
      </c>
      <c r="D20" s="10">
        <f>10+11+8+5</f>
        <v>34</v>
      </c>
      <c r="E20" s="9">
        <f>6+12+8+12</f>
        <v>38</v>
      </c>
      <c r="F20" s="10">
        <f>12+9+6+7</f>
        <v>34</v>
      </c>
      <c r="G20" s="9">
        <f>13+18+13+6</f>
        <v>50</v>
      </c>
      <c r="H20" s="10">
        <f>13+13+13+7</f>
        <v>46</v>
      </c>
      <c r="I20" s="10">
        <v>42</v>
      </c>
      <c r="J20" s="10">
        <v>39</v>
      </c>
      <c r="K20" s="9">
        <v>31</v>
      </c>
      <c r="L20" s="11">
        <v>39</v>
      </c>
      <c r="M20" s="11">
        <f>16+23</f>
        <v>39</v>
      </c>
      <c r="N20" s="14">
        <v>46</v>
      </c>
      <c r="O20" s="15">
        <v>41</v>
      </c>
      <c r="P20" s="15">
        <v>50</v>
      </c>
      <c r="Q20" s="22">
        <v>52</v>
      </c>
      <c r="R20" s="21">
        <v>60</v>
      </c>
      <c r="S20" s="22">
        <v>80</v>
      </c>
      <c r="T20" s="21">
        <v>80</v>
      </c>
      <c r="U20" s="52">
        <v>78</v>
      </c>
      <c r="V20" s="25">
        <v>74</v>
      </c>
      <c r="W20" s="25">
        <v>86</v>
      </c>
      <c r="X20" s="25">
        <v>87</v>
      </c>
      <c r="Y20" s="25">
        <v>98</v>
      </c>
      <c r="Z20" s="25">
        <v>87</v>
      </c>
      <c r="AA20" s="25">
        <v>97</v>
      </c>
      <c r="AB20" s="25">
        <v>104</v>
      </c>
      <c r="AC20" s="25">
        <v>110</v>
      </c>
      <c r="AD20" s="25">
        <v>118</v>
      </c>
      <c r="AE20" s="41">
        <v>134</v>
      </c>
      <c r="AF20" s="98">
        <v>133</v>
      </c>
    </row>
    <row r="21" spans="2:32" x14ac:dyDescent="0.2">
      <c r="B21" s="8" t="s">
        <v>14</v>
      </c>
      <c r="C21" s="9">
        <f>14+20+10+25</f>
        <v>69</v>
      </c>
      <c r="D21" s="10">
        <f>15+22+12+39</f>
        <v>88</v>
      </c>
      <c r="E21" s="9">
        <f>11+21+20+34</f>
        <v>86</v>
      </c>
      <c r="F21" s="10">
        <f>13+14+14+43</f>
        <v>84</v>
      </c>
      <c r="G21" s="9">
        <f>8+24+24+35</f>
        <v>91</v>
      </c>
      <c r="H21" s="10">
        <f>15+35+12+18</f>
        <v>80</v>
      </c>
      <c r="I21" s="10">
        <v>87</v>
      </c>
      <c r="J21" s="10">
        <v>86</v>
      </c>
      <c r="K21" s="9">
        <v>66</v>
      </c>
      <c r="L21" s="11">
        <v>82</v>
      </c>
      <c r="M21" s="11">
        <f>22+58</f>
        <v>80</v>
      </c>
      <c r="N21" s="14">
        <v>74</v>
      </c>
      <c r="O21" s="15">
        <v>83</v>
      </c>
      <c r="P21" s="15">
        <v>91</v>
      </c>
      <c r="Q21" s="22">
        <v>93</v>
      </c>
      <c r="R21" s="21">
        <v>150</v>
      </c>
      <c r="S21" s="22">
        <v>206</v>
      </c>
      <c r="T21" s="21">
        <v>206</v>
      </c>
      <c r="U21" s="52">
        <v>196</v>
      </c>
      <c r="V21" s="25">
        <v>162</v>
      </c>
      <c r="W21" s="25">
        <v>175</v>
      </c>
      <c r="X21" s="25">
        <v>159</v>
      </c>
      <c r="Y21" s="25">
        <v>169</v>
      </c>
      <c r="Z21" s="25">
        <v>156</v>
      </c>
      <c r="AA21" s="25">
        <v>159</v>
      </c>
      <c r="AB21" s="25">
        <v>185</v>
      </c>
      <c r="AC21" s="25">
        <v>182</v>
      </c>
      <c r="AD21" s="25">
        <v>182</v>
      </c>
      <c r="AE21" s="41">
        <v>174</v>
      </c>
      <c r="AF21" s="98">
        <v>184</v>
      </c>
    </row>
    <row r="22" spans="2:32" x14ac:dyDescent="0.2">
      <c r="B22" s="8" t="s">
        <v>45</v>
      </c>
      <c r="C22" s="9"/>
      <c r="D22" s="10"/>
      <c r="E22" s="9"/>
      <c r="F22" s="10"/>
      <c r="G22" s="9"/>
      <c r="H22" s="10"/>
      <c r="I22" s="10"/>
      <c r="J22" s="10"/>
      <c r="K22" s="9"/>
      <c r="L22" s="11"/>
      <c r="M22" s="11"/>
      <c r="N22" s="14"/>
      <c r="O22" s="15"/>
      <c r="P22" s="15"/>
      <c r="Q22" s="22"/>
      <c r="R22" s="21"/>
      <c r="S22" s="22"/>
      <c r="T22" s="77"/>
      <c r="U22" s="78">
        <v>0</v>
      </c>
      <c r="V22" s="25">
        <v>4</v>
      </c>
      <c r="W22" s="25">
        <v>4</v>
      </c>
      <c r="X22" s="25">
        <v>4</v>
      </c>
      <c r="Y22" s="25">
        <v>6</v>
      </c>
      <c r="Z22" s="25">
        <v>9</v>
      </c>
      <c r="AA22" s="25">
        <v>9</v>
      </c>
      <c r="AB22" s="25">
        <v>6</v>
      </c>
      <c r="AC22" s="25">
        <v>4</v>
      </c>
      <c r="AD22" s="25">
        <v>4</v>
      </c>
      <c r="AE22" s="41">
        <v>7</v>
      </c>
      <c r="AF22" s="98">
        <v>7</v>
      </c>
    </row>
    <row r="23" spans="2:32" x14ac:dyDescent="0.2">
      <c r="B23" s="8" t="s">
        <v>17</v>
      </c>
      <c r="C23" s="9">
        <f>2+9+6+7</f>
        <v>24</v>
      </c>
      <c r="D23" s="10">
        <f>6+11+2+4+1+6</f>
        <v>30</v>
      </c>
      <c r="E23" s="9">
        <f>8+6+9+10</f>
        <v>33</v>
      </c>
      <c r="F23" s="10">
        <f>14+10+12+10</f>
        <v>46</v>
      </c>
      <c r="G23" s="9">
        <f>15+12+16+18</f>
        <v>61</v>
      </c>
      <c r="H23" s="10">
        <f>11+11+14+15</f>
        <v>51</v>
      </c>
      <c r="I23" s="10">
        <v>46</v>
      </c>
      <c r="J23" s="10">
        <v>47</v>
      </c>
      <c r="K23" s="9">
        <v>46</v>
      </c>
      <c r="L23" s="11">
        <f>45+19</f>
        <v>64</v>
      </c>
      <c r="M23" s="11">
        <f>22+64</f>
        <v>86</v>
      </c>
      <c r="N23" s="14">
        <v>80</v>
      </c>
      <c r="O23" s="15">
        <v>76</v>
      </c>
      <c r="P23" s="15">
        <v>68</v>
      </c>
      <c r="Q23" s="22">
        <f>43+22</f>
        <v>65</v>
      </c>
      <c r="R23" s="21">
        <v>73</v>
      </c>
      <c r="S23" s="22">
        <v>85</v>
      </c>
      <c r="T23" s="21">
        <v>116</v>
      </c>
      <c r="U23" s="52">
        <v>124</v>
      </c>
      <c r="V23" s="25">
        <v>109</v>
      </c>
      <c r="W23" s="25">
        <v>117</v>
      </c>
      <c r="X23" s="25">
        <v>133</v>
      </c>
      <c r="Y23" s="25">
        <v>157</v>
      </c>
      <c r="Z23" s="25">
        <v>167</v>
      </c>
      <c r="AA23" s="25">
        <v>179</v>
      </c>
      <c r="AB23" s="25">
        <v>295</v>
      </c>
      <c r="AC23" s="25">
        <v>304</v>
      </c>
      <c r="AD23" s="25">
        <v>313</v>
      </c>
      <c r="AE23" s="41">
        <v>319</v>
      </c>
      <c r="AF23" s="98">
        <v>356</v>
      </c>
    </row>
    <row r="24" spans="2:32" x14ac:dyDescent="0.2">
      <c r="B24" s="81" t="s">
        <v>47</v>
      </c>
      <c r="C24" s="9"/>
      <c r="D24" s="10"/>
      <c r="E24" s="9"/>
      <c r="F24" s="10"/>
      <c r="G24" s="9"/>
      <c r="H24" s="10"/>
      <c r="I24" s="10"/>
      <c r="J24" s="10"/>
      <c r="K24" s="9"/>
      <c r="L24" s="11"/>
      <c r="M24" s="11"/>
      <c r="N24" s="14"/>
      <c r="O24" s="15"/>
      <c r="P24" s="15"/>
      <c r="Q24" s="22"/>
      <c r="R24" s="21"/>
      <c r="S24" s="22"/>
      <c r="T24" s="77"/>
      <c r="U24" s="52">
        <v>5</v>
      </c>
      <c r="V24" s="25">
        <v>4</v>
      </c>
      <c r="W24" s="25">
        <v>43</v>
      </c>
      <c r="X24" s="25">
        <v>48</v>
      </c>
      <c r="Y24" s="25">
        <v>59</v>
      </c>
      <c r="Z24" s="25">
        <v>59</v>
      </c>
      <c r="AA24" s="25">
        <v>71</v>
      </c>
      <c r="AB24" s="25">
        <v>99</v>
      </c>
      <c r="AC24" s="25">
        <v>92</v>
      </c>
      <c r="AD24" s="25">
        <v>101</v>
      </c>
      <c r="AE24" s="41">
        <v>115</v>
      </c>
      <c r="AF24" s="98">
        <v>114</v>
      </c>
    </row>
    <row r="25" spans="2:32" x14ac:dyDescent="0.2">
      <c r="B25" s="8" t="s">
        <v>30</v>
      </c>
      <c r="C25" s="9"/>
      <c r="D25" s="10"/>
      <c r="E25" s="9"/>
      <c r="F25" s="10"/>
      <c r="G25" s="9"/>
      <c r="H25" s="10"/>
      <c r="I25" s="10"/>
      <c r="J25" s="10">
        <v>1</v>
      </c>
      <c r="K25" s="9">
        <v>2</v>
      </c>
      <c r="L25" s="11">
        <f>2+17+3</f>
        <v>22</v>
      </c>
      <c r="M25" s="11">
        <f>7+21+6+11</f>
        <v>45</v>
      </c>
      <c r="N25" s="14">
        <v>51</v>
      </c>
      <c r="O25" s="15">
        <v>54</v>
      </c>
      <c r="P25" s="15">
        <v>91</v>
      </c>
      <c r="Q25" s="22">
        <f>16+66+20</f>
        <v>102</v>
      </c>
      <c r="R25" s="21">
        <v>104</v>
      </c>
      <c r="S25" s="22">
        <f>31+27+97+21</f>
        <v>176</v>
      </c>
      <c r="T25" s="21">
        <v>145</v>
      </c>
      <c r="U25" s="52">
        <v>281</v>
      </c>
      <c r="V25" s="25">
        <v>476</v>
      </c>
      <c r="W25" s="25">
        <v>32</v>
      </c>
      <c r="X25" s="25">
        <v>64</v>
      </c>
      <c r="Y25" s="25">
        <v>79</v>
      </c>
      <c r="Z25" s="25">
        <v>69</v>
      </c>
      <c r="AA25" s="25">
        <v>73</v>
      </c>
      <c r="AB25" s="25">
        <v>79</v>
      </c>
      <c r="AC25" s="25">
        <v>81</v>
      </c>
      <c r="AD25" s="25">
        <v>74</v>
      </c>
      <c r="AE25" s="41">
        <v>77</v>
      </c>
      <c r="AF25" s="98">
        <v>73</v>
      </c>
    </row>
    <row r="26" spans="2:32" ht="13.5" thickBot="1" x14ac:dyDescent="0.25">
      <c r="B26" s="17" t="s">
        <v>18</v>
      </c>
      <c r="C26" s="18">
        <f>106+336+18+81+232+27+614+1067</f>
        <v>2481</v>
      </c>
      <c r="D26" s="19">
        <f>608+916+100+314+19+16+228+109</f>
        <v>2310</v>
      </c>
      <c r="E26" s="18">
        <f>134+116+298+228+15+10+582+902</f>
        <v>2285</v>
      </c>
      <c r="F26" s="19">
        <f>138+101+329+256+9+7+540+850</f>
        <v>2230</v>
      </c>
      <c r="G26" s="18">
        <f>600+844+12+331+133+101+273+16</f>
        <v>2310</v>
      </c>
      <c r="H26" s="19">
        <f>125+321+9+107+273+10+525+777</f>
        <v>2147</v>
      </c>
      <c r="I26" s="19">
        <v>2135</v>
      </c>
      <c r="J26" s="19">
        <v>2126</v>
      </c>
      <c r="K26" s="18">
        <v>2101</v>
      </c>
      <c r="L26" s="20">
        <v>2272</v>
      </c>
      <c r="M26" s="20">
        <f>723+1508</f>
        <v>2231</v>
      </c>
      <c r="N26" s="16">
        <v>2150</v>
      </c>
      <c r="O26" s="49">
        <v>2180</v>
      </c>
      <c r="P26" s="49">
        <v>2385</v>
      </c>
      <c r="Q26" s="49">
        <f>2494</f>
        <v>2494</v>
      </c>
      <c r="R26" s="51">
        <v>2810</v>
      </c>
      <c r="S26" s="49">
        <v>2999</v>
      </c>
      <c r="T26" s="51">
        <v>2999</v>
      </c>
      <c r="U26" s="63">
        <v>3078</v>
      </c>
      <c r="V26" s="25">
        <v>2722</v>
      </c>
      <c r="W26" s="64">
        <v>2633</v>
      </c>
      <c r="X26" s="64">
        <v>2753</v>
      </c>
      <c r="Y26" s="64">
        <v>2741</v>
      </c>
      <c r="Z26" s="64">
        <v>2665</v>
      </c>
      <c r="AA26" s="64">
        <v>2585</v>
      </c>
      <c r="AB26" s="64">
        <v>2671</v>
      </c>
      <c r="AC26" s="64">
        <v>2738</v>
      </c>
      <c r="AD26" s="64">
        <v>2658</v>
      </c>
      <c r="AE26" s="96">
        <v>2608</v>
      </c>
      <c r="AF26" s="99">
        <v>2586</v>
      </c>
    </row>
    <row r="27" spans="2:32" ht="13.5" thickTop="1" x14ac:dyDescent="0.2">
      <c r="B27" s="74" t="s">
        <v>39</v>
      </c>
      <c r="Q27" s="46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2:32" x14ac:dyDescent="0.2">
      <c r="B28" s="105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</row>
    <row r="29" spans="2:32" x14ac:dyDescent="0.2"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</row>
    <row r="55" spans="2:2" x14ac:dyDescent="0.2">
      <c r="B55" t="s">
        <v>65</v>
      </c>
    </row>
    <row r="56" spans="2:2" ht="52.5" customHeight="1" x14ac:dyDescent="0.2"/>
    <row r="57" spans="2:2" ht="83.25" customHeight="1" x14ac:dyDescent="0.2"/>
    <row r="58" spans="2:2" ht="83.25" customHeight="1" x14ac:dyDescent="0.2"/>
    <row r="59" spans="2:2" ht="69.75" customHeight="1" x14ac:dyDescent="0.2"/>
  </sheetData>
  <mergeCells count="1">
    <mergeCell ref="B28:X29"/>
  </mergeCells>
  <phoneticPr fontId="0" type="noConversion"/>
  <printOptions horizontalCentered="1"/>
  <pageMargins left="0.75" right="0.75" top="0.75" bottom="0.75" header="0.5" footer="0.5"/>
  <pageSetup scale="90" orientation="portrait" r:id="rId1"/>
  <headerFooter alignWithMargins="0"/>
  <colBreaks count="1" manualBreakCount="1">
    <brk id="22" max="55" man="1"/>
  </colBreaks>
  <ignoredErrors>
    <ignoredError sqref="T6:AA6" formulaRange="1"/>
    <ignoredError sqref="R6:S6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8">
    <tabColor indexed="11"/>
    <pageSetUpPr fitToPage="1"/>
  </sheetPr>
  <dimension ref="B1:AF29"/>
  <sheetViews>
    <sheetView tabSelected="1" view="pageBreakPreview" zoomScaleNormal="115" zoomScaleSheetLayoutView="100" workbookViewId="0">
      <selection activeCell="P15" sqref="P15"/>
    </sheetView>
  </sheetViews>
  <sheetFormatPr defaultRowHeight="12.75" x14ac:dyDescent="0.2"/>
  <cols>
    <col min="1" max="1" width="3.140625" customWidth="1"/>
    <col min="2" max="2" width="6.140625" customWidth="1"/>
    <col min="3" max="3" width="33.42578125" customWidth="1"/>
    <col min="4" max="4" width="7.7109375" bestFit="1" customWidth="1"/>
    <col min="5" max="5" width="7" customWidth="1"/>
    <col min="6" max="6" width="18.42578125" customWidth="1"/>
    <col min="7" max="7" width="5.85546875" customWidth="1"/>
    <col min="8" max="8" width="7" customWidth="1"/>
    <col min="9" max="9" width="4.5703125" customWidth="1"/>
    <col min="12" max="12" width="0" hidden="1" customWidth="1"/>
  </cols>
  <sheetData>
    <row r="1" spans="2:32" x14ac:dyDescent="0.2">
      <c r="B1" s="70"/>
      <c r="I1" s="70"/>
      <c r="J1" s="45"/>
      <c r="K1" s="45"/>
      <c r="L1" s="45"/>
      <c r="M1" s="45"/>
      <c r="N1" s="45"/>
      <c r="O1" s="45"/>
      <c r="P1" s="45"/>
      <c r="Q1" s="45"/>
    </row>
    <row r="2" spans="2:32" ht="18" customHeight="1" x14ac:dyDescent="0.25">
      <c r="B2" s="89" t="s">
        <v>49</v>
      </c>
      <c r="C2" s="90"/>
      <c r="D2" s="90"/>
      <c r="E2" s="90"/>
      <c r="F2" s="90"/>
      <c r="G2" s="90"/>
      <c r="H2" s="65"/>
    </row>
    <row r="3" spans="2:32" ht="18" x14ac:dyDescent="0.25">
      <c r="B3" s="89" t="s">
        <v>40</v>
      </c>
      <c r="C3" s="90"/>
      <c r="D3" s="90"/>
      <c r="E3" s="90"/>
      <c r="F3" s="90"/>
      <c r="G3" s="90"/>
      <c r="H3" s="65"/>
    </row>
    <row r="4" spans="2:32" ht="16.5" thickBot="1" x14ac:dyDescent="0.3">
      <c r="B4" s="91" t="s">
        <v>72</v>
      </c>
      <c r="C4" s="92"/>
      <c r="D4" s="92"/>
      <c r="E4" s="92"/>
      <c r="F4" s="92"/>
      <c r="G4" s="92"/>
      <c r="H4" s="65"/>
    </row>
    <row r="5" spans="2:32" ht="14.25" thickTop="1" x14ac:dyDescent="0.2">
      <c r="B5" s="120" t="s">
        <v>48</v>
      </c>
      <c r="C5" s="121"/>
      <c r="D5" s="33" t="s">
        <v>21</v>
      </c>
      <c r="E5" s="36" t="s">
        <v>22</v>
      </c>
      <c r="F5" s="88" t="s">
        <v>27</v>
      </c>
      <c r="G5" s="33" t="s">
        <v>21</v>
      </c>
      <c r="H5" s="34" t="s">
        <v>22</v>
      </c>
      <c r="AE5">
        <v>2019</v>
      </c>
      <c r="AF5" s="102">
        <v>2020</v>
      </c>
    </row>
    <row r="6" spans="2:32" ht="13.5" x14ac:dyDescent="0.2">
      <c r="B6" s="122" t="s">
        <v>24</v>
      </c>
      <c r="C6" s="123"/>
      <c r="D6" s="37">
        <v>282</v>
      </c>
      <c r="E6" s="39">
        <f t="shared" ref="E6:E12" si="0">D6/D$13*100</f>
        <v>14.702815432742439</v>
      </c>
      <c r="F6" s="55" t="s">
        <v>36</v>
      </c>
      <c r="G6" s="37">
        <v>104</v>
      </c>
      <c r="H6" s="40">
        <f t="shared" ref="H6:H12" si="1">G6/G$13*100</f>
        <v>14.985590778097983</v>
      </c>
    </row>
    <row r="7" spans="2:32" ht="13.5" x14ac:dyDescent="0.2">
      <c r="B7" s="113" t="s">
        <v>25</v>
      </c>
      <c r="C7" s="114"/>
      <c r="D7" s="37">
        <v>235</v>
      </c>
      <c r="E7" s="39">
        <f t="shared" si="0"/>
        <v>12.252346193952034</v>
      </c>
      <c r="F7" s="55" t="s">
        <v>28</v>
      </c>
      <c r="G7" s="37">
        <v>65</v>
      </c>
      <c r="H7" s="40">
        <f t="shared" si="1"/>
        <v>9.3659942363112396</v>
      </c>
    </row>
    <row r="8" spans="2:32" ht="13.5" x14ac:dyDescent="0.2">
      <c r="B8" s="113" t="s">
        <v>35</v>
      </c>
      <c r="C8" s="114"/>
      <c r="D8" s="37">
        <v>124</v>
      </c>
      <c r="E8" s="39">
        <f t="shared" si="0"/>
        <v>6.4650677789363922</v>
      </c>
      <c r="F8" s="55" t="s">
        <v>51</v>
      </c>
      <c r="G8" s="37">
        <v>53</v>
      </c>
      <c r="H8" s="40">
        <f t="shared" si="1"/>
        <v>7.6368876080691637</v>
      </c>
    </row>
    <row r="9" spans="2:32" ht="13.5" x14ac:dyDescent="0.2">
      <c r="B9" s="113" t="s">
        <v>55</v>
      </c>
      <c r="C9" s="114"/>
      <c r="D9" s="37">
        <v>106</v>
      </c>
      <c r="E9" s="39">
        <f t="shared" si="0"/>
        <v>5.5265901981230448</v>
      </c>
      <c r="F9" s="55" t="s">
        <v>60</v>
      </c>
      <c r="G9" s="37">
        <v>52</v>
      </c>
      <c r="H9" s="40">
        <f t="shared" si="1"/>
        <v>7.4927953890489913</v>
      </c>
    </row>
    <row r="10" spans="2:32" ht="13.5" x14ac:dyDescent="0.2">
      <c r="B10" s="113" t="s">
        <v>54</v>
      </c>
      <c r="C10" s="114"/>
      <c r="D10" s="37">
        <v>79</v>
      </c>
      <c r="E10" s="39">
        <f t="shared" si="0"/>
        <v>4.1188738269030241</v>
      </c>
      <c r="F10" s="55" t="s">
        <v>37</v>
      </c>
      <c r="G10" s="37">
        <v>50</v>
      </c>
      <c r="H10" s="40">
        <f t="shared" si="1"/>
        <v>7.2046109510086458</v>
      </c>
    </row>
    <row r="11" spans="2:32" ht="13.5" x14ac:dyDescent="0.2">
      <c r="B11" s="113" t="s">
        <v>34</v>
      </c>
      <c r="C11" s="114"/>
      <c r="D11" s="37">
        <v>74</v>
      </c>
      <c r="E11" s="39">
        <f t="shared" si="0"/>
        <v>3.8581856100104277</v>
      </c>
      <c r="F11" s="55" t="s">
        <v>57</v>
      </c>
      <c r="G11" s="37">
        <v>42</v>
      </c>
      <c r="H11" s="40">
        <f t="shared" si="1"/>
        <v>6.0518731988472618</v>
      </c>
    </row>
    <row r="12" spans="2:32" ht="13.5" x14ac:dyDescent="0.2">
      <c r="B12" s="113" t="s">
        <v>53</v>
      </c>
      <c r="C12" s="114" t="s">
        <v>31</v>
      </c>
      <c r="D12" s="37">
        <f>D13-SUM(D6:D11)</f>
        <v>1018</v>
      </c>
      <c r="E12" s="39">
        <f t="shared" si="0"/>
        <v>53.076120959332641</v>
      </c>
      <c r="F12" s="55" t="s">
        <v>32</v>
      </c>
      <c r="G12" s="37">
        <f>G13-SUM(G6:G11)</f>
        <v>328</v>
      </c>
      <c r="H12" s="40">
        <f t="shared" si="1"/>
        <v>47.262247838616716</v>
      </c>
    </row>
    <row r="13" spans="2:32" ht="14.25" thickBot="1" x14ac:dyDescent="0.25">
      <c r="B13" s="107" t="s">
        <v>20</v>
      </c>
      <c r="C13" s="108" t="s">
        <v>20</v>
      </c>
      <c r="D13" s="60">
        <v>1918</v>
      </c>
      <c r="E13" s="75"/>
      <c r="F13" s="38" t="s">
        <v>29</v>
      </c>
      <c r="G13" s="60">
        <v>694</v>
      </c>
      <c r="H13" s="68"/>
    </row>
    <row r="14" spans="2:32" ht="7.5" customHeight="1" x14ac:dyDescent="0.2">
      <c r="B14" s="109"/>
      <c r="C14" s="110"/>
      <c r="D14" s="27"/>
      <c r="E14" s="27"/>
      <c r="F14" s="27"/>
      <c r="G14" s="27"/>
      <c r="H14" s="32"/>
    </row>
    <row r="15" spans="2:32" x14ac:dyDescent="0.2">
      <c r="B15" s="117" t="s">
        <v>50</v>
      </c>
      <c r="C15" s="118"/>
      <c r="D15" s="66"/>
      <c r="E15" s="66"/>
      <c r="F15" s="66"/>
      <c r="G15" s="66"/>
      <c r="H15" s="67"/>
    </row>
    <row r="16" spans="2:32" ht="7.5" customHeight="1" x14ac:dyDescent="0.2">
      <c r="B16" s="119"/>
      <c r="C16" s="118"/>
      <c r="H16" s="26"/>
    </row>
    <row r="17" spans="2:11" ht="13.5" thickBot="1" x14ac:dyDescent="0.25">
      <c r="B17" s="93" t="s">
        <v>70</v>
      </c>
      <c r="C17" s="28"/>
      <c r="D17" s="28"/>
      <c r="E17" s="28"/>
      <c r="F17" s="28"/>
      <c r="G17" s="28"/>
      <c r="H17" s="94"/>
      <c r="J17" s="41"/>
    </row>
    <row r="18" spans="2:11" ht="13.5" thickTop="1" x14ac:dyDescent="0.2">
      <c r="I18" s="61"/>
      <c r="J18" s="56"/>
      <c r="K18" s="56"/>
    </row>
    <row r="19" spans="2:11" x14ac:dyDescent="0.2">
      <c r="I19" s="56"/>
      <c r="J19" s="9"/>
    </row>
    <row r="22" spans="2:11" ht="33.75" customHeight="1" thickBot="1" x14ac:dyDescent="0.25">
      <c r="B22" s="73" t="s">
        <v>71</v>
      </c>
      <c r="C22" s="69"/>
      <c r="D22" s="69"/>
      <c r="E22" s="69"/>
      <c r="F22" s="69"/>
      <c r="G22" s="69"/>
      <c r="H22" s="69"/>
    </row>
    <row r="23" spans="2:11" ht="13.5" thickTop="1" x14ac:dyDescent="0.2">
      <c r="B23" s="83" t="s">
        <v>23</v>
      </c>
      <c r="C23" s="84" t="s">
        <v>26</v>
      </c>
      <c r="D23" s="85" t="s">
        <v>21</v>
      </c>
      <c r="E23" s="86" t="s">
        <v>23</v>
      </c>
      <c r="F23" s="115" t="s">
        <v>33</v>
      </c>
      <c r="G23" s="116"/>
      <c r="H23" s="87" t="s">
        <v>21</v>
      </c>
      <c r="J23" s="58"/>
    </row>
    <row r="24" spans="2:11" x14ac:dyDescent="0.2">
      <c r="B24" s="35">
        <v>1</v>
      </c>
      <c r="C24" s="44" t="s">
        <v>56</v>
      </c>
      <c r="D24">
        <v>279</v>
      </c>
      <c r="E24" s="42">
        <v>1</v>
      </c>
      <c r="F24" s="111" t="s">
        <v>19</v>
      </c>
      <c r="G24" s="112"/>
      <c r="H24" s="59">
        <v>495</v>
      </c>
    </row>
    <row r="25" spans="2:11" x14ac:dyDescent="0.2">
      <c r="B25" s="35">
        <v>2</v>
      </c>
      <c r="C25" s="44" t="s">
        <v>52</v>
      </c>
      <c r="D25">
        <v>179</v>
      </c>
      <c r="E25" s="42">
        <v>2</v>
      </c>
      <c r="F25" s="111" t="s">
        <v>66</v>
      </c>
      <c r="G25" s="112"/>
      <c r="H25" s="59">
        <v>166</v>
      </c>
    </row>
    <row r="26" spans="2:11" x14ac:dyDescent="0.2">
      <c r="B26" s="35">
        <v>3</v>
      </c>
      <c r="C26" s="82" t="s">
        <v>62</v>
      </c>
      <c r="D26">
        <v>167</v>
      </c>
      <c r="E26" s="42">
        <v>3</v>
      </c>
      <c r="F26" s="111" t="s">
        <v>67</v>
      </c>
      <c r="G26" s="112"/>
      <c r="H26" s="59">
        <v>94</v>
      </c>
    </row>
    <row r="27" spans="2:11" x14ac:dyDescent="0.2">
      <c r="B27" s="35">
        <v>4</v>
      </c>
      <c r="C27" s="44" t="s">
        <v>58</v>
      </c>
      <c r="D27">
        <v>107</v>
      </c>
      <c r="E27" s="42">
        <v>4</v>
      </c>
      <c r="F27" s="111" t="s">
        <v>69</v>
      </c>
      <c r="G27" s="112"/>
      <c r="H27" s="59">
        <v>81</v>
      </c>
    </row>
    <row r="28" spans="2:11" ht="13.5" thickBot="1" x14ac:dyDescent="0.25">
      <c r="B28" s="57">
        <v>5</v>
      </c>
      <c r="C28" s="44" t="s">
        <v>63</v>
      </c>
      <c r="D28">
        <v>100</v>
      </c>
      <c r="E28" s="43">
        <v>5</v>
      </c>
      <c r="F28" s="111" t="s">
        <v>68</v>
      </c>
      <c r="G28" s="112"/>
      <c r="H28" s="59">
        <v>79</v>
      </c>
    </row>
    <row r="29" spans="2:11" ht="17.25" customHeight="1" thickTop="1" x14ac:dyDescent="0.2">
      <c r="B29" s="24" t="s">
        <v>61</v>
      </c>
      <c r="C29" s="24"/>
      <c r="D29" s="24"/>
      <c r="E29" s="24"/>
      <c r="F29" s="24"/>
      <c r="G29" s="24"/>
      <c r="H29" s="24"/>
    </row>
  </sheetData>
  <mergeCells count="18">
    <mergeCell ref="B5:C5"/>
    <mergeCell ref="B6:C6"/>
    <mergeCell ref="B7:C7"/>
    <mergeCell ref="B8:C8"/>
    <mergeCell ref="B9:C9"/>
    <mergeCell ref="B13:C13"/>
    <mergeCell ref="B14:C14"/>
    <mergeCell ref="F28:G28"/>
    <mergeCell ref="B11:C11"/>
    <mergeCell ref="B10:C10"/>
    <mergeCell ref="F25:G25"/>
    <mergeCell ref="F27:G27"/>
    <mergeCell ref="F23:G23"/>
    <mergeCell ref="F26:G26"/>
    <mergeCell ref="F24:G24"/>
    <mergeCell ref="B15:C15"/>
    <mergeCell ref="B16:C16"/>
    <mergeCell ref="B12:C12"/>
  </mergeCells>
  <phoneticPr fontId="0" type="noConversion"/>
  <printOptions horizontalCentered="1"/>
  <pageMargins left="0.77" right="0.75" top="0.75" bottom="0.75" header="0.5" footer="0.5"/>
  <pageSetup scale="96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B7046EDE9E0344B532F1CE2356DE02" ma:contentTypeVersion="14" ma:contentTypeDescription="Create a new document." ma:contentTypeScope="" ma:versionID="67d20dd3923714d864e99e5d01f2ec4d">
  <xsd:schema xmlns:xsd="http://www.w3.org/2001/XMLSchema" xmlns:xs="http://www.w3.org/2001/XMLSchema" xmlns:p="http://schemas.microsoft.com/office/2006/metadata/properties" xmlns:ns2="a1f33c3a-ad8c-49cb-b126-4e700016790f" xmlns:ns3="0eb0abdb-1613-4d86-ab04-d85a3be54dba" targetNamespace="http://schemas.microsoft.com/office/2006/metadata/properties" ma:root="true" ma:fieldsID="6c94c4aac428efeea8e1c3f6a340d0e4" ns2:_="" ns3:_="">
    <xsd:import namespace="a1f33c3a-ad8c-49cb-b126-4e700016790f"/>
    <xsd:import namespace="0eb0abdb-1613-4d86-ab04-d85a3be54d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f33c3a-ad8c-49cb-b126-4e70001679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8ed7cba-b263-44e1-aaea-116db9091a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b0abdb-1613-4d86-ab04-d85a3be54db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f33c3a-ad8c-49cb-b126-4e700016790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568F538-5AC9-454B-9768-9BD5619E6919}"/>
</file>

<file path=customXml/itemProps2.xml><?xml version="1.0" encoding="utf-8"?>
<ds:datastoreItem xmlns:ds="http://schemas.openxmlformats.org/officeDocument/2006/customXml" ds:itemID="{0A5EA8A5-D1F3-4228-9B1F-8172D8D5DD90}"/>
</file>

<file path=customXml/itemProps3.xml><?xml version="1.0" encoding="utf-8"?>
<ds:datastoreItem xmlns:ds="http://schemas.openxmlformats.org/officeDocument/2006/customXml" ds:itemID="{5D5B42A5-AED7-4EC2-A44E-7B86C9B89D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Grad demo &amp; graph</vt:lpstr>
      <vt:lpstr>Grad origin, deg, maj</vt:lpstr>
      <vt:lpstr>'Grad demo &amp; graph'!Print_Area</vt:lpstr>
      <vt:lpstr>'Grad origin, deg, maj'!Print_Area</vt:lpstr>
    </vt:vector>
  </TitlesOfParts>
  <Company>PASS - KSU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jstroade</dc:creator>
  <cp:lastModifiedBy>Yuhao Liu</cp:lastModifiedBy>
  <cp:lastPrinted>2022-12-22T20:52:03Z</cp:lastPrinted>
  <dcterms:created xsi:type="dcterms:W3CDTF">2004-05-20T15:37:32Z</dcterms:created>
  <dcterms:modified xsi:type="dcterms:W3CDTF">2025-10-15T21:57:50Z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0x010100BFB7046EDE9E0344B532F1CE2356DE02</vt:lpwstr>
  </property>
</Properties>
</file>