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hao1\Desktop\Student Report\2025\enrollment\"/>
    </mc:Choice>
  </mc:AlternateContent>
  <xr:revisionPtr revIDLastSave="0" documentId="13_ncr:1_{F7A33BE0-896C-4E04-8C51-17527B21D819}" xr6:coauthVersionLast="47" xr6:coauthVersionMax="47" xr10:uidLastSave="{00000000-0000-0000-0000-000000000000}"/>
  <bookViews>
    <workbookView xWindow="-28920" yWindow="-120" windowWidth="29040" windowHeight="15720" tabRatio="943" activeTab="10" xr2:uid="{00000000-000D-0000-FFFF-FFFF00000000}"/>
  </bookViews>
  <sheets>
    <sheet name="Agriculture" sheetId="115" r:id="rId1"/>
    <sheet name="Architecture" sheetId="771" r:id="rId2"/>
    <sheet name="Arts &amp; Sciences" sheetId="89" r:id="rId3"/>
    <sheet name="Business" sheetId="49557" r:id="rId4"/>
    <sheet name="Education" sheetId="49558" r:id="rId5"/>
    <sheet name="Engineering" sheetId="515" r:id="rId6"/>
    <sheet name="Health and Human Sciences" sheetId="78" r:id="rId7"/>
    <sheet name="Technology" sheetId="111" r:id="rId8"/>
    <sheet name="Vet Med" sheetId="49554" r:id="rId9"/>
    <sheet name="Salina campus only" sheetId="49553" r:id="rId10"/>
    <sheet name="Olathe campus only" sheetId="49560" r:id="rId11"/>
  </sheets>
  <definedNames>
    <definedName name="_xlnm.Print_Area" localSheetId="0">Agriculture!$A$1:$AF$55</definedName>
    <definedName name="_xlnm.Print_Area" localSheetId="1">Architecture!$A$1:$AF$50</definedName>
    <definedName name="_xlnm.Print_Area" localSheetId="2">'Arts &amp; Sciences'!$A$1:$AF$55</definedName>
    <definedName name="_xlnm.Print_Area" localSheetId="3">Business!$A$1:$AF$49</definedName>
    <definedName name="_xlnm.Print_Area" localSheetId="4">Education!$A$1:$AF$56</definedName>
    <definedName name="_xlnm.Print_Area" localSheetId="5">Engineering!$A$1:$AF$49</definedName>
    <definedName name="_xlnm.Print_Area" localSheetId="6">'Health and Human Sciences'!$A$1:$AF$58</definedName>
    <definedName name="_xlnm.Print_Area" localSheetId="10">'Olathe campus only'!$A$1:$J$39</definedName>
    <definedName name="_xlnm.Print_Area" localSheetId="9">'Salina campus only'!$A$1:$AC$36</definedName>
    <definedName name="_xlnm.Print_Area" localSheetId="7">Technology!$A$1:$AF$51</definedName>
    <definedName name="_xlnm.Print_Area" localSheetId="8">'Vet Med'!$A$1:$AF$49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8" i="115" l="1"/>
  <c r="AF8" i="771"/>
  <c r="J37" i="49560"/>
  <c r="J36" i="49560"/>
  <c r="J32" i="49560"/>
  <c r="J26" i="49560"/>
  <c r="J20" i="49560"/>
  <c r="J8" i="49560"/>
  <c r="J35" i="49560"/>
  <c r="AC34" i="49553"/>
  <c r="AC33" i="49553"/>
  <c r="AC35" i="49553" s="1"/>
  <c r="AC29" i="49553"/>
  <c r="AC14" i="49553"/>
  <c r="AF8" i="111"/>
  <c r="AF9" i="78"/>
  <c r="AF7" i="515"/>
  <c r="AF8" i="49558"/>
  <c r="AF8" i="49557"/>
  <c r="AF9" i="89"/>
  <c r="J29" i="49560"/>
  <c r="AC26" i="49553"/>
  <c r="AC23" i="49553"/>
  <c r="AC20" i="49553"/>
  <c r="AC11" i="49553"/>
  <c r="AC8" i="49553"/>
  <c r="AF8" i="49554"/>
  <c r="J38" i="49560" l="1"/>
  <c r="J23" i="49560"/>
  <c r="J17" i="49560"/>
  <c r="J14" i="49560"/>
  <c r="J11" i="49560"/>
  <c r="AC32" i="49553"/>
  <c r="C32" i="49553" l="1"/>
  <c r="D32" i="49553"/>
  <c r="E32" i="49553"/>
  <c r="F32" i="49553"/>
  <c r="G32" i="49553"/>
  <c r="H32" i="49553"/>
  <c r="I32" i="49553"/>
  <c r="J32" i="49553"/>
  <c r="K32" i="49553"/>
  <c r="L32" i="49553"/>
  <c r="N32" i="49553"/>
  <c r="O32" i="49553"/>
  <c r="P32" i="49553"/>
  <c r="Q32" i="49553"/>
  <c r="R32" i="49553"/>
  <c r="S32" i="49553"/>
  <c r="T32" i="49553"/>
  <c r="U32" i="49553"/>
  <c r="V32" i="49553"/>
  <c r="W32" i="49553"/>
  <c r="D37" i="49560" l="1"/>
  <c r="D36" i="49560"/>
  <c r="C37" i="49560"/>
  <c r="C36" i="49560"/>
  <c r="C8" i="49560" l="1"/>
  <c r="D29" i="49560"/>
  <c r="C29" i="49560"/>
  <c r="D26" i="49560"/>
  <c r="C26" i="49560"/>
  <c r="D23" i="49560"/>
  <c r="C23" i="49560"/>
  <c r="D20" i="49560"/>
  <c r="C20" i="49560"/>
  <c r="D17" i="49560"/>
  <c r="C17" i="49560"/>
  <c r="D14" i="49560"/>
  <c r="C14" i="49560"/>
  <c r="D11" i="49560"/>
  <c r="C11" i="49560"/>
  <c r="D8" i="49560"/>
  <c r="C38" i="49560" l="1"/>
  <c r="D38" i="49560"/>
  <c r="AA8" i="49554" l="1"/>
  <c r="AA8" i="111"/>
  <c r="AA9" i="78"/>
  <c r="AA7" i="515" l="1"/>
  <c r="AA8" i="49558"/>
  <c r="AA8" i="49557"/>
  <c r="AA9" i="89"/>
  <c r="AA8" i="771"/>
  <c r="AA8" i="115"/>
  <c r="V8" i="49553" l="1"/>
  <c r="W8" i="49553"/>
  <c r="V11" i="49553"/>
  <c r="W11" i="49553"/>
  <c r="V14" i="49553"/>
  <c r="W14" i="49553"/>
  <c r="V17" i="49553"/>
  <c r="W17" i="49553"/>
  <c r="V20" i="49553"/>
  <c r="W20" i="49553"/>
  <c r="V23" i="49553"/>
  <c r="W23" i="49553"/>
  <c r="V26" i="49553"/>
  <c r="W26" i="49553"/>
  <c r="V29" i="49553"/>
  <c r="W29" i="49553"/>
  <c r="V33" i="49553"/>
  <c r="W33" i="49553"/>
  <c r="V34" i="49553"/>
  <c r="W34" i="49553"/>
  <c r="Z8" i="49554"/>
  <c r="Z8" i="111"/>
  <c r="Z9" i="78"/>
  <c r="Z7" i="515"/>
  <c r="Z8" i="49558"/>
  <c r="Z8" i="49557"/>
  <c r="Z9" i="89"/>
  <c r="Z8" i="771"/>
  <c r="Z8" i="115"/>
  <c r="V35" i="49553" l="1"/>
  <c r="W35" i="49553"/>
  <c r="Y8" i="49554" l="1"/>
  <c r="Y8" i="111"/>
  <c r="Y9" i="78"/>
  <c r="Y7" i="515"/>
  <c r="Y8" i="49558"/>
  <c r="Y8" i="49557"/>
  <c r="Y9" i="89"/>
  <c r="Y8" i="771"/>
  <c r="Y12" i="115"/>
  <c r="Y8" i="115" l="1"/>
  <c r="T22" i="49554" l="1"/>
  <c r="T22" i="111"/>
  <c r="T23" i="78"/>
  <c r="T21" i="515"/>
  <c r="T23" i="49558"/>
  <c r="T22" i="49557"/>
  <c r="T24" i="89"/>
  <c r="T22" i="771"/>
  <c r="T22" i="115"/>
  <c r="X8" i="49554" l="1"/>
  <c r="X8" i="111"/>
  <c r="X9" i="78"/>
  <c r="X7" i="515"/>
  <c r="X8" i="49558"/>
  <c r="X8" i="49557"/>
  <c r="X9" i="89"/>
  <c r="X8" i="771"/>
  <c r="X8" i="115"/>
  <c r="U11" i="49553" l="1"/>
  <c r="U8" i="49553"/>
  <c r="U14" i="49553"/>
  <c r="U17" i="49553"/>
  <c r="U20" i="49553"/>
  <c r="U23" i="49553"/>
  <c r="U26" i="49553"/>
  <c r="U29" i="49553"/>
  <c r="U33" i="49553"/>
  <c r="U34" i="49553"/>
  <c r="U35" i="49553" l="1"/>
  <c r="T8" i="49553" l="1"/>
  <c r="T14" i="49553"/>
  <c r="T17" i="49553"/>
  <c r="T20" i="49553"/>
  <c r="T23" i="49553"/>
  <c r="T26" i="49553"/>
  <c r="T29" i="49553"/>
  <c r="T33" i="49553"/>
  <c r="T34" i="49553"/>
  <c r="W8" i="49554"/>
  <c r="W8" i="111"/>
  <c r="W9" i="78"/>
  <c r="W7" i="515"/>
  <c r="W9" i="89"/>
  <c r="W8" i="771"/>
  <c r="W8" i="115"/>
  <c r="R6" i="49553"/>
  <c r="R7" i="49553"/>
  <c r="R12" i="49553"/>
  <c r="R13" i="49553"/>
  <c r="R17" i="49553"/>
  <c r="R20" i="49553"/>
  <c r="R21" i="49553"/>
  <c r="R23" i="49553" s="1"/>
  <c r="R26" i="49553"/>
  <c r="R27" i="49553"/>
  <c r="R28" i="49553"/>
  <c r="U20" i="49554"/>
  <c r="U17" i="49554"/>
  <c r="U18" i="49554"/>
  <c r="U8" i="49554"/>
  <c r="U20" i="111"/>
  <c r="U8" i="111"/>
  <c r="U21" i="78"/>
  <c r="U19" i="78"/>
  <c r="U9" i="78"/>
  <c r="U19" i="515"/>
  <c r="U7" i="515"/>
  <c r="U22" i="89"/>
  <c r="U9" i="89"/>
  <c r="U20" i="771"/>
  <c r="U8" i="771"/>
  <c r="U20" i="115"/>
  <c r="U17" i="115"/>
  <c r="U18" i="115"/>
  <c r="U8" i="115"/>
  <c r="S34" i="49553"/>
  <c r="V8" i="49554"/>
  <c r="S8" i="49553"/>
  <c r="S14" i="49553"/>
  <c r="S17" i="49553"/>
  <c r="S20" i="49553"/>
  <c r="S23" i="49553"/>
  <c r="S26" i="49553"/>
  <c r="S29" i="49553"/>
  <c r="S33" i="49553"/>
  <c r="V8" i="111"/>
  <c r="V9" i="78"/>
  <c r="V7" i="515"/>
  <c r="V9" i="89"/>
  <c r="V8" i="771"/>
  <c r="V8" i="115"/>
  <c r="Q8" i="49553"/>
  <c r="Q14" i="49553"/>
  <c r="Q17" i="49553"/>
  <c r="Q20" i="49553"/>
  <c r="Q23" i="49553"/>
  <c r="Q26" i="49553"/>
  <c r="Q29" i="49553"/>
  <c r="Q34" i="49553"/>
  <c r="Q33" i="49553"/>
  <c r="T9" i="89"/>
  <c r="T8" i="49554"/>
  <c r="T8" i="111"/>
  <c r="T9" i="78"/>
  <c r="T7" i="515"/>
  <c r="T8" i="771"/>
  <c r="T8" i="115"/>
  <c r="P34" i="49553"/>
  <c r="P33" i="49553"/>
  <c r="S8" i="49554"/>
  <c r="P8" i="49553"/>
  <c r="P14" i="49553"/>
  <c r="P17" i="49553"/>
  <c r="P20" i="49553"/>
  <c r="P23" i="49553"/>
  <c r="P26" i="49553"/>
  <c r="P29" i="49553"/>
  <c r="S8" i="111"/>
  <c r="S9" i="78"/>
  <c r="S7" i="515"/>
  <c r="S9" i="89"/>
  <c r="S8" i="771"/>
  <c r="S8" i="115"/>
  <c r="R9" i="78"/>
  <c r="R8" i="49554"/>
  <c r="O8" i="49553"/>
  <c r="O14" i="49553"/>
  <c r="O17" i="49553"/>
  <c r="O20" i="49553"/>
  <c r="O23" i="49553"/>
  <c r="O26" i="49553"/>
  <c r="O29" i="49553"/>
  <c r="O34" i="49553"/>
  <c r="O33" i="49553"/>
  <c r="R9" i="89"/>
  <c r="R8" i="771"/>
  <c r="R8" i="115"/>
  <c r="R7" i="515"/>
  <c r="R8" i="111"/>
  <c r="N21" i="115"/>
  <c r="Q8" i="771"/>
  <c r="Q20" i="771"/>
  <c r="P8" i="771"/>
  <c r="O8" i="771"/>
  <c r="N8" i="771"/>
  <c r="M21" i="771"/>
  <c r="M20" i="771"/>
  <c r="M8" i="771"/>
  <c r="L21" i="771"/>
  <c r="L20" i="771"/>
  <c r="L8" i="771"/>
  <c r="K21" i="771"/>
  <c r="K20" i="771"/>
  <c r="K8" i="771"/>
  <c r="I20" i="771"/>
  <c r="H20" i="771"/>
  <c r="G20" i="771"/>
  <c r="F20" i="771"/>
  <c r="E20" i="771"/>
  <c r="D20" i="771"/>
  <c r="C20" i="771"/>
  <c r="J8" i="771"/>
  <c r="I8" i="771"/>
  <c r="H8" i="771"/>
  <c r="G8" i="771"/>
  <c r="F8" i="771"/>
  <c r="E8" i="771"/>
  <c r="D8" i="771"/>
  <c r="C8" i="771"/>
  <c r="Q9" i="89"/>
  <c r="Q23" i="89"/>
  <c r="Q22" i="89"/>
  <c r="P9" i="89"/>
  <c r="F25" i="89"/>
  <c r="E25" i="89"/>
  <c r="M23" i="89"/>
  <c r="L23" i="89"/>
  <c r="K23" i="89"/>
  <c r="M22" i="89"/>
  <c r="L22" i="89"/>
  <c r="K22" i="89"/>
  <c r="I22" i="89"/>
  <c r="H22" i="89"/>
  <c r="G22" i="89"/>
  <c r="F22" i="89"/>
  <c r="E22" i="89"/>
  <c r="D22" i="89"/>
  <c r="C22" i="89"/>
  <c r="F19" i="89"/>
  <c r="F20" i="89"/>
  <c r="E20" i="89"/>
  <c r="F15" i="89"/>
  <c r="E15" i="89"/>
  <c r="E14" i="89"/>
  <c r="F13" i="89"/>
  <c r="F12" i="89"/>
  <c r="E12" i="89"/>
  <c r="F11" i="89"/>
  <c r="E11" i="89"/>
  <c r="F10" i="89"/>
  <c r="E10" i="89"/>
  <c r="O9" i="89"/>
  <c r="N9" i="89"/>
  <c r="M9" i="89"/>
  <c r="L9" i="89"/>
  <c r="K9" i="89"/>
  <c r="J9" i="89"/>
  <c r="I9" i="89"/>
  <c r="H9" i="89"/>
  <c r="G9" i="89"/>
  <c r="D9" i="89"/>
  <c r="C9" i="89"/>
  <c r="Q8" i="115"/>
  <c r="P8" i="115"/>
  <c r="Q21" i="115"/>
  <c r="Q20" i="115"/>
  <c r="E23" i="115"/>
  <c r="M21" i="115"/>
  <c r="L21" i="115"/>
  <c r="K21" i="115"/>
  <c r="M20" i="115"/>
  <c r="L20" i="115"/>
  <c r="K20" i="115"/>
  <c r="I20" i="115"/>
  <c r="H20" i="115"/>
  <c r="G20" i="115"/>
  <c r="F20" i="115"/>
  <c r="E20" i="115"/>
  <c r="D20" i="115"/>
  <c r="C20" i="115"/>
  <c r="E14" i="115"/>
  <c r="E11" i="115"/>
  <c r="E10" i="115"/>
  <c r="E8" i="115" s="1"/>
  <c r="O8" i="115"/>
  <c r="N8" i="115"/>
  <c r="M8" i="115"/>
  <c r="L8" i="115"/>
  <c r="K8" i="115"/>
  <c r="J8" i="115"/>
  <c r="I8" i="115"/>
  <c r="H8" i="115"/>
  <c r="G8" i="115"/>
  <c r="F8" i="115"/>
  <c r="D8" i="115"/>
  <c r="C8" i="115"/>
  <c r="Q7" i="515"/>
  <c r="P7" i="515"/>
  <c r="Q20" i="515"/>
  <c r="Q19" i="515"/>
  <c r="F22" i="515"/>
  <c r="E22" i="515"/>
  <c r="M20" i="515"/>
  <c r="L20" i="515"/>
  <c r="K20" i="515"/>
  <c r="M19" i="515"/>
  <c r="L19" i="515"/>
  <c r="K19" i="515"/>
  <c r="I19" i="515"/>
  <c r="H19" i="515"/>
  <c r="G19" i="515"/>
  <c r="F19" i="515"/>
  <c r="E19" i="515"/>
  <c r="D19" i="515"/>
  <c r="C19" i="515"/>
  <c r="F12" i="515"/>
  <c r="E12" i="515"/>
  <c r="F10" i="515"/>
  <c r="E10" i="515"/>
  <c r="F9" i="515"/>
  <c r="E9" i="515"/>
  <c r="F8" i="515"/>
  <c r="E8" i="515"/>
  <c r="O7" i="515"/>
  <c r="N7" i="515"/>
  <c r="M7" i="515"/>
  <c r="L7" i="515"/>
  <c r="K7" i="515"/>
  <c r="J7" i="515"/>
  <c r="I7" i="515"/>
  <c r="H7" i="515"/>
  <c r="G7" i="515"/>
  <c r="D7" i="515"/>
  <c r="C7" i="515"/>
  <c r="Q9" i="78"/>
  <c r="P9" i="78"/>
  <c r="Q24" i="78"/>
  <c r="Q22" i="78"/>
  <c r="Q21" i="78"/>
  <c r="F24" i="78"/>
  <c r="E24" i="78"/>
  <c r="M22" i="78"/>
  <c r="L22" i="78"/>
  <c r="K22" i="78"/>
  <c r="M21" i="78"/>
  <c r="L21" i="78"/>
  <c r="K21" i="78"/>
  <c r="I21" i="78"/>
  <c r="H21" i="78"/>
  <c r="G21" i="78"/>
  <c r="F21" i="78"/>
  <c r="E21" i="78"/>
  <c r="D21" i="78"/>
  <c r="C21" i="78"/>
  <c r="F15" i="78"/>
  <c r="E15" i="78"/>
  <c r="F12" i="78"/>
  <c r="E12" i="78"/>
  <c r="F11" i="78"/>
  <c r="F9" i="78" s="1"/>
  <c r="E11" i="78"/>
  <c r="E10" i="78"/>
  <c r="O9" i="78"/>
  <c r="N9" i="78"/>
  <c r="M9" i="78"/>
  <c r="L9" i="78"/>
  <c r="K9" i="78"/>
  <c r="J9" i="78"/>
  <c r="I9" i="78"/>
  <c r="H9" i="78"/>
  <c r="G9" i="78"/>
  <c r="D9" i="78"/>
  <c r="C9" i="78"/>
  <c r="F25" i="78"/>
  <c r="E25" i="78"/>
  <c r="N8" i="49553"/>
  <c r="N14" i="49553"/>
  <c r="N17" i="49553"/>
  <c r="N20" i="49553"/>
  <c r="N23" i="49553"/>
  <c r="N26" i="49553"/>
  <c r="N29" i="49553"/>
  <c r="N34" i="49553"/>
  <c r="M34" i="49553"/>
  <c r="N33" i="49553"/>
  <c r="M35" i="49553"/>
  <c r="L8" i="49553"/>
  <c r="L11" i="49553"/>
  <c r="L14" i="49553"/>
  <c r="L17" i="49553"/>
  <c r="L20" i="49553"/>
  <c r="L23" i="49553"/>
  <c r="L26" i="49553"/>
  <c r="L29" i="49553"/>
  <c r="K8" i="49553"/>
  <c r="K11" i="49553"/>
  <c r="K14" i="49553"/>
  <c r="K17" i="49553"/>
  <c r="K20" i="49553"/>
  <c r="K23" i="49553"/>
  <c r="K26" i="49553"/>
  <c r="K29" i="49553"/>
  <c r="J8" i="49553"/>
  <c r="J11" i="49553"/>
  <c r="J14" i="49553"/>
  <c r="J17" i="49553"/>
  <c r="J20" i="49553"/>
  <c r="J23" i="49553"/>
  <c r="J26" i="49553"/>
  <c r="J29" i="49553"/>
  <c r="I8" i="49553"/>
  <c r="I11" i="49553"/>
  <c r="I14" i="49553"/>
  <c r="I17" i="49553"/>
  <c r="I20" i="49553"/>
  <c r="I23" i="49553"/>
  <c r="I26" i="49553"/>
  <c r="I29" i="49553"/>
  <c r="H8" i="49553"/>
  <c r="H11" i="49553"/>
  <c r="H14" i="49553"/>
  <c r="H17" i="49553"/>
  <c r="H20" i="49553"/>
  <c r="H23" i="49553"/>
  <c r="H26" i="49553"/>
  <c r="H29" i="49553"/>
  <c r="G8" i="49553"/>
  <c r="G11" i="49553"/>
  <c r="G14" i="49553"/>
  <c r="G17" i="49553"/>
  <c r="G20" i="49553"/>
  <c r="G23" i="49553"/>
  <c r="G26" i="49553"/>
  <c r="G29" i="49553"/>
  <c r="F8" i="49553"/>
  <c r="F11" i="49553"/>
  <c r="F14" i="49553"/>
  <c r="F17" i="49553"/>
  <c r="F20" i="49553"/>
  <c r="F23" i="49553"/>
  <c r="F26" i="49553"/>
  <c r="F29" i="49553"/>
  <c r="E8" i="49553"/>
  <c r="E11" i="49553"/>
  <c r="E14" i="49553"/>
  <c r="E17" i="49553"/>
  <c r="E20" i="49553"/>
  <c r="E23" i="49553"/>
  <c r="E26" i="49553"/>
  <c r="E29" i="49553"/>
  <c r="D8" i="49553"/>
  <c r="D11" i="49553"/>
  <c r="D14" i="49553"/>
  <c r="D17" i="49553"/>
  <c r="D20" i="49553"/>
  <c r="D23" i="49553"/>
  <c r="D26" i="49553"/>
  <c r="D29" i="49553"/>
  <c r="C8" i="49553"/>
  <c r="C11" i="49553"/>
  <c r="C14" i="49553"/>
  <c r="C17" i="49553"/>
  <c r="C20" i="49553"/>
  <c r="C23" i="49553"/>
  <c r="C26" i="49553"/>
  <c r="C29" i="49553"/>
  <c r="L34" i="49553"/>
  <c r="K34" i="49553"/>
  <c r="J34" i="49553"/>
  <c r="I34" i="49553"/>
  <c r="H34" i="49553"/>
  <c r="G34" i="49553"/>
  <c r="F34" i="49553"/>
  <c r="E34" i="49553"/>
  <c r="D34" i="49553"/>
  <c r="C34" i="49553"/>
  <c r="M33" i="49553"/>
  <c r="L33" i="49553"/>
  <c r="K33" i="49553"/>
  <c r="J33" i="49553"/>
  <c r="I33" i="49553"/>
  <c r="H33" i="49553"/>
  <c r="G33" i="49553"/>
  <c r="F33" i="49553"/>
  <c r="E33" i="49553"/>
  <c r="D33" i="49553"/>
  <c r="C33" i="49553"/>
  <c r="Q8" i="111"/>
  <c r="F23" i="111"/>
  <c r="E23" i="111"/>
  <c r="M21" i="111"/>
  <c r="L21" i="111"/>
  <c r="K21" i="111"/>
  <c r="M20" i="111"/>
  <c r="L20" i="111"/>
  <c r="K20" i="111"/>
  <c r="I20" i="111"/>
  <c r="H20" i="111"/>
  <c r="G20" i="111"/>
  <c r="F20" i="111"/>
  <c r="E20" i="111"/>
  <c r="F18" i="111"/>
  <c r="F14" i="111"/>
  <c r="E14" i="111"/>
  <c r="F13" i="111"/>
  <c r="E13" i="111"/>
  <c r="F12" i="111"/>
  <c r="F11" i="111"/>
  <c r="E11" i="111"/>
  <c r="F10" i="111"/>
  <c r="E10" i="111"/>
  <c r="F9" i="111"/>
  <c r="E9" i="111"/>
  <c r="P8" i="111"/>
  <c r="O8" i="111"/>
  <c r="N8" i="111"/>
  <c r="M8" i="111"/>
  <c r="L8" i="111"/>
  <c r="K8" i="111"/>
  <c r="J8" i="111"/>
  <c r="I8" i="111"/>
  <c r="H8" i="111"/>
  <c r="G8" i="111"/>
  <c r="D8" i="111"/>
  <c r="C8" i="111"/>
  <c r="M23" i="49554"/>
  <c r="H23" i="49554"/>
  <c r="G23" i="49554"/>
  <c r="F23" i="49554"/>
  <c r="E23" i="49554"/>
  <c r="D23" i="49554"/>
  <c r="C23" i="49554"/>
  <c r="L20" i="49554"/>
  <c r="H20" i="49554"/>
  <c r="G20" i="49554"/>
  <c r="F20" i="49554"/>
  <c r="E20" i="49554"/>
  <c r="D20" i="49554"/>
  <c r="C20" i="49554"/>
  <c r="G17" i="49554"/>
  <c r="D17" i="49554"/>
  <c r="E16" i="49554"/>
  <c r="D16" i="49554"/>
  <c r="G18" i="49554"/>
  <c r="G14" i="49554"/>
  <c r="E14" i="49554"/>
  <c r="D14" i="49554"/>
  <c r="C14" i="49554"/>
  <c r="M13" i="49554"/>
  <c r="H13" i="49554"/>
  <c r="G13" i="49554"/>
  <c r="F13" i="49554"/>
  <c r="E13" i="49554"/>
  <c r="D13" i="49554"/>
  <c r="C13" i="49554"/>
  <c r="M11" i="49554"/>
  <c r="E10" i="49554"/>
  <c r="H9" i="49554"/>
  <c r="H8" i="49554" s="1"/>
  <c r="G9" i="49554"/>
  <c r="G8" i="49554" s="1"/>
  <c r="F9" i="49554"/>
  <c r="F8" i="49554" s="1"/>
  <c r="E9" i="49554"/>
  <c r="D9" i="49554"/>
  <c r="D8" i="49554" s="1"/>
  <c r="C9" i="49554"/>
  <c r="C8" i="49554" s="1"/>
  <c r="M8" i="49554"/>
  <c r="L8" i="49554"/>
  <c r="K8" i="49554"/>
  <c r="J8" i="49554"/>
  <c r="I8" i="49554"/>
  <c r="F24" i="49558"/>
  <c r="E24" i="49558"/>
  <c r="Q22" i="49558"/>
  <c r="M22" i="49558"/>
  <c r="L22" i="49558"/>
  <c r="K22" i="49558"/>
  <c r="U21" i="49558"/>
  <c r="Q21" i="49558"/>
  <c r="M21" i="49558"/>
  <c r="L21" i="49558"/>
  <c r="K21" i="49558"/>
  <c r="I21" i="49558"/>
  <c r="H21" i="49558"/>
  <c r="G21" i="49558"/>
  <c r="F21" i="49558"/>
  <c r="E21" i="49558"/>
  <c r="D21" i="49558"/>
  <c r="C21" i="49558"/>
  <c r="U18" i="49558"/>
  <c r="F19" i="49558"/>
  <c r="S14" i="49558"/>
  <c r="F14" i="49558"/>
  <c r="E14" i="49558"/>
  <c r="F13" i="49558"/>
  <c r="E13" i="49558"/>
  <c r="F12" i="49558"/>
  <c r="F11" i="49558"/>
  <c r="E11" i="49558"/>
  <c r="F10" i="49558"/>
  <c r="E10" i="49558"/>
  <c r="F9" i="49558"/>
  <c r="E9" i="49558"/>
  <c r="W8" i="49558"/>
  <c r="V8" i="49558"/>
  <c r="U8" i="49558"/>
  <c r="T8" i="49558"/>
  <c r="S8" i="49558"/>
  <c r="R8" i="49558"/>
  <c r="Q8" i="49558"/>
  <c r="P8" i="49558"/>
  <c r="O8" i="49558"/>
  <c r="N8" i="49558"/>
  <c r="M8" i="49558"/>
  <c r="L8" i="49558"/>
  <c r="K8" i="49558"/>
  <c r="J8" i="49558"/>
  <c r="I8" i="49558"/>
  <c r="H8" i="49558"/>
  <c r="G8" i="49558"/>
  <c r="D8" i="49558"/>
  <c r="C8" i="49558"/>
  <c r="F23" i="49557"/>
  <c r="E23" i="49557"/>
  <c r="Q21" i="49557"/>
  <c r="M21" i="49557"/>
  <c r="L21" i="49557"/>
  <c r="K21" i="49557"/>
  <c r="U20" i="49557"/>
  <c r="Q20" i="49557"/>
  <c r="M20" i="49557"/>
  <c r="L20" i="49557"/>
  <c r="K20" i="49557"/>
  <c r="I20" i="49557"/>
  <c r="H20" i="49557"/>
  <c r="G20" i="49557"/>
  <c r="F20" i="49557"/>
  <c r="E20" i="49557"/>
  <c r="D20" i="49557"/>
  <c r="C20" i="49557"/>
  <c r="F14" i="49557"/>
  <c r="E14" i="49557"/>
  <c r="F13" i="49557"/>
  <c r="E13" i="49557"/>
  <c r="F11" i="49557"/>
  <c r="E11" i="49557"/>
  <c r="F10" i="49557"/>
  <c r="E10" i="49557"/>
  <c r="F9" i="49557"/>
  <c r="E9" i="49557"/>
  <c r="W8" i="49557"/>
  <c r="V8" i="49557"/>
  <c r="U8" i="49557"/>
  <c r="T8" i="49557"/>
  <c r="S8" i="49557"/>
  <c r="R8" i="49557"/>
  <c r="Q8" i="49557"/>
  <c r="P8" i="49557"/>
  <c r="O8" i="49557"/>
  <c r="N8" i="49557"/>
  <c r="M8" i="49557"/>
  <c r="L8" i="49557"/>
  <c r="K8" i="49557"/>
  <c r="J8" i="49557"/>
  <c r="I8" i="49557"/>
  <c r="H8" i="49557"/>
  <c r="G8" i="49557"/>
  <c r="D8" i="49557"/>
  <c r="C8" i="49557"/>
  <c r="F9" i="89" l="1"/>
  <c r="E8" i="49554"/>
  <c r="F8" i="49558"/>
  <c r="E8" i="49557"/>
  <c r="F8" i="49557"/>
  <c r="E8" i="111"/>
  <c r="R14" i="49553"/>
  <c r="E8" i="49558"/>
  <c r="R33" i="49553"/>
  <c r="E9" i="78"/>
  <c r="E7" i="515"/>
  <c r="T35" i="49553"/>
  <c r="F8" i="111"/>
  <c r="E9" i="89"/>
  <c r="S35" i="49553"/>
  <c r="R29" i="49553"/>
  <c r="D35" i="49553"/>
  <c r="F35" i="49553"/>
  <c r="H35" i="49553"/>
  <c r="J35" i="49553"/>
  <c r="L35" i="49553"/>
  <c r="O35" i="49553"/>
  <c r="F7" i="515"/>
  <c r="P35" i="49553"/>
  <c r="Q35" i="49553"/>
  <c r="N35" i="49553"/>
  <c r="C35" i="49553"/>
  <c r="E35" i="49553"/>
  <c r="G35" i="49553"/>
  <c r="I35" i="49553"/>
  <c r="K35" i="49553"/>
  <c r="R8" i="49553"/>
  <c r="R34" i="49553"/>
  <c r="R35" i="4955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Stearns</author>
  </authors>
  <commentList>
    <comment ref="A3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Anne Stearns: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<sst xmlns="http://schemas.openxmlformats.org/spreadsheetml/2006/main" count="346" uniqueCount="60">
  <si>
    <t>Fall Semester</t>
  </si>
  <si>
    <t>1990</t>
  </si>
  <si>
    <t>1991</t>
  </si>
  <si>
    <t>1992</t>
  </si>
  <si>
    <t>1993</t>
  </si>
  <si>
    <t>1994</t>
  </si>
  <si>
    <t>1995</t>
  </si>
  <si>
    <t>Undergraduates</t>
  </si>
  <si>
    <t>Full-Time</t>
  </si>
  <si>
    <t>Part-Time</t>
  </si>
  <si>
    <t>In-State</t>
  </si>
  <si>
    <t>Out-of-State</t>
  </si>
  <si>
    <t>Men</t>
  </si>
  <si>
    <t>Women</t>
  </si>
  <si>
    <t>Non-Res. Alien</t>
  </si>
  <si>
    <t>Black</t>
  </si>
  <si>
    <t>American Indian</t>
  </si>
  <si>
    <t>Asian</t>
  </si>
  <si>
    <t>Hispanic</t>
  </si>
  <si>
    <t>White</t>
  </si>
  <si>
    <t>Veterinary Medicine</t>
  </si>
  <si>
    <t>1996</t>
  </si>
  <si>
    <t>Agriculture</t>
  </si>
  <si>
    <t>Total</t>
  </si>
  <si>
    <t>Arts &amp; Sciences</t>
  </si>
  <si>
    <t>Education</t>
  </si>
  <si>
    <t>Engineering</t>
  </si>
  <si>
    <t>Technology</t>
  </si>
  <si>
    <t>Fall</t>
  </si>
  <si>
    <t>Graduate</t>
  </si>
  <si>
    <t>Business Administration</t>
  </si>
  <si>
    <t>Demographics</t>
  </si>
  <si>
    <t>Unknown</t>
  </si>
  <si>
    <t>Multi-Racial</t>
  </si>
  <si>
    <t>No Response</t>
  </si>
  <si>
    <t>Other</t>
  </si>
  <si>
    <t>*New ethnic code in Fall 1997</t>
  </si>
  <si>
    <t>Male</t>
  </si>
  <si>
    <t>Female</t>
  </si>
  <si>
    <t>Agriculture Undergraduate Student Information</t>
  </si>
  <si>
    <t xml:space="preserve">Architecture, Planning, and Design </t>
  </si>
  <si>
    <t>Undergraduate Student Information</t>
  </si>
  <si>
    <t xml:space="preserve">Arts &amp; Sciences </t>
  </si>
  <si>
    <t>Education Undergraduate Student Information</t>
  </si>
  <si>
    <t>Technology and Aviation</t>
  </si>
  <si>
    <t>College</t>
  </si>
  <si>
    <t>-</t>
  </si>
  <si>
    <t xml:space="preserve"> Salina Campus Total</t>
  </si>
  <si>
    <t>Engineering Undergraduate Student Information</t>
  </si>
  <si>
    <t>Hawaiian-Pac Is</t>
  </si>
  <si>
    <t>Multi-racial</t>
  </si>
  <si>
    <t>Polytechnic Campus only</t>
  </si>
  <si>
    <t>Total Campus Enrollment by College of major</t>
  </si>
  <si>
    <t>Olathe Campus only</t>
  </si>
  <si>
    <t xml:space="preserve"> Olathe Campus Total</t>
  </si>
  <si>
    <t>DVM Student Information</t>
  </si>
  <si>
    <t>Appl/Interdsc Science</t>
  </si>
  <si>
    <t>Health and Human Sciences</t>
  </si>
  <si>
    <t>Architecture</t>
  </si>
  <si>
    <t>Gender 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</si>
</sst>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name val="Arial Unicode MS"/>
      <family val="2"/>
    </font>
    <font>
      <sz val="10"/>
      <name val="Arial Unicode MS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double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ouble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 style="thin">
        <color indexed="64"/>
      </right>
      <top/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double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ashDotDot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double">
        <color indexed="64"/>
      </left>
      <right style="medium">
        <color indexed="64"/>
      </right>
      <top style="dashDotDot">
        <color indexed="64"/>
      </top>
      <bottom style="double">
        <color indexed="64"/>
      </bottom>
      <diagonal/>
    </border>
    <border>
      <left style="thin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ashDotDot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00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0" fontId="12" fillId="0" borderId="0" applyFill="0" applyBorder="0" applyAlignment="0" applyProtection="0"/>
    <xf numFmtId="0" fontId="27" fillId="0" borderId="0" applyNumberFormat="0" applyFill="0" applyBorder="0" applyAlignment="0" applyProtection="0"/>
    <xf numFmtId="2" fontId="12" fillId="0" borderId="0" applyFill="0" applyBorder="0" applyAlignment="0" applyProtection="0"/>
    <xf numFmtId="0" fontId="28" fillId="4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7" borderId="1" applyNumberFormat="0" applyAlignment="0" applyProtection="0"/>
    <xf numFmtId="0" fontId="33" fillId="0" borderId="6" applyNumberFormat="0" applyFill="0" applyAlignment="0" applyProtection="0"/>
    <xf numFmtId="0" fontId="34" fillId="22" borderId="0" applyNumberFormat="0" applyBorder="0" applyAlignment="0" applyProtection="0"/>
    <xf numFmtId="0" fontId="38" fillId="0" borderId="0"/>
    <xf numFmtId="0" fontId="10" fillId="23" borderId="7" applyNumberFormat="0" applyFont="0" applyAlignment="0" applyProtection="0"/>
    <xf numFmtId="0" fontId="35" fillId="20" borderId="8" applyNumberFormat="0" applyAlignment="0" applyProtection="0"/>
    <xf numFmtId="0" fontId="36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5" fillId="0" borderId="0"/>
    <xf numFmtId="0" fontId="4" fillId="0" borderId="0"/>
    <xf numFmtId="0" fontId="39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2" fillId="50" borderId="0" applyNumberFormat="0" applyBorder="0" applyAlignment="0" applyProtection="0"/>
    <xf numFmtId="0" fontId="43" fillId="51" borderId="94" applyNumberFormat="0" applyAlignment="0" applyProtection="0"/>
    <xf numFmtId="0" fontId="44" fillId="52" borderId="95" applyNumberFormat="0" applyAlignment="0" applyProtection="0"/>
    <xf numFmtId="0" fontId="45" fillId="0" borderId="0" applyNumberFormat="0" applyFill="0" applyBorder="0" applyAlignment="0" applyProtection="0"/>
    <xf numFmtId="0" fontId="46" fillId="53" borderId="0" applyNumberFormat="0" applyBorder="0" applyAlignment="0" applyProtection="0"/>
    <xf numFmtId="0" fontId="47" fillId="0" borderId="96" applyNumberFormat="0" applyFill="0" applyAlignment="0" applyProtection="0"/>
    <xf numFmtId="0" fontId="48" fillId="0" borderId="97" applyNumberFormat="0" applyFill="0" applyAlignment="0" applyProtection="0"/>
    <xf numFmtId="0" fontId="49" fillId="0" borderId="98" applyNumberFormat="0" applyFill="0" applyAlignment="0" applyProtection="0"/>
    <xf numFmtId="0" fontId="49" fillId="0" borderId="0" applyNumberFormat="0" applyFill="0" applyBorder="0" applyAlignment="0" applyProtection="0"/>
    <xf numFmtId="0" fontId="50" fillId="54" borderId="94" applyNumberFormat="0" applyAlignment="0" applyProtection="0"/>
    <xf numFmtId="0" fontId="51" fillId="0" borderId="99" applyNumberFormat="0" applyFill="0" applyAlignment="0" applyProtection="0"/>
    <xf numFmtId="0" fontId="52" fillId="55" borderId="0" applyNumberFormat="0" applyBorder="0" applyAlignment="0" applyProtection="0"/>
    <xf numFmtId="0" fontId="40" fillId="0" borderId="0"/>
    <xf numFmtId="0" fontId="2" fillId="0" borderId="0"/>
    <xf numFmtId="0" fontId="3" fillId="0" borderId="0"/>
    <xf numFmtId="0" fontId="11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2" fillId="56" borderId="100" applyNumberFormat="0" applyFont="0" applyAlignment="0" applyProtection="0"/>
    <xf numFmtId="0" fontId="53" fillId="51" borderId="101" applyNumberFormat="0" applyAlignment="0" applyProtection="0"/>
    <xf numFmtId="0" fontId="54" fillId="0" borderId="0" applyNumberFormat="0" applyFill="0" applyBorder="0" applyAlignment="0" applyProtection="0"/>
    <xf numFmtId="0" fontId="55" fillId="0" borderId="102" applyNumberFormat="0" applyFill="0" applyAlignment="0" applyProtection="0"/>
    <xf numFmtId="0" fontId="56" fillId="0" borderId="0" applyNumberFormat="0" applyFill="0" applyBorder="0" applyAlignment="0" applyProtection="0"/>
    <xf numFmtId="0" fontId="1" fillId="0" borderId="0"/>
  </cellStyleXfs>
  <cellXfs count="231">
    <xf numFmtId="0" fontId="0" fillId="0" borderId="0" xfId="0"/>
    <xf numFmtId="3" fontId="9" fillId="0" borderId="0" xfId="0" applyNumberFormat="1" applyFont="1"/>
    <xf numFmtId="3" fontId="9" fillId="0" borderId="10" xfId="0" applyNumberFormat="1" applyFont="1" applyBorder="1"/>
    <xf numFmtId="3" fontId="5" fillId="0" borderId="0" xfId="0" applyNumberFormat="1" applyFont="1"/>
    <xf numFmtId="3" fontId="5" fillId="0" borderId="10" xfId="0" applyNumberFormat="1" applyFont="1" applyBorder="1"/>
    <xf numFmtId="0" fontId="0" fillId="0" borderId="16" xfId="0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10" fillId="0" borderId="0" xfId="0" applyNumberFormat="1" applyFont="1"/>
    <xf numFmtId="3" fontId="10" fillId="0" borderId="10" xfId="0" applyNumberFormat="1" applyFont="1" applyBorder="1"/>
    <xf numFmtId="3" fontId="10" fillId="0" borderId="18" xfId="0" applyNumberFormat="1" applyFont="1" applyBorder="1"/>
    <xf numFmtId="0" fontId="0" fillId="0" borderId="11" xfId="0" applyBorder="1"/>
    <xf numFmtId="0" fontId="0" fillId="0" borderId="10" xfId="0" applyBorder="1"/>
    <xf numFmtId="0" fontId="0" fillId="0" borderId="19" xfId="0" applyBorder="1"/>
    <xf numFmtId="3" fontId="5" fillId="0" borderId="11" xfId="0" applyNumberFormat="1" applyFont="1" applyBorder="1"/>
    <xf numFmtId="3" fontId="0" fillId="0" borderId="11" xfId="0" applyNumberFormat="1" applyBorder="1"/>
    <xf numFmtId="3" fontId="10" fillId="0" borderId="11" xfId="0" applyNumberFormat="1" applyFont="1" applyBorder="1"/>
    <xf numFmtId="3" fontId="9" fillId="0" borderId="11" xfId="0" applyNumberFormat="1" applyFont="1" applyBorder="1"/>
    <xf numFmtId="3" fontId="7" fillId="0" borderId="11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0" fontId="0" fillId="0" borderId="13" xfId="0" applyBorder="1"/>
    <xf numFmtId="0" fontId="10" fillId="0" borderId="11" xfId="0" applyFont="1" applyBorder="1"/>
    <xf numFmtId="0" fontId="10" fillId="0" borderId="10" xfId="0" applyFont="1" applyBorder="1"/>
    <xf numFmtId="0" fontId="7" fillId="0" borderId="0" xfId="0" applyFont="1" applyAlignment="1">
      <alignment horizontal="center"/>
    </xf>
    <xf numFmtId="3" fontId="0" fillId="0" borderId="10" xfId="0" applyNumberFormat="1" applyBorder="1"/>
    <xf numFmtId="0" fontId="0" fillId="0" borderId="31" xfId="0" applyBorder="1"/>
    <xf numFmtId="0" fontId="0" fillId="0" borderId="17" xfId="0" applyBorder="1"/>
    <xf numFmtId="0" fontId="17" fillId="0" borderId="0" xfId="0" applyFont="1"/>
    <xf numFmtId="0" fontId="19" fillId="0" borderId="0" xfId="0" applyFont="1" applyAlignment="1">
      <alignment horizontal="center"/>
    </xf>
    <xf numFmtId="3" fontId="10" fillId="0" borderId="19" xfId="0" applyNumberFormat="1" applyFont="1" applyBorder="1"/>
    <xf numFmtId="0" fontId="0" fillId="0" borderId="38" xfId="0" applyBorder="1"/>
    <xf numFmtId="0" fontId="0" fillId="0" borderId="39" xfId="0" applyBorder="1"/>
    <xf numFmtId="0" fontId="0" fillId="0" borderId="37" xfId="0" applyBorder="1"/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0" fillId="0" borderId="40" xfId="0" applyBorder="1"/>
    <xf numFmtId="0" fontId="0" fillId="0" borderId="44" xfId="0" applyBorder="1"/>
    <xf numFmtId="0" fontId="0" fillId="0" borderId="15" xfId="0" applyBorder="1"/>
    <xf numFmtId="0" fontId="9" fillId="0" borderId="40" xfId="0" applyFont="1" applyBorder="1"/>
    <xf numFmtId="3" fontId="9" fillId="0" borderId="44" xfId="0" applyNumberFormat="1" applyFont="1" applyBorder="1"/>
    <xf numFmtId="0" fontId="5" fillId="0" borderId="40" xfId="0" applyFont="1" applyBorder="1" applyAlignment="1">
      <alignment horizontal="right"/>
    </xf>
    <xf numFmtId="3" fontId="5" fillId="0" borderId="44" xfId="0" applyNumberFormat="1" applyFont="1" applyBorder="1"/>
    <xf numFmtId="0" fontId="5" fillId="0" borderId="41" xfId="0" applyFont="1" applyBorder="1" applyAlignment="1">
      <alignment horizontal="right"/>
    </xf>
    <xf numFmtId="3" fontId="5" fillId="0" borderId="45" xfId="0" applyNumberFormat="1" applyFont="1" applyBorder="1"/>
    <xf numFmtId="3" fontId="5" fillId="0" borderId="12" xfId="0" applyNumberFormat="1" applyFont="1" applyBorder="1"/>
    <xf numFmtId="3" fontId="0" fillId="0" borderId="12" xfId="0" applyNumberFormat="1" applyBorder="1"/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3" fontId="0" fillId="0" borderId="48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2" xfId="0" applyBorder="1"/>
    <xf numFmtId="0" fontId="7" fillId="0" borderId="24" xfId="0" applyFont="1" applyBorder="1" applyAlignment="1">
      <alignment horizontal="center"/>
    </xf>
    <xf numFmtId="4" fontId="0" fillId="0" borderId="11" xfId="0" applyNumberFormat="1" applyBorder="1"/>
    <xf numFmtId="0" fontId="7" fillId="0" borderId="4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33" xfId="0" applyBorder="1"/>
    <xf numFmtId="0" fontId="16" fillId="0" borderId="49" xfId="0" applyFont="1" applyBorder="1"/>
    <xf numFmtId="0" fontId="15" fillId="0" borderId="50" xfId="0" applyFont="1" applyBorder="1" applyAlignment="1">
      <alignment horizontal="center"/>
    </xf>
    <xf numFmtId="0" fontId="16" fillId="0" borderId="51" xfId="0" applyFont="1" applyBorder="1"/>
    <xf numFmtId="0" fontId="21" fillId="0" borderId="52" xfId="0" applyFont="1" applyBorder="1"/>
    <xf numFmtId="0" fontId="16" fillId="0" borderId="53" xfId="0" applyFont="1" applyBorder="1"/>
    <xf numFmtId="0" fontId="15" fillId="0" borderId="54" xfId="0" applyFont="1" applyBorder="1" applyAlignment="1">
      <alignment horizontal="center"/>
    </xf>
    <xf numFmtId="0" fontId="10" fillId="0" borderId="0" xfId="0" applyFont="1"/>
    <xf numFmtId="0" fontId="19" fillId="0" borderId="17" xfId="0" applyFont="1" applyBorder="1" applyAlignment="1">
      <alignment horizontal="center"/>
    </xf>
    <xf numFmtId="0" fontId="0" fillId="0" borderId="14" xfId="0" applyBorder="1"/>
    <xf numFmtId="0" fontId="0" fillId="0" borderId="18" xfId="0" applyBorder="1"/>
    <xf numFmtId="3" fontId="0" fillId="0" borderId="18" xfId="0" applyNumberFormat="1" applyBorder="1"/>
    <xf numFmtId="3" fontId="0" fillId="0" borderId="57" xfId="0" applyNumberFormat="1" applyBorder="1"/>
    <xf numFmtId="4" fontId="0" fillId="0" borderId="10" xfId="0" applyNumberFormat="1" applyBorder="1"/>
    <xf numFmtId="0" fontId="0" fillId="0" borderId="57" xfId="0" applyBorder="1"/>
    <xf numFmtId="0" fontId="10" fillId="0" borderId="18" xfId="0" applyFont="1" applyBorder="1"/>
    <xf numFmtId="0" fontId="15" fillId="0" borderId="58" xfId="0" applyFont="1" applyBorder="1" applyAlignment="1">
      <alignment horizontal="center"/>
    </xf>
    <xf numFmtId="0" fontId="16" fillId="0" borderId="59" xfId="0" applyFont="1" applyBorder="1"/>
    <xf numFmtId="0" fontId="21" fillId="0" borderId="60" xfId="0" applyFont="1" applyBorder="1"/>
    <xf numFmtId="0" fontId="16" fillId="0" borderId="61" xfId="0" applyFont="1" applyBorder="1"/>
    <xf numFmtId="0" fontId="16" fillId="0" borderId="62" xfId="0" applyFont="1" applyBorder="1"/>
    <xf numFmtId="0" fontId="15" fillId="0" borderId="63" xfId="0" applyFont="1" applyBorder="1" applyAlignment="1">
      <alignment horizontal="center"/>
    </xf>
    <xf numFmtId="0" fontId="16" fillId="0" borderId="34" xfId="0" applyFont="1" applyBorder="1"/>
    <xf numFmtId="0" fontId="21" fillId="0" borderId="64" xfId="0" applyFont="1" applyBorder="1"/>
    <xf numFmtId="0" fontId="16" fillId="0" borderId="65" xfId="0" applyFont="1" applyBorder="1"/>
    <xf numFmtId="0" fontId="16" fillId="0" borderId="66" xfId="0" applyFont="1" applyBorder="1"/>
    <xf numFmtId="0" fontId="16" fillId="0" borderId="67" xfId="0" applyFont="1" applyBorder="1" applyAlignment="1">
      <alignment horizontal="center"/>
    </xf>
    <xf numFmtId="0" fontId="16" fillId="0" borderId="68" xfId="0" applyFont="1" applyBorder="1"/>
    <xf numFmtId="0" fontId="21" fillId="0" borderId="69" xfId="0" applyFont="1" applyBorder="1"/>
    <xf numFmtId="0" fontId="16" fillId="0" borderId="70" xfId="0" applyFont="1" applyBorder="1"/>
    <xf numFmtId="0" fontId="16" fillId="0" borderId="71" xfId="0" applyFont="1" applyBorder="1"/>
    <xf numFmtId="0" fontId="20" fillId="0" borderId="72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6" fillId="0" borderId="74" xfId="0" applyFont="1" applyBorder="1"/>
    <xf numFmtId="0" fontId="21" fillId="0" borderId="75" xfId="0" applyFont="1" applyBorder="1"/>
    <xf numFmtId="0" fontId="16" fillId="0" borderId="76" xfId="0" applyFont="1" applyBorder="1"/>
    <xf numFmtId="0" fontId="16" fillId="0" borderId="77" xfId="0" applyFont="1" applyBorder="1"/>
    <xf numFmtId="0" fontId="15" fillId="0" borderId="78" xfId="0" applyFont="1" applyBorder="1" applyAlignment="1">
      <alignment horizontal="center"/>
    </xf>
    <xf numFmtId="3" fontId="15" fillId="0" borderId="79" xfId="0" applyNumberFormat="1" applyFont="1" applyBorder="1" applyAlignment="1">
      <alignment horizontal="center"/>
    </xf>
    <xf numFmtId="0" fontId="15" fillId="0" borderId="18" xfId="0" applyFont="1" applyBorder="1"/>
    <xf numFmtId="0" fontId="15" fillId="0" borderId="68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7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4" xfId="0" applyFont="1" applyBorder="1"/>
    <xf numFmtId="0" fontId="15" fillId="0" borderId="80" xfId="0" applyFont="1" applyBorder="1"/>
    <xf numFmtId="0" fontId="15" fillId="0" borderId="81" xfId="0" applyFont="1" applyBorder="1"/>
    <xf numFmtId="0" fontId="16" fillId="0" borderId="81" xfId="0" applyFont="1" applyBorder="1"/>
    <xf numFmtId="0" fontId="21" fillId="0" borderId="82" xfId="0" applyFont="1" applyBorder="1"/>
    <xf numFmtId="0" fontId="15" fillId="0" borderId="83" xfId="0" applyFont="1" applyBorder="1"/>
    <xf numFmtId="0" fontId="15" fillId="0" borderId="84" xfId="0" applyFont="1" applyBorder="1"/>
    <xf numFmtId="0" fontId="16" fillId="0" borderId="85" xfId="0" applyFont="1" applyBorder="1"/>
    <xf numFmtId="3" fontId="10" fillId="0" borderId="17" xfId="0" applyNumberFormat="1" applyFont="1" applyBorder="1"/>
    <xf numFmtId="4" fontId="0" fillId="0" borderId="0" xfId="0" applyNumberFormat="1"/>
    <xf numFmtId="3" fontId="10" fillId="0" borderId="12" xfId="0" applyNumberFormat="1" applyFont="1" applyBorder="1"/>
    <xf numFmtId="3" fontId="0" fillId="0" borderId="17" xfId="0" applyNumberFormat="1" applyBorder="1"/>
    <xf numFmtId="0" fontId="7" fillId="0" borderId="17" xfId="0" applyFont="1" applyBorder="1" applyAlignment="1">
      <alignment horizontal="center"/>
    </xf>
    <xf numFmtId="0" fontId="10" fillId="0" borderId="17" xfId="0" applyFont="1" applyBorder="1"/>
    <xf numFmtId="0" fontId="15" fillId="0" borderId="55" xfId="0" applyFont="1" applyBorder="1" applyAlignment="1">
      <alignment horizontal="center"/>
    </xf>
    <xf numFmtId="0" fontId="15" fillId="0" borderId="86" xfId="0" applyFont="1" applyBorder="1"/>
    <xf numFmtId="0" fontId="15" fillId="0" borderId="12" xfId="0" applyFont="1" applyBorder="1"/>
    <xf numFmtId="0" fontId="21" fillId="0" borderId="34" xfId="0" applyFont="1" applyBorder="1"/>
    <xf numFmtId="0" fontId="21" fillId="0" borderId="65" xfId="0" applyFont="1" applyBorder="1"/>
    <xf numFmtId="0" fontId="21" fillId="0" borderId="87" xfId="0" applyFont="1" applyBorder="1"/>
    <xf numFmtId="0" fontId="21" fillId="0" borderId="27" xfId="0" applyFont="1" applyBorder="1"/>
    <xf numFmtId="0" fontId="21" fillId="0" borderId="25" xfId="0" applyFont="1" applyBorder="1"/>
    <xf numFmtId="0" fontId="21" fillId="0" borderId="65" xfId="0" applyFont="1" applyBorder="1" applyAlignment="1">
      <alignment horizontal="center"/>
    </xf>
    <xf numFmtId="0" fontId="21" fillId="0" borderId="87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1" fillId="0" borderId="66" xfId="0" applyFont="1" applyBorder="1"/>
    <xf numFmtId="0" fontId="0" fillId="24" borderId="11" xfId="0" applyFill="1" applyBorder="1"/>
    <xf numFmtId="0" fontId="7" fillId="0" borderId="18" xfId="0" applyFont="1" applyBorder="1" applyAlignment="1">
      <alignment horizontal="center"/>
    </xf>
    <xf numFmtId="0" fontId="16" fillId="0" borderId="87" xfId="0" applyFont="1" applyBorder="1"/>
    <xf numFmtId="0" fontId="16" fillId="0" borderId="25" xfId="0" applyFont="1" applyBorder="1"/>
    <xf numFmtId="0" fontId="10" fillId="0" borderId="12" xfId="0" applyFont="1" applyBorder="1"/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1" fillId="0" borderId="85" xfId="0" applyFont="1" applyBorder="1"/>
    <xf numFmtId="0" fontId="21" fillId="0" borderId="72" xfId="0" applyFont="1" applyBorder="1"/>
    <xf numFmtId="0" fontId="21" fillId="0" borderId="63" xfId="0" applyFont="1" applyBorder="1"/>
    <xf numFmtId="0" fontId="21" fillId="0" borderId="54" xfId="0" applyFont="1" applyBorder="1"/>
    <xf numFmtId="0" fontId="21" fillId="0" borderId="78" xfId="0" applyFont="1" applyBorder="1"/>
    <xf numFmtId="0" fontId="21" fillId="0" borderId="79" xfId="0" applyFont="1" applyBorder="1"/>
    <xf numFmtId="0" fontId="21" fillId="0" borderId="88" xfId="0" applyFont="1" applyBorder="1"/>
    <xf numFmtId="0" fontId="16" fillId="0" borderId="88" xfId="0" applyFont="1" applyBorder="1"/>
    <xf numFmtId="0" fontId="15" fillId="0" borderId="70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76" xfId="0" applyFont="1" applyBorder="1" applyAlignment="1">
      <alignment horizontal="center"/>
    </xf>
    <xf numFmtId="0" fontId="15" fillId="0" borderId="65" xfId="0" applyFont="1" applyBorder="1" applyAlignment="1">
      <alignment horizontal="center"/>
    </xf>
    <xf numFmtId="0" fontId="15" fillId="0" borderId="65" xfId="0" applyFont="1" applyBorder="1"/>
    <xf numFmtId="0" fontId="15" fillId="0" borderId="87" xfId="0" applyFont="1" applyBorder="1"/>
    <xf numFmtId="0" fontId="7" fillId="0" borderId="89" xfId="0" applyFont="1" applyBorder="1" applyAlignment="1">
      <alignment horizontal="center"/>
    </xf>
    <xf numFmtId="3" fontId="10" fillId="0" borderId="33" xfId="0" applyNumberFormat="1" applyFont="1" applyBorder="1"/>
    <xf numFmtId="0" fontId="15" fillId="0" borderId="90" xfId="0" applyFont="1" applyBorder="1" applyAlignment="1">
      <alignment horizontal="center"/>
    </xf>
    <xf numFmtId="0" fontId="16" fillId="0" borderId="91" xfId="0" applyFont="1" applyBorder="1"/>
    <xf numFmtId="0" fontId="16" fillId="0" borderId="32" xfId="0" applyFont="1" applyBorder="1"/>
    <xf numFmtId="0" fontId="16" fillId="0" borderId="27" xfId="0" applyFont="1" applyBorder="1"/>
    <xf numFmtId="0" fontId="15" fillId="0" borderId="91" xfId="0" applyFont="1" applyBorder="1"/>
    <xf numFmtId="0" fontId="15" fillId="0" borderId="35" xfId="0" applyFont="1" applyBorder="1"/>
    <xf numFmtId="0" fontId="15" fillId="0" borderId="33" xfId="0" applyFont="1" applyBorder="1"/>
    <xf numFmtId="0" fontId="16" fillId="0" borderId="64" xfId="0" applyFont="1" applyBorder="1"/>
    <xf numFmtId="0" fontId="16" fillId="0" borderId="79" xfId="0" applyFont="1" applyBorder="1"/>
    <xf numFmtId="0" fontId="0" fillId="0" borderId="0" xfId="0" applyAlignment="1">
      <alignment horizontal="center"/>
    </xf>
    <xf numFmtId="0" fontId="0" fillId="0" borderId="37" xfId="0" applyBorder="1" applyAlignment="1">
      <alignment horizontal="centerContinuous"/>
    </xf>
    <xf numFmtId="0" fontId="19" fillId="0" borderId="0" xfId="0" applyFont="1" applyAlignment="1">
      <alignment horizontal="centerContinuous" wrapText="1"/>
    </xf>
    <xf numFmtId="3" fontId="10" fillId="0" borderId="44" xfId="0" applyNumberFormat="1" applyFont="1" applyBorder="1"/>
    <xf numFmtId="0" fontId="19" fillId="0" borderId="0" xfId="0" applyFont="1" applyAlignment="1">
      <alignment horizontal="centerContinuous"/>
    </xf>
    <xf numFmtId="3" fontId="10" fillId="0" borderId="93" xfId="0" applyNumberFormat="1" applyFont="1" applyBorder="1"/>
    <xf numFmtId="0" fontId="14" fillId="0" borderId="0" xfId="0" applyFont="1" applyAlignment="1">
      <alignment horizontal="centerContinuous" wrapText="1"/>
    </xf>
    <xf numFmtId="0" fontId="18" fillId="0" borderId="13" xfId="0" applyFont="1" applyBorder="1" applyAlignment="1">
      <alignment horizontal="centerContinuous"/>
    </xf>
    <xf numFmtId="0" fontId="18" fillId="0" borderId="30" xfId="0" applyFont="1" applyBorder="1" applyAlignment="1">
      <alignment horizontal="centerContinuous"/>
    </xf>
    <xf numFmtId="0" fontId="0" fillId="0" borderId="92" xfId="0" applyBorder="1" applyAlignment="1">
      <alignment horizontal="centerContinuous"/>
    </xf>
    <xf numFmtId="0" fontId="6" fillId="0" borderId="28" xfId="0" applyFont="1" applyBorder="1" applyAlignment="1">
      <alignment horizontal="centerContinuous"/>
    </xf>
    <xf numFmtId="0" fontId="0" fillId="0" borderId="30" xfId="0" applyBorder="1" applyAlignment="1">
      <alignment horizontal="centerContinuous"/>
    </xf>
    <xf numFmtId="3" fontId="10" fillId="25" borderId="0" xfId="0" applyNumberFormat="1" applyFont="1" applyFill="1"/>
    <xf numFmtId="3" fontId="10" fillId="25" borderId="11" xfId="0" applyNumberFormat="1" applyFont="1" applyFill="1" applyBorder="1"/>
    <xf numFmtId="0" fontId="10" fillId="25" borderId="11" xfId="0" applyFont="1" applyFill="1" applyBorder="1"/>
    <xf numFmtId="0" fontId="6" fillId="0" borderId="29" xfId="0" applyFont="1" applyBorder="1" applyAlignment="1">
      <alignment horizontal="centerContinuous"/>
    </xf>
    <xf numFmtId="3" fontId="9" fillId="0" borderId="19" xfId="0" applyNumberFormat="1" applyFont="1" applyBorder="1"/>
    <xf numFmtId="0" fontId="8" fillId="0" borderId="67" xfId="0" applyFont="1" applyBorder="1" applyAlignment="1">
      <alignment horizontal="center"/>
    </xf>
    <xf numFmtId="0" fontId="8" fillId="0" borderId="83" xfId="0" applyFont="1" applyBorder="1"/>
    <xf numFmtId="0" fontId="8" fillId="0" borderId="84" xfId="0" applyFont="1" applyBorder="1"/>
    <xf numFmtId="0" fontId="13" fillId="0" borderId="0" xfId="0" applyFont="1" applyAlignment="1">
      <alignment horizontal="centerContinuous"/>
    </xf>
    <xf numFmtId="0" fontId="16" fillId="25" borderId="65" xfId="0" applyFont="1" applyFill="1" applyBorder="1"/>
    <xf numFmtId="0" fontId="7" fillId="0" borderId="103" xfId="0" applyFont="1" applyBorder="1" applyAlignment="1">
      <alignment horizontal="center"/>
    </xf>
    <xf numFmtId="3" fontId="5" fillId="0" borderId="19" xfId="0" applyNumberFormat="1" applyFont="1" applyBorder="1"/>
    <xf numFmtId="0" fontId="10" fillId="0" borderId="19" xfId="0" applyFont="1" applyBorder="1"/>
    <xf numFmtId="3" fontId="10" fillId="0" borderId="26" xfId="0" applyNumberFormat="1" applyFont="1" applyBorder="1"/>
    <xf numFmtId="0" fontId="0" fillId="0" borderId="19" xfId="0" applyBorder="1" applyAlignment="1">
      <alignment horizontal="centerContinuous"/>
    </xf>
    <xf numFmtId="0" fontId="0" fillId="0" borderId="36" xfId="0" applyBorder="1"/>
    <xf numFmtId="4" fontId="0" fillId="0" borderId="19" xfId="0" applyNumberFormat="1" applyBorder="1"/>
    <xf numFmtId="0" fontId="0" fillId="0" borderId="26" xfId="0" applyBorder="1"/>
    <xf numFmtId="0" fontId="3" fillId="0" borderId="10" xfId="0" applyFont="1" applyBorder="1"/>
    <xf numFmtId="0" fontId="10" fillId="0" borderId="26" xfId="0" applyFont="1" applyBorder="1"/>
    <xf numFmtId="0" fontId="16" fillId="25" borderId="64" xfId="0" applyFont="1" applyFill="1" applyBorder="1"/>
    <xf numFmtId="0" fontId="16" fillId="25" borderId="104" xfId="0" applyFont="1" applyFill="1" applyBorder="1"/>
    <xf numFmtId="0" fontId="7" fillId="0" borderId="105" xfId="0" applyFont="1" applyBorder="1" applyAlignment="1">
      <alignment horizontal="center"/>
    </xf>
    <xf numFmtId="3" fontId="9" fillId="0" borderId="21" xfId="0" applyNumberFormat="1" applyFont="1" applyBorder="1"/>
    <xf numFmtId="3" fontId="10" fillId="0" borderId="21" xfId="0" applyNumberFormat="1" applyFont="1" applyBorder="1"/>
    <xf numFmtId="3" fontId="5" fillId="0" borderId="21" xfId="0" applyNumberFormat="1" applyFont="1" applyBorder="1"/>
    <xf numFmtId="3" fontId="10" fillId="0" borderId="23" xfId="0" applyNumberFormat="1" applyFont="1" applyBorder="1"/>
    <xf numFmtId="0" fontId="59" fillId="0" borderId="83" xfId="0" applyFont="1" applyBorder="1"/>
    <xf numFmtId="0" fontId="0" fillId="0" borderId="21" xfId="0" applyBorder="1"/>
    <xf numFmtId="0" fontId="0" fillId="0" borderId="23" xfId="0" applyBorder="1"/>
    <xf numFmtId="0" fontId="0" fillId="0" borderId="106" xfId="0" applyBorder="1"/>
    <xf numFmtId="3" fontId="5" fillId="0" borderId="23" xfId="0" applyNumberFormat="1" applyFont="1" applyBorder="1"/>
    <xf numFmtId="0" fontId="7" fillId="0" borderId="21" xfId="0" applyFont="1" applyBorder="1"/>
    <xf numFmtId="0" fontId="3" fillId="0" borderId="0" xfId="0" applyFont="1"/>
    <xf numFmtId="3" fontId="7" fillId="0" borderId="21" xfId="0" applyNumberFormat="1" applyFont="1" applyBorder="1"/>
    <xf numFmtId="3" fontId="3" fillId="0" borderId="21" xfId="0" applyNumberFormat="1" applyFont="1" applyBorder="1"/>
    <xf numFmtId="0" fontId="3" fillId="0" borderId="21" xfId="0" applyFont="1" applyBorder="1"/>
    <xf numFmtId="3" fontId="3" fillId="0" borderId="23" xfId="0" applyNumberFormat="1" applyFont="1" applyBorder="1"/>
    <xf numFmtId="0" fontId="0" fillId="0" borderId="107" xfId="0" applyBorder="1"/>
    <xf numFmtId="0" fontId="3" fillId="0" borderId="23" xfId="0" applyFont="1" applyBorder="1"/>
    <xf numFmtId="0" fontId="0" fillId="0" borderId="13" xfId="0" applyBorder="1" applyAlignment="1">
      <alignment horizontal="centerContinuous"/>
    </xf>
    <xf numFmtId="0" fontId="0" fillId="0" borderId="92" xfId="0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0" fillId="0" borderId="108" xfId="0" applyBorder="1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horizontal="center"/>
    </xf>
    <xf numFmtId="0" fontId="17" fillId="0" borderId="13" xfId="0" applyFont="1" applyBorder="1" applyAlignment="1">
      <alignment wrapText="1"/>
    </xf>
    <xf numFmtId="0" fontId="0" fillId="0" borderId="13" xfId="0" applyBorder="1" applyAlignment="1">
      <alignment wrapText="1"/>
    </xf>
  </cellXfs>
  <cellStyles count="100">
    <cellStyle name="20% - Accent1" xfId="1" builtinId="30" customBuiltin="1"/>
    <cellStyle name="20% - Accent1 2" xfId="50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2" xr:uid="{00000000-0005-0000-0000-000005000000}"/>
    <cellStyle name="20% - Accent4" xfId="4" builtinId="42" customBuiltin="1"/>
    <cellStyle name="20% - Accent4 2" xfId="53" xr:uid="{00000000-0005-0000-0000-000007000000}"/>
    <cellStyle name="20% - Accent5" xfId="5" builtinId="46" customBuiltin="1"/>
    <cellStyle name="20% - Accent5 2" xfId="54" xr:uid="{00000000-0005-0000-0000-000009000000}"/>
    <cellStyle name="20% - Accent6" xfId="6" builtinId="50" customBuiltin="1"/>
    <cellStyle name="20% - Accent6 2" xfId="55" xr:uid="{00000000-0005-0000-0000-00000B000000}"/>
    <cellStyle name="40% - Accent1" xfId="7" builtinId="31" customBuiltin="1"/>
    <cellStyle name="40% - Accent1 2" xfId="56" xr:uid="{00000000-0005-0000-0000-00000D000000}"/>
    <cellStyle name="40% - Accent2" xfId="8" builtinId="35" customBuiltin="1"/>
    <cellStyle name="40% - Accent2 2" xfId="57" xr:uid="{00000000-0005-0000-0000-00000F000000}"/>
    <cellStyle name="40% - Accent3" xfId="9" builtinId="39" customBuiltin="1"/>
    <cellStyle name="40% - Accent3 2" xfId="58" xr:uid="{00000000-0005-0000-0000-000011000000}"/>
    <cellStyle name="40% - Accent4" xfId="10" builtinId="43" customBuiltin="1"/>
    <cellStyle name="40% - Accent4 2" xfId="59" xr:uid="{00000000-0005-0000-0000-000013000000}"/>
    <cellStyle name="40% - Accent5" xfId="11" builtinId="47" customBuiltin="1"/>
    <cellStyle name="40% - Accent5 2" xfId="60" xr:uid="{00000000-0005-0000-0000-000015000000}"/>
    <cellStyle name="40% - Accent6" xfId="12" builtinId="51" customBuiltin="1"/>
    <cellStyle name="40% - Accent6 2" xfId="61" xr:uid="{00000000-0005-0000-0000-000017000000}"/>
    <cellStyle name="60% - Accent1" xfId="13" builtinId="32" customBuiltin="1"/>
    <cellStyle name="60% - Accent1 2" xfId="62" xr:uid="{00000000-0005-0000-0000-000019000000}"/>
    <cellStyle name="60% - Accent2" xfId="14" builtinId="36" customBuiltin="1"/>
    <cellStyle name="60% - Accent2 2" xfId="63" xr:uid="{00000000-0005-0000-0000-00001B000000}"/>
    <cellStyle name="60% - Accent3" xfId="15" builtinId="40" customBuiltin="1"/>
    <cellStyle name="60% - Accent3 2" xfId="64" xr:uid="{00000000-0005-0000-0000-00001D000000}"/>
    <cellStyle name="60% - Accent4" xfId="16" builtinId="44" customBuiltin="1"/>
    <cellStyle name="60% - Accent4 2" xfId="65" xr:uid="{00000000-0005-0000-0000-00001F000000}"/>
    <cellStyle name="60% - Accent5" xfId="17" builtinId="48" customBuiltin="1"/>
    <cellStyle name="60% - Accent5 2" xfId="66" xr:uid="{00000000-0005-0000-0000-000021000000}"/>
    <cellStyle name="60% - Accent6" xfId="18" builtinId="52" customBuiltin="1"/>
    <cellStyle name="60% - Accent6 2" xfId="67" xr:uid="{00000000-0005-0000-0000-000023000000}"/>
    <cellStyle name="Accent1" xfId="19" builtinId="29" customBuiltin="1"/>
    <cellStyle name="Accent1 2" xfId="68" xr:uid="{00000000-0005-0000-0000-000025000000}"/>
    <cellStyle name="Accent2" xfId="20" builtinId="33" customBuiltin="1"/>
    <cellStyle name="Accent2 2" xfId="69" xr:uid="{00000000-0005-0000-0000-000027000000}"/>
    <cellStyle name="Accent3" xfId="21" builtinId="37" customBuiltin="1"/>
    <cellStyle name="Accent3 2" xfId="70" xr:uid="{00000000-0005-0000-0000-000029000000}"/>
    <cellStyle name="Accent4" xfId="22" builtinId="41" customBuiltin="1"/>
    <cellStyle name="Accent4 2" xfId="71" xr:uid="{00000000-0005-0000-0000-00002B000000}"/>
    <cellStyle name="Accent5" xfId="23" builtinId="45" customBuiltin="1"/>
    <cellStyle name="Accent5 2" xfId="72" xr:uid="{00000000-0005-0000-0000-00002D000000}"/>
    <cellStyle name="Accent6" xfId="24" builtinId="49" customBuiltin="1"/>
    <cellStyle name="Accent6 2" xfId="73" xr:uid="{00000000-0005-0000-0000-00002F000000}"/>
    <cellStyle name="Bad" xfId="25" builtinId="27" customBuiltin="1"/>
    <cellStyle name="Bad 2" xfId="74" xr:uid="{00000000-0005-0000-0000-000031000000}"/>
    <cellStyle name="Calculation" xfId="26" builtinId="22" customBuiltin="1"/>
    <cellStyle name="Calculation 2" xfId="75" xr:uid="{00000000-0005-0000-0000-000033000000}"/>
    <cellStyle name="Check Cell" xfId="27" builtinId="23" customBuiltin="1"/>
    <cellStyle name="Check Cell 2" xfId="76" xr:uid="{00000000-0005-0000-0000-000035000000}"/>
    <cellStyle name="Date" xfId="28" xr:uid="{00000000-0005-0000-0000-000036000000}"/>
    <cellStyle name="Explanatory Text" xfId="29" builtinId="53" customBuiltin="1"/>
    <cellStyle name="Explanatory Text 2" xfId="77" xr:uid="{00000000-0005-0000-0000-000038000000}"/>
    <cellStyle name="Fixed" xfId="30" xr:uid="{00000000-0005-0000-0000-000039000000}"/>
    <cellStyle name="Good" xfId="31" builtinId="26" customBuiltin="1"/>
    <cellStyle name="Good 2" xfId="78" xr:uid="{00000000-0005-0000-0000-00003B000000}"/>
    <cellStyle name="Heading 1" xfId="32" builtinId="16" customBuiltin="1"/>
    <cellStyle name="Heading 1 2" xfId="79" xr:uid="{00000000-0005-0000-0000-00003D000000}"/>
    <cellStyle name="Heading 2" xfId="33" builtinId="17" customBuiltin="1"/>
    <cellStyle name="Heading 2 2" xfId="80" xr:uid="{00000000-0005-0000-0000-00003F000000}"/>
    <cellStyle name="Heading 3" xfId="34" builtinId="18" customBuiltin="1"/>
    <cellStyle name="Heading 3 2" xfId="81" xr:uid="{00000000-0005-0000-0000-000041000000}"/>
    <cellStyle name="Heading 4" xfId="35" builtinId="19" customBuiltin="1"/>
    <cellStyle name="Heading 4 2" xfId="82" xr:uid="{00000000-0005-0000-0000-000043000000}"/>
    <cellStyle name="HEADING1" xfId="36" xr:uid="{00000000-0005-0000-0000-000044000000}"/>
    <cellStyle name="HEADING2" xfId="37" xr:uid="{00000000-0005-0000-0000-000045000000}"/>
    <cellStyle name="Input" xfId="38" builtinId="20" customBuiltin="1"/>
    <cellStyle name="Input 2" xfId="83" xr:uid="{00000000-0005-0000-0000-000047000000}"/>
    <cellStyle name="Linked Cell" xfId="39" builtinId="24" customBuiltin="1"/>
    <cellStyle name="Linked Cell 2" xfId="84" xr:uid="{00000000-0005-0000-0000-000049000000}"/>
    <cellStyle name="Neutral" xfId="40" builtinId="28" customBuiltin="1"/>
    <cellStyle name="Neutral 2" xfId="85" xr:uid="{00000000-0005-0000-0000-00004B000000}"/>
    <cellStyle name="Normal" xfId="0" builtinId="0"/>
    <cellStyle name="Normal 10" xfId="99" xr:uid="{00000000-0005-0000-0000-00004D000000}"/>
    <cellStyle name="Normal 2" xfId="41" xr:uid="{00000000-0005-0000-0000-00004E000000}"/>
    <cellStyle name="Normal 2 2" xfId="48" xr:uid="{00000000-0005-0000-0000-00004F000000}"/>
    <cellStyle name="Normal 2 2 2" xfId="87" xr:uid="{00000000-0005-0000-0000-000050000000}"/>
    <cellStyle name="Normal 2 3" xfId="86" xr:uid="{00000000-0005-0000-0000-000051000000}"/>
    <cellStyle name="Normal 3" xfId="47" xr:uid="{00000000-0005-0000-0000-000052000000}"/>
    <cellStyle name="Normal 3 2" xfId="88" xr:uid="{00000000-0005-0000-0000-000053000000}"/>
    <cellStyle name="Normal 4" xfId="89" xr:uid="{00000000-0005-0000-0000-000054000000}"/>
    <cellStyle name="Normal 5" xfId="90" xr:uid="{00000000-0005-0000-0000-000055000000}"/>
    <cellStyle name="Normal 6" xfId="91" xr:uid="{00000000-0005-0000-0000-000056000000}"/>
    <cellStyle name="Normal 7" xfId="92" xr:uid="{00000000-0005-0000-0000-000057000000}"/>
    <cellStyle name="Normal 8" xfId="93" xr:uid="{00000000-0005-0000-0000-000058000000}"/>
    <cellStyle name="Normal 9" xfId="49" xr:uid="{00000000-0005-0000-0000-000059000000}"/>
    <cellStyle name="Note" xfId="42" builtinId="10" customBuiltin="1"/>
    <cellStyle name="Note 2" xfId="94" xr:uid="{00000000-0005-0000-0000-00005B000000}"/>
    <cellStyle name="Output" xfId="43" builtinId="21" customBuiltin="1"/>
    <cellStyle name="Output 2" xfId="95" xr:uid="{00000000-0005-0000-0000-00005D000000}"/>
    <cellStyle name="Title" xfId="44" builtinId="15" customBuiltin="1"/>
    <cellStyle name="Title 2" xfId="96" xr:uid="{00000000-0005-0000-0000-00005F000000}"/>
    <cellStyle name="Total" xfId="45" builtinId="25" customBuiltin="1"/>
    <cellStyle name="Total 2" xfId="97" xr:uid="{00000000-0005-0000-0000-000061000000}"/>
    <cellStyle name="Warning Text" xfId="46" builtinId="11" customBuiltin="1"/>
    <cellStyle name="Warning Text 2" xfId="98" xr:uid="{00000000-0005-0000-0000-00006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Agriculture UG Enrollment</a:t>
            </a:r>
            <a:r>
              <a:rPr lang="en-US" sz="14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24468028034957168"/>
          <c:y val="2.79001468428781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93402402080042"/>
          <c:y val="0.167401061098677"/>
          <c:w val="0.80933929024358042"/>
          <c:h val="0.667401598853936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Agriculture!$B$13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012797337148825E-3"/>
                  <c:y val="0.1737427627613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74-45F8-A0CC-D18FC45AA49F}"/>
                </c:ext>
              </c:extLst>
            </c:dLbl>
            <c:dLbl>
              <c:idx val="1"/>
              <c:layout>
                <c:manualLayout>
                  <c:x val="-2.4343787471374791E-3"/>
                  <c:y val="0.14264859330015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4-45F8-A0CC-D18FC45AA49F}"/>
                </c:ext>
              </c:extLst>
            </c:dLbl>
            <c:dLbl>
              <c:idx val="2"/>
              <c:layout>
                <c:manualLayout>
                  <c:x val="1.2325222394399243E-3"/>
                  <c:y val="0.167995078138258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74-45F8-A0CC-D18FC45AA49F}"/>
                </c:ext>
              </c:extLst>
            </c:dLbl>
            <c:dLbl>
              <c:idx val="3"/>
              <c:layout>
                <c:manualLayout>
                  <c:x val="-2.8826853340170344E-3"/>
                  <c:y val="0.166322950113257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74-45F8-A0CC-D18FC45AA49F}"/>
                </c:ext>
              </c:extLst>
            </c:dLbl>
            <c:dLbl>
              <c:idx val="4"/>
              <c:layout>
                <c:manualLayout>
                  <c:x val="-3.1068386274568675E-3"/>
                  <c:y val="0.17322826773191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74-45F8-A0CC-D18FC45AA49F}"/>
                </c:ext>
              </c:extLst>
            </c:dLbl>
            <c:dLbl>
              <c:idx val="5"/>
              <c:layout>
                <c:manualLayout>
                  <c:x val="2.9895366218235077E-3"/>
                  <c:y val="0.102790014684287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74-45F8-A0CC-D18FC45AA49F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Agriculture!$AB$6:$AF$6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Agriculture!$AB$13:$AF$13</c:f>
              <c:numCache>
                <c:formatCode>#,##0</c:formatCode>
                <c:ptCount val="5"/>
                <c:pt idx="0">
                  <c:v>836</c:v>
                </c:pt>
                <c:pt idx="1">
                  <c:v>727</c:v>
                </c:pt>
                <c:pt idx="2">
                  <c:v>693</c:v>
                </c:pt>
                <c:pt idx="3">
                  <c:v>741</c:v>
                </c:pt>
                <c:pt idx="4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74-45F8-A0CC-D18FC45AA49F}"/>
            </c:ext>
          </c:extLst>
        </c:ser>
        <c:ser>
          <c:idx val="1"/>
          <c:order val="1"/>
          <c:tx>
            <c:strRef>
              <c:f>Agriculture!$B$14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7756321097452772E-3"/>
                  <c:y val="0.136824337863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74-45F8-A0CC-D18FC45AA49F}"/>
                </c:ext>
              </c:extLst>
            </c:dLbl>
            <c:dLbl>
              <c:idx val="1"/>
              <c:layout>
                <c:manualLayout>
                  <c:x val="8.3679601684074462E-4"/>
                  <c:y val="0.127410866840710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74-45F8-A0CC-D18FC45AA49F}"/>
                </c:ext>
              </c:extLst>
            </c:dLbl>
            <c:dLbl>
              <c:idx val="2"/>
              <c:layout>
                <c:manualLayout>
                  <c:x val="6.1264272340091149E-4"/>
                  <c:y val="0.127852990525801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74-45F8-A0CC-D18FC45AA49F}"/>
                </c:ext>
              </c:extLst>
            </c:dLbl>
            <c:dLbl>
              <c:idx val="3"/>
              <c:layout>
                <c:manualLayout>
                  <c:x val="4.2795437099783151E-3"/>
                  <c:y val="0.145474154851978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74-45F8-A0CC-D18FC45AA49F}"/>
                </c:ext>
              </c:extLst>
            </c:dLbl>
            <c:dLbl>
              <c:idx val="4"/>
              <c:layout>
                <c:manualLayout>
                  <c:x val="4.0553904165385925E-3"/>
                  <c:y val="0.154759214187238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74-45F8-A0CC-D18FC45AA49F}"/>
                </c:ext>
              </c:extLst>
            </c:dLbl>
            <c:dLbl>
              <c:idx val="5"/>
              <c:layout>
                <c:manualLayout>
                  <c:x val="5.9790732436472349E-3"/>
                  <c:y val="0.105726872246696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74-45F8-A0CC-D18FC45AA49F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Agriculture!$AB$6:$AF$6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Agriculture!$AB$14:$AF$14</c:f>
              <c:numCache>
                <c:formatCode>#,##0</c:formatCode>
                <c:ptCount val="5"/>
                <c:pt idx="0">
                  <c:v>1230</c:v>
                </c:pt>
                <c:pt idx="1">
                  <c:v>1184</c:v>
                </c:pt>
                <c:pt idx="2">
                  <c:v>1231</c:v>
                </c:pt>
                <c:pt idx="3">
                  <c:v>1314</c:v>
                </c:pt>
                <c:pt idx="4">
                  <c:v>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274-45F8-A0CC-D18FC45A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680368"/>
        <c:axId val="463680760"/>
        <c:axId val="0"/>
      </c:bar3DChart>
      <c:catAx>
        <c:axId val="46368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39382788212155856"/>
              <c:y val="0.861569494036862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680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680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1.4514936575260023E-2"/>
              <c:y val="0.43612378280867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680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Undergraduate Enrollment</a:t>
            </a:r>
            <a:r>
              <a:rPr lang="en-US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7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32117022619296809"/>
          <c:y val="4.23058465948763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492783733261724"/>
          <c:y val="0.18635150799962541"/>
          <c:w val="0.8478275868779489"/>
          <c:h val="0.664369307581958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Architecture!$B$13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1199859504661039E-3"/>
                  <c:y val="0.132991909294698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9-4DBA-BA2A-EAE0AC724536}"/>
                </c:ext>
              </c:extLst>
            </c:dLbl>
            <c:dLbl>
              <c:idx val="1"/>
              <c:layout>
                <c:manualLayout>
                  <c:x val="2.7281691954019424E-3"/>
                  <c:y val="0.1253481199843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49-4DBA-BA2A-EAE0AC724536}"/>
                </c:ext>
              </c:extLst>
            </c:dLbl>
            <c:dLbl>
              <c:idx val="2"/>
              <c:layout>
                <c:manualLayout>
                  <c:x val="5.183373019756255E-4"/>
                  <c:y val="0.133465632423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49-4DBA-BA2A-EAE0AC724536}"/>
                </c:ext>
              </c:extLst>
            </c:dLbl>
            <c:dLbl>
              <c:idx val="3"/>
              <c:layout>
                <c:manualLayout>
                  <c:x val="1.931890417884123E-3"/>
                  <c:y val="0.11807419230971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49-4DBA-BA2A-EAE0AC724536}"/>
                </c:ext>
              </c:extLst>
            </c:dLbl>
            <c:dLbl>
              <c:idx val="4"/>
              <c:layout>
                <c:manualLayout>
                  <c:x val="6.9684481558932856E-3"/>
                  <c:y val="0.114980959703879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49-4DBA-BA2A-EAE0AC724536}"/>
                </c:ext>
              </c:extLst>
            </c:dLbl>
            <c:dLbl>
              <c:idx val="5"/>
              <c:layout>
                <c:manualLayout>
                  <c:x val="0"/>
                  <c:y val="0.114003092810017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49-4DBA-BA2A-EAE0AC72453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Architecture!$AB$6:$AF$6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Architecture!$AB$13:$AF$13</c:f>
              <c:numCache>
                <c:formatCode>#,##0</c:formatCode>
                <c:ptCount val="5"/>
                <c:pt idx="0">
                  <c:v>267</c:v>
                </c:pt>
                <c:pt idx="1">
                  <c:v>256</c:v>
                </c:pt>
                <c:pt idx="2">
                  <c:v>240</c:v>
                </c:pt>
                <c:pt idx="3" formatCode="General">
                  <c:v>230</c:v>
                </c:pt>
                <c:pt idx="4" formatCode="General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49-4DBA-BA2A-EAE0AC724536}"/>
            </c:ext>
          </c:extLst>
        </c:ser>
        <c:ser>
          <c:idx val="1"/>
          <c:order val="1"/>
          <c:tx>
            <c:strRef>
              <c:f>Architecture!$B$14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5277382100106702E-3"/>
                  <c:y val="0.128470732517304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49-4DBA-BA2A-EAE0AC724536}"/>
                </c:ext>
              </c:extLst>
            </c:dLbl>
            <c:dLbl>
              <c:idx val="1"/>
              <c:layout>
                <c:manualLayout>
                  <c:x val="-2.3027778798604187E-3"/>
                  <c:y val="0.133181857441599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49-4DBA-BA2A-EAE0AC724536}"/>
                </c:ext>
              </c:extLst>
            </c:dLbl>
            <c:dLbl>
              <c:idx val="2"/>
              <c:layout>
                <c:manualLayout>
                  <c:x val="9.2218245028988797E-4"/>
                  <c:y val="0.11824431248942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49-4DBA-BA2A-EAE0AC724536}"/>
                </c:ext>
              </c:extLst>
            </c:dLbl>
            <c:dLbl>
              <c:idx val="3"/>
              <c:layout>
                <c:manualLayout>
                  <c:x val="5.9589303819161527E-3"/>
                  <c:y val="0.16170553786815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49-4DBA-BA2A-EAE0AC724536}"/>
                </c:ext>
              </c:extLst>
            </c:dLbl>
            <c:dLbl>
              <c:idx val="4"/>
              <c:layout>
                <c:manualLayout>
                  <c:x val="3.7490984884898915E-3"/>
                  <c:y val="0.148432798651979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49-4DBA-BA2A-EAE0AC724536}"/>
                </c:ext>
              </c:extLst>
            </c:dLbl>
            <c:dLbl>
              <c:idx val="5"/>
              <c:layout>
                <c:manualLayout>
                  <c:x val="0"/>
                  <c:y val="0.117084257480558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49-4DBA-BA2A-EAE0AC72453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Architecture!$AB$6:$AF$6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Architecture!$AB$14:$AF$14</c:f>
              <c:numCache>
                <c:formatCode>#,##0</c:formatCode>
                <c:ptCount val="5"/>
                <c:pt idx="0">
                  <c:v>256</c:v>
                </c:pt>
                <c:pt idx="1">
                  <c:v>259</c:v>
                </c:pt>
                <c:pt idx="2">
                  <c:v>261</c:v>
                </c:pt>
                <c:pt idx="3" formatCode="General">
                  <c:v>444</c:v>
                </c:pt>
                <c:pt idx="4" formatCode="General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49-4DBA-BA2A-EAE0AC72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3681936"/>
        <c:axId val="463682328"/>
        <c:axId val="0"/>
      </c:bar3DChart>
      <c:catAx>
        <c:axId val="46368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39004092131886453"/>
              <c:y val="0.88239984444260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682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682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3.5692967610969728E-3"/>
              <c:y val="0.429128562351672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681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7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Undergraduate Enrollment </a:t>
            </a: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20231236659619883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727381845753246"/>
          <c:y val="0.20765298561795378"/>
          <c:w val="0.76026081792790112"/>
          <c:h val="0.598541568158759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'Arts &amp; Sciences'!$B$14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9421805876976879E-4"/>
                  <c:y val="0.23772599328603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B-4E05-9067-4BF1AD3D25C3}"/>
                </c:ext>
              </c:extLst>
            </c:dLbl>
            <c:dLbl>
              <c:idx val="1"/>
              <c:layout>
                <c:manualLayout>
                  <c:x val="1.0954817292823296E-4"/>
                  <c:y val="0.22083328337946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B-4E05-9067-4BF1AD3D25C3}"/>
                </c:ext>
              </c:extLst>
            </c:dLbl>
            <c:dLbl>
              <c:idx val="2"/>
              <c:layout>
                <c:manualLayout>
                  <c:x val="-2.7404596804033285E-3"/>
                  <c:y val="0.19699045864065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4B-4E05-9067-4BF1AD3D25C3}"/>
                </c:ext>
              </c:extLst>
            </c:dLbl>
            <c:dLbl>
              <c:idx val="3"/>
              <c:layout>
                <c:manualLayout>
                  <c:x val="1.9009245038296361E-4"/>
                  <c:y val="0.211727239440712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4B-4E05-9067-4BF1AD3D25C3}"/>
                </c:ext>
              </c:extLst>
            </c:dLbl>
            <c:dLbl>
              <c:idx val="4"/>
              <c:layout>
                <c:manualLayout>
                  <c:x val="-7.3312950386019652E-4"/>
                  <c:y val="0.20978051197872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4B-4E05-9067-4BF1AD3D25C3}"/>
                </c:ext>
              </c:extLst>
            </c:dLbl>
            <c:dLbl>
              <c:idx val="5"/>
              <c:layout>
                <c:manualLayout>
                  <c:x val="-1.069519953723946E-16"/>
                  <c:y val="0.16037895100362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4B-4E05-9067-4BF1AD3D25C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'Arts &amp; Sciences'!$AB$7:$AF$7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'Arts &amp; Sciences'!$AB$14:$AF$14</c:f>
              <c:numCache>
                <c:formatCode>#,##0</c:formatCode>
                <c:ptCount val="5"/>
                <c:pt idx="0">
                  <c:v>1568</c:v>
                </c:pt>
                <c:pt idx="1">
                  <c:v>1344</c:v>
                </c:pt>
                <c:pt idx="2">
                  <c:v>1271</c:v>
                </c:pt>
                <c:pt idx="3">
                  <c:v>1182</c:v>
                </c:pt>
                <c:pt idx="4">
                  <c:v>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4B-4E05-9067-4BF1AD3D25C3}"/>
            </c:ext>
          </c:extLst>
        </c:ser>
        <c:ser>
          <c:idx val="1"/>
          <c:order val="1"/>
          <c:tx>
            <c:strRef>
              <c:f>'Arts &amp; Sciences'!$B$15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373729751790902E-4"/>
                  <c:y val="0.208824658692942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4B-4E05-9067-4BF1AD3D25C3}"/>
                </c:ext>
              </c:extLst>
            </c:dLbl>
            <c:dLbl>
              <c:idx val="1"/>
              <c:layout>
                <c:manualLayout>
                  <c:x val="1.4973012423630391E-3"/>
                  <c:y val="0.20354208420826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4B-4E05-9067-4BF1AD3D25C3}"/>
                </c:ext>
              </c:extLst>
            </c:dLbl>
            <c:dLbl>
              <c:idx val="2"/>
              <c:layout>
                <c:manualLayout>
                  <c:x val="4.4278533731493871E-3"/>
                  <c:y val="0.196167771845654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4B-4E05-9067-4BF1AD3D25C3}"/>
                </c:ext>
              </c:extLst>
            </c:dLbl>
            <c:dLbl>
              <c:idx val="3"/>
              <c:layout>
                <c:manualLayout>
                  <c:x val="5.4314173179944615E-3"/>
                  <c:y val="0.200337894145983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4B-4E05-9067-4BF1AD3D25C3}"/>
                </c:ext>
              </c:extLst>
            </c:dLbl>
            <c:dLbl>
              <c:idx val="4"/>
              <c:layout>
                <c:manualLayout>
                  <c:x val="6.4351835496925186E-3"/>
                  <c:y val="0.23287164560014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4B-4E05-9067-4BF1AD3D25C3}"/>
                </c:ext>
              </c:extLst>
            </c:dLbl>
            <c:dLbl>
              <c:idx val="5"/>
              <c:layout>
                <c:manualLayout>
                  <c:x val="5.833812594053002E-3"/>
                  <c:y val="0.189836309351229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4B-4E05-9067-4BF1AD3D25C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'Arts &amp; Sciences'!$AB$7:$AF$7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'Arts &amp; Sciences'!$AB$15:$AF$15</c:f>
              <c:numCache>
                <c:formatCode>#,##0</c:formatCode>
                <c:ptCount val="5"/>
                <c:pt idx="0">
                  <c:v>2101</c:v>
                </c:pt>
                <c:pt idx="1">
                  <c:v>2049</c:v>
                </c:pt>
                <c:pt idx="2">
                  <c:v>2039</c:v>
                </c:pt>
                <c:pt idx="3">
                  <c:v>2026</c:v>
                </c:pt>
                <c:pt idx="4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4B-4E05-9067-4BF1AD3D2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4830608"/>
        <c:axId val="464831000"/>
        <c:axId val="0"/>
      </c:bar3DChart>
      <c:catAx>
        <c:axId val="46483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0802504355418168"/>
              <c:y val="0.84153203802949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831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1.560376883453499E-2"/>
              <c:y val="0.410106739173931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0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60913555509243"/>
          <c:y val="0.92280984613100825"/>
          <c:w val="0.28120389708182825"/>
          <c:h val="4.86618004866180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7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Undergraduate Enrollment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2118319190683689"/>
          <c:y val="3.1175059952038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458015267175573"/>
          <c:y val="0.14868140334935961"/>
          <c:w val="0.81870229007633588"/>
          <c:h val="0.647483530714953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Business!$B$13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0110997575684496E-3"/>
                  <c:y val="0.24264133071809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F5-4AA6-9F20-D678835964E5}"/>
                </c:ext>
              </c:extLst>
            </c:dLbl>
            <c:dLbl>
              <c:idx val="1"/>
              <c:layout>
                <c:manualLayout>
                  <c:x val="-5.1487648013463895E-3"/>
                  <c:y val="0.223366355830777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5-4AA6-9F20-D678835964E5}"/>
                </c:ext>
              </c:extLst>
            </c:dLbl>
            <c:dLbl>
              <c:idx val="2"/>
              <c:layout>
                <c:manualLayout>
                  <c:x val="3.3469575845003871E-3"/>
                  <c:y val="0.213966317972387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5-4AA6-9F20-D678835964E5}"/>
                </c:ext>
              </c:extLst>
            </c:dLbl>
            <c:dLbl>
              <c:idx val="3"/>
              <c:layout>
                <c:manualLayout>
                  <c:x val="-1.5159023203405505E-3"/>
                  <c:y val="0.18158966455783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5-4AA6-9F20-D678835964E5}"/>
                </c:ext>
              </c:extLst>
            </c:dLbl>
            <c:dLbl>
              <c:idx val="4"/>
              <c:layout>
                <c:manualLayout>
                  <c:x val="5.0713677406528813E-3"/>
                  <c:y val="0.172395837552349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5-4AA6-9F20-D678835964E5}"/>
                </c:ext>
              </c:extLst>
            </c:dLbl>
            <c:dLbl>
              <c:idx val="5"/>
              <c:layout>
                <c:manualLayout>
                  <c:x val="1.0498171117230364E-16"/>
                  <c:y val="0.19610831193448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F5-4AA6-9F20-D678835964E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Business!$AB$6:$AF$6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Business!$AB$13:$AF$13</c:f>
              <c:numCache>
                <c:formatCode>#,##0</c:formatCode>
                <c:ptCount val="5"/>
                <c:pt idx="0">
                  <c:v>1563</c:v>
                </c:pt>
                <c:pt idx="1">
                  <c:v>1574</c:v>
                </c:pt>
                <c:pt idx="2">
                  <c:v>1556</c:v>
                </c:pt>
                <c:pt idx="3">
                  <c:v>1618</c:v>
                </c:pt>
                <c:pt idx="4">
                  <c:v>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F5-4AA6-9F20-D678835964E5}"/>
            </c:ext>
          </c:extLst>
        </c:ser>
        <c:ser>
          <c:idx val="1"/>
          <c:order val="1"/>
          <c:tx>
            <c:strRef>
              <c:f>Business!$B$14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8552022600228447E-3"/>
                  <c:y val="0.239428649769717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F5-4AA6-9F20-D678835964E5}"/>
                </c:ext>
              </c:extLst>
            </c:dLbl>
            <c:dLbl>
              <c:idx val="1"/>
              <c:layout>
                <c:manualLayout>
                  <c:x val="-4.0846707138707059E-3"/>
                  <c:y val="0.215767063860403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F5-4AA6-9F20-D678835964E5}"/>
                </c:ext>
              </c:extLst>
            </c:dLbl>
            <c:dLbl>
              <c:idx val="2"/>
              <c:layout>
                <c:manualLayout>
                  <c:x val="5.9445813548121465E-4"/>
                  <c:y val="0.209276457729161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F5-4AA6-9F20-D678835964E5}"/>
                </c:ext>
              </c:extLst>
            </c:dLbl>
            <c:dLbl>
              <c:idx val="3"/>
              <c:layout>
                <c:manualLayout>
                  <c:x val="3.3649896816332976E-3"/>
                  <c:y val="0.187987765413545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F5-4AA6-9F20-D678835964E5}"/>
                </c:ext>
              </c:extLst>
            </c:dLbl>
            <c:dLbl>
              <c:idx val="4"/>
              <c:layout>
                <c:manualLayout>
                  <c:x val="4.2273246378553295E-3"/>
                  <c:y val="0.184994775092549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F5-4AA6-9F20-D678835964E5}"/>
                </c:ext>
              </c:extLst>
            </c:dLbl>
            <c:dLbl>
              <c:idx val="5"/>
              <c:layout>
                <c:manualLayout>
                  <c:x val="2.8631706526360784E-3"/>
                  <c:y val="0.173604079417411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F5-4AA6-9F20-D678835964E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Business!$AB$6:$AF$6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Business!$AB$14:$AF$14</c:f>
              <c:numCache>
                <c:formatCode>#,##0</c:formatCode>
                <c:ptCount val="5"/>
                <c:pt idx="0">
                  <c:v>904</c:v>
                </c:pt>
                <c:pt idx="1">
                  <c:v>906</c:v>
                </c:pt>
                <c:pt idx="2">
                  <c:v>958</c:v>
                </c:pt>
                <c:pt idx="3">
                  <c:v>977</c:v>
                </c:pt>
                <c:pt idx="4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F5-4AA6-9F20-D67883596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4832176"/>
        <c:axId val="464832568"/>
        <c:axId val="0"/>
      </c:bar3DChart>
      <c:catAx>
        <c:axId val="46483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0287142055749348"/>
              <c:y val="0.82056017127363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2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832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3.2591660841640767E-3"/>
              <c:y val="0.392727636441294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2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499138966275956"/>
          <c:y val="0.91274990076873863"/>
          <c:w val="0.30291139546567014"/>
          <c:h val="4.7961630695443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Undergraduate Enrollment </a:t>
            </a: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24624074931809994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9"/>
      <c:rotY val="20"/>
      <c:depthPercent val="11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31967419397558"/>
          <c:y val="0.15325181822056078"/>
          <c:w val="0.79048813729279788"/>
          <c:h val="0.655556978205247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Education!$B$13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773655749626136E-3"/>
                  <c:y val="0.108918769824817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B-4847-8784-D42A533C113B}"/>
                </c:ext>
              </c:extLst>
            </c:dLbl>
            <c:dLbl>
              <c:idx val="1"/>
              <c:layout>
                <c:manualLayout>
                  <c:x val="-1.9814275035506478E-3"/>
                  <c:y val="0.12550581616527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B-4847-8784-D42A533C113B}"/>
                </c:ext>
              </c:extLst>
            </c:dLbl>
            <c:dLbl>
              <c:idx val="2"/>
              <c:layout>
                <c:manualLayout>
                  <c:x val="9.7371517081033527E-4"/>
                  <c:y val="0.132251597058386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4B-4847-8784-D42A533C113B}"/>
                </c:ext>
              </c:extLst>
            </c:dLbl>
            <c:dLbl>
              <c:idx val="3"/>
              <c:layout>
                <c:manualLayout>
                  <c:x val="2.049354215573407E-3"/>
                  <c:y val="0.120028791575738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B-4847-8784-D42A533C113B}"/>
                </c:ext>
              </c:extLst>
            </c:dLbl>
            <c:dLbl>
              <c:idx val="4"/>
              <c:layout>
                <c:manualLayout>
                  <c:x val="5.004694233687418E-3"/>
                  <c:y val="0.12562346898269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4B-4847-8784-D42A533C113B}"/>
                </c:ext>
              </c:extLst>
            </c:dLbl>
            <c:dLbl>
              <c:idx val="5"/>
              <c:layout>
                <c:manualLayout>
                  <c:x val="1.0409930681305552E-16"/>
                  <c:y val="0.12259994768252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4B-4847-8784-D42A533C113B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Education!$AB$6:$AF$6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Education!$AB$13:$AF$13</c:f>
              <c:numCache>
                <c:formatCode>General</c:formatCode>
                <c:ptCount val="5"/>
                <c:pt idx="0">
                  <c:v>224</c:v>
                </c:pt>
                <c:pt idx="1">
                  <c:v>215</c:v>
                </c:pt>
                <c:pt idx="2">
                  <c:v>180</c:v>
                </c:pt>
                <c:pt idx="3">
                  <c:v>178</c:v>
                </c:pt>
                <c:pt idx="4" formatCode="#,##0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4B-4847-8784-D42A533C113B}"/>
            </c:ext>
          </c:extLst>
        </c:ser>
        <c:ser>
          <c:idx val="1"/>
          <c:order val="1"/>
          <c:tx>
            <c:strRef>
              <c:f>Education!$B$14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272940653403453E-3"/>
                  <c:y val="0.210152093473766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4B-4847-8784-D42A533C113B}"/>
                </c:ext>
              </c:extLst>
            </c:dLbl>
            <c:dLbl>
              <c:idx val="1"/>
              <c:layout>
                <c:manualLayout>
                  <c:x val="9.2804595277366591E-4"/>
                  <c:y val="0.20717472834528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4B-4847-8784-D42A533C113B}"/>
                </c:ext>
              </c:extLst>
            </c:dLbl>
            <c:dLbl>
              <c:idx val="2"/>
              <c:layout>
                <c:manualLayout>
                  <c:x val="7.6425905738366946E-3"/>
                  <c:y val="0.198682665737387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4B-4847-8784-D42A533C113B}"/>
                </c:ext>
              </c:extLst>
            </c:dLbl>
            <c:dLbl>
              <c:idx val="3"/>
              <c:layout>
                <c:manualLayout>
                  <c:x val="4.9588276718977205E-3"/>
                  <c:y val="0.177412752558047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4B-4847-8784-D42A533C113B}"/>
                </c:ext>
              </c:extLst>
            </c:dLbl>
            <c:dLbl>
              <c:idx val="4"/>
              <c:layout>
                <c:manualLayout>
                  <c:x val="7.9139703462586478E-3"/>
                  <c:y val="0.17284841870531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4B-4847-8784-D42A533C113B}"/>
                </c:ext>
              </c:extLst>
            </c:dLbl>
            <c:dLbl>
              <c:idx val="5"/>
              <c:layout>
                <c:manualLayout>
                  <c:x val="5.6782096023890657E-3"/>
                  <c:y val="0.188385285463394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4B-4847-8784-D42A533C113B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Education!$AB$6:$AF$6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Education!$AB$14:$AF$14</c:f>
              <c:numCache>
                <c:formatCode>#,##0</c:formatCode>
                <c:ptCount val="5"/>
                <c:pt idx="0">
                  <c:v>783</c:v>
                </c:pt>
                <c:pt idx="1">
                  <c:v>766</c:v>
                </c:pt>
                <c:pt idx="2">
                  <c:v>716</c:v>
                </c:pt>
                <c:pt idx="3">
                  <c:v>681</c:v>
                </c:pt>
                <c:pt idx="4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54B-4847-8784-D42A533C1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160"/>
        <c:shape val="box"/>
        <c:axId val="464833744"/>
        <c:axId val="464834136"/>
        <c:axId val="0"/>
      </c:bar3DChart>
      <c:catAx>
        <c:axId val="46483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39648161476429516"/>
              <c:y val="0.837680710376432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834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4.8872214502598939E-2"/>
              <c:y val="0.42666759988334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3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107818759497168"/>
          <c:y val="0.92206062092976782"/>
          <c:w val="0.23454482663351289"/>
          <c:h val="4.44444444444443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&amp;L&amp;"Times New Roman,Bold"&amp;12Student 98&amp;C&amp;"Times New Roman,Bold"&amp;12Kansas State University&amp;R&amp;"Times New Roman,Bold"&amp;12Fact Book 2005</c:oddHeader>
      <c:oddFooter>&amp;C&amp;"Times New Roman,Bold"&amp;12Tables</c:oddFooter>
    </c:headerFooter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7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Undergraduate Enrollment</a:t>
            </a: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21828354470958308"/>
          <c:y val="3.04449648711943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637361634143559"/>
          <c:y val="0.19437961337686321"/>
          <c:w val="0.81616364258815477"/>
          <c:h val="0.601874224552455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Engineering!$B$12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795236416343341E-3"/>
                  <c:y val="0.257159884844913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02-468B-B257-1C3C66E41354}"/>
                </c:ext>
              </c:extLst>
            </c:dLbl>
            <c:dLbl>
              <c:idx val="1"/>
              <c:layout>
                <c:manualLayout>
                  <c:x val="-7.4528930152387915E-3"/>
                  <c:y val="0.264185654003112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2-468B-B257-1C3C66E41354}"/>
                </c:ext>
              </c:extLst>
            </c:dLbl>
            <c:dLbl>
              <c:idx val="2"/>
              <c:layout>
                <c:manualLayout>
                  <c:x val="-4.2290515924315345E-3"/>
                  <c:y val="0.269479989532810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2-468B-B257-1C3C66E41354}"/>
                </c:ext>
              </c:extLst>
            </c:dLbl>
            <c:dLbl>
              <c:idx val="3"/>
              <c:layout>
                <c:manualLayout>
                  <c:x val="8.6026560112829225E-4"/>
                  <c:y val="0.249809293440312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02-468B-B257-1C3C66E41354}"/>
                </c:ext>
              </c:extLst>
            </c:dLbl>
            <c:dLbl>
              <c:idx val="4"/>
              <c:layout>
                <c:manualLayout>
                  <c:x val="2.2184353821444714E-3"/>
                  <c:y val="0.25454476440185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02-468B-B257-1C3C66E41354}"/>
                </c:ext>
              </c:extLst>
            </c:dLbl>
            <c:dLbl>
              <c:idx val="5"/>
              <c:layout>
                <c:manualLayout>
                  <c:x val="0"/>
                  <c:y val="0.25917252146760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02-468B-B257-1C3C66E4135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Engineering!$AB$5:$AF$5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Engineering!$AB$12:$AF$12</c:f>
              <c:numCache>
                <c:formatCode>#,##0</c:formatCode>
                <c:ptCount val="5"/>
                <c:pt idx="0">
                  <c:v>2322</c:v>
                </c:pt>
                <c:pt idx="1">
                  <c:v>2275</c:v>
                </c:pt>
                <c:pt idx="2">
                  <c:v>2284</c:v>
                </c:pt>
                <c:pt idx="3">
                  <c:v>2304</c:v>
                </c:pt>
                <c:pt idx="4">
                  <c:v>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02-468B-B257-1C3C66E41354}"/>
            </c:ext>
          </c:extLst>
        </c:ser>
        <c:ser>
          <c:idx val="1"/>
          <c:order val="1"/>
          <c:tx>
            <c:strRef>
              <c:f>Engineering!$B$13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898208376126902E-4"/>
                  <c:y val="7.6278497974638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02-468B-B257-1C3C66E41354}"/>
                </c:ext>
              </c:extLst>
            </c:dLbl>
            <c:dLbl>
              <c:idx val="1"/>
              <c:layout>
                <c:manualLayout>
                  <c:x val="5.0957434668493055E-3"/>
                  <c:y val="8.5008144473744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02-468B-B257-1C3C66E41354}"/>
                </c:ext>
              </c:extLst>
            </c:dLbl>
            <c:dLbl>
              <c:idx val="2"/>
              <c:layout>
                <c:manualLayout>
                  <c:x val="5.6209060823918747E-3"/>
                  <c:y val="8.2293729677232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02-468B-B257-1C3C66E41354}"/>
                </c:ext>
              </c:extLst>
            </c:dLbl>
            <c:dLbl>
              <c:idx val="3"/>
              <c:layout>
                <c:manualLayout>
                  <c:x val="4.080566016204496E-3"/>
                  <c:y val="7.8957261489854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02-468B-B257-1C3C66E41354}"/>
                </c:ext>
              </c:extLst>
            </c:dLbl>
            <c:dLbl>
              <c:idx val="4"/>
              <c:layout>
                <c:manualLayout>
                  <c:x val="4.2055470678106256E-3"/>
                  <c:y val="8.6771615149129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02-468B-B257-1C3C66E41354}"/>
                </c:ext>
              </c:extLst>
            </c:dLbl>
            <c:dLbl>
              <c:idx val="5"/>
              <c:layout>
                <c:manualLayout>
                  <c:x val="5.0890585241730284E-3"/>
                  <c:y val="8.1186572989851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02-468B-B257-1C3C66E4135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Engineering!$AB$5:$AF$5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Engineering!$AB$13:$AF$13</c:f>
              <c:numCache>
                <c:formatCode>General</c:formatCode>
                <c:ptCount val="5"/>
                <c:pt idx="0">
                  <c:v>510</c:v>
                </c:pt>
                <c:pt idx="1">
                  <c:v>491</c:v>
                </c:pt>
                <c:pt idx="2">
                  <c:v>499</c:v>
                </c:pt>
                <c:pt idx="3">
                  <c:v>532</c:v>
                </c:pt>
                <c:pt idx="4" formatCode="#,##0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902-468B-B257-1C3C66E41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4835312"/>
        <c:axId val="464835704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Engineering!$AB$5:$AF$5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Engineering!#REF!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2902-468B-B257-1C3C66E41354}"/>
                  </c:ext>
                </c:extLst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Engineering!$AB$5:$AF$5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Engineering!#REF!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902-468B-B257-1C3C66E41354}"/>
                  </c:ext>
                </c:extLst>
              </c15:ser>
            </c15:filteredBarSeries>
            <c15:filteredBarSeries>
              <c15:ser>
                <c:idx val="4"/>
                <c:order val="4"/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Engineering!$AB$5:$AF$5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Engineering!#REF!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902-468B-B257-1C3C66E41354}"/>
                  </c:ext>
                </c:extLst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Engineering!$AB$5:$AF$5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Engineering!#REF!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902-468B-B257-1C3C66E41354}"/>
                  </c:ext>
                </c:extLst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Engineering!$AB$5:$AF$5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Engineering!#REF!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902-468B-B257-1C3C66E41354}"/>
                  </c:ext>
                </c:extLst>
              </c15:ser>
            </c15:filteredBarSeries>
          </c:ext>
        </c:extLst>
      </c:bar3DChart>
      <c:catAx>
        <c:axId val="46483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6828354470958305"/>
              <c:y val="0.85480192025177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835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4.0024042796177196E-2"/>
              <c:y val="0.426229999938532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5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85462418463522"/>
          <c:y val="0.91178864936964843"/>
          <c:w val="0.2419940861822652"/>
          <c:h val="4.68384074941452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Undergraduate Enrollment </a:t>
            </a: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24038488188976376"/>
          <c:y val="3.066037735849056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885652567765314"/>
          <c:y val="0.16745307779923735"/>
          <c:w val="0.78562585650245043"/>
          <c:h val="0.641510172729691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'Health and Human Sciences'!$B$14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840124823106789E-3"/>
                  <c:y val="6.8476699846481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04-499E-AAD2-250FB898C044}"/>
                </c:ext>
              </c:extLst>
            </c:dLbl>
            <c:dLbl>
              <c:idx val="1"/>
              <c:layout>
                <c:manualLayout>
                  <c:x val="1.2496824993649988E-3"/>
                  <c:y val="7.8909523102065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04-499E-AAD2-250FB898C044}"/>
                </c:ext>
              </c:extLst>
            </c:dLbl>
            <c:dLbl>
              <c:idx val="2"/>
              <c:layout>
                <c:manualLayout>
                  <c:x val="3.7352588990892267E-3"/>
                  <c:y val="7.4887832417174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04-499E-AAD2-250FB898C044}"/>
                </c:ext>
              </c:extLst>
            </c:dLbl>
            <c:dLbl>
              <c:idx val="3"/>
              <c:layout>
                <c:manualLayout>
                  <c:x val="4.6728836314815485E-3"/>
                  <c:y val="8.8676026345763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04-499E-AAD2-250FB898C044}"/>
                </c:ext>
              </c:extLst>
            </c:dLbl>
            <c:dLbl>
              <c:idx val="4"/>
              <c:layout>
                <c:manualLayout>
                  <c:x val="5.2356681934782314E-3"/>
                  <c:y val="0.107755982929265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04-499E-AAD2-250FB898C044}"/>
                </c:ext>
              </c:extLst>
            </c:dLbl>
            <c:dLbl>
              <c:idx val="5"/>
              <c:layout>
                <c:manualLayout>
                  <c:x val="2.6666666666666666E-3"/>
                  <c:y val="0.103773584905660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04-499E-AAD2-250FB898C0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'Health and Human Sciences'!$AB$7:$AF$7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'Health and Human Sciences'!$AB$14:$AF$14</c:f>
              <c:numCache>
                <c:formatCode>General</c:formatCode>
                <c:ptCount val="5"/>
                <c:pt idx="0">
                  <c:v>461</c:v>
                </c:pt>
                <c:pt idx="1">
                  <c:v>463</c:v>
                </c:pt>
                <c:pt idx="2">
                  <c:v>553</c:v>
                </c:pt>
                <c:pt idx="3">
                  <c:v>565</c:v>
                </c:pt>
                <c:pt idx="4" formatCode="#,##0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04-499E-AAD2-250FB898C044}"/>
            </c:ext>
          </c:extLst>
        </c:ser>
        <c:ser>
          <c:idx val="1"/>
          <c:order val="1"/>
          <c:tx>
            <c:strRef>
              <c:f>'Health and Human Sciences'!$B$15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9797919305864912E-4"/>
                  <c:y val="0.16941029712738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04-499E-AAD2-250FB898C044}"/>
                </c:ext>
              </c:extLst>
            </c:dLbl>
            <c:dLbl>
              <c:idx val="1"/>
              <c:layout>
                <c:manualLayout>
                  <c:x val="1.4138280672703065E-3"/>
                  <c:y val="0.187280372834942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04-499E-AAD2-250FB898C044}"/>
                </c:ext>
              </c:extLst>
            </c:dLbl>
            <c:dLbl>
              <c:idx val="2"/>
              <c:layout>
                <c:manualLayout>
                  <c:x val="-2.6438027567978225E-3"/>
                  <c:y val="0.20119162377880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04-499E-AAD2-250FB898C044}"/>
                </c:ext>
              </c:extLst>
            </c:dLbl>
            <c:dLbl>
              <c:idx val="3"/>
              <c:layout>
                <c:manualLayout>
                  <c:x val="2.9141619612360237E-3"/>
                  <c:y val="0.22171958109377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04-499E-AAD2-250FB898C044}"/>
                </c:ext>
              </c:extLst>
            </c:dLbl>
            <c:dLbl>
              <c:idx val="4"/>
              <c:layout>
                <c:manualLayout>
                  <c:x val="4.6257673237252864E-3"/>
                  <c:y val="0.206780496007130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04-499E-AAD2-250FB898C044}"/>
                </c:ext>
              </c:extLst>
            </c:dLbl>
            <c:dLbl>
              <c:idx val="5"/>
              <c:layout>
                <c:manualLayout>
                  <c:x val="8.0000000000000973E-3"/>
                  <c:y val="0.201257861635220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04-499E-AAD2-250FB898C0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'Health and Human Sciences'!$AB$7:$AF$7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'Health and Human Sciences'!$AB$15:$AF$15</c:f>
              <c:numCache>
                <c:formatCode>#,##0</c:formatCode>
                <c:ptCount val="5"/>
                <c:pt idx="0">
                  <c:v>1873</c:v>
                </c:pt>
                <c:pt idx="1">
                  <c:v>1766</c:v>
                </c:pt>
                <c:pt idx="2">
                  <c:v>1808</c:v>
                </c:pt>
                <c:pt idx="3">
                  <c:v>1645</c:v>
                </c:pt>
                <c:pt idx="4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E04-499E-AAD2-250FB898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4836880"/>
        <c:axId val="464837272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'Health and Human Sciences'!$AB$7:$AF$7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'Health and Human Sciences'!#REF!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BE04-499E-AAD2-250FB898C044}"/>
                  </c:ext>
                </c:extLst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'Health and Human Sciences'!$AB$7:$AF$7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'Health and Human Sciences'!#REF!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E04-499E-AAD2-250FB898C044}"/>
                  </c:ext>
                </c:extLst>
              </c15:ser>
            </c15:filteredBarSeries>
            <c15:filteredBarSeries>
              <c15:ser>
                <c:idx val="4"/>
                <c:order val="4"/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'Health and Human Sciences'!$AB$7:$AF$7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'Health and Human Sciences'!#REF!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E04-499E-AAD2-250FB898C044}"/>
                  </c:ext>
                </c:extLst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'Health and Human Sciences'!$AB$7:$AF$7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'Health and Human Sciences'!#REF!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E04-499E-AAD2-250FB898C044}"/>
                  </c:ext>
                </c:extLst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'Health and Human Sciences'!$AB$7:$AF$7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'Health and Human Sciences'!#REF!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E04-499E-AAD2-250FB898C044}"/>
                  </c:ext>
                </c:extLst>
              </c15:ser>
            </c15:filteredBarSeries>
          </c:ext>
        </c:extLst>
      </c:bar3DChart>
      <c:catAx>
        <c:axId val="46483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5384650918635172"/>
              <c:y val="0.860850047046005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837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1.4601769911504423E-2"/>
              <c:y val="0.410377853711682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836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717252303814439"/>
          <c:y val="0.9080198583667608"/>
          <c:w val="0.25925977314509696"/>
          <c:h val="4.71698113207547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Undergraduate Enrollment </a:t>
            </a: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 </a:t>
            </a:r>
          </a:p>
          <a:p>
            <a:pPr>
              <a:defRPr sz="1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840960971832545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076795015420596"/>
          <c:y val="0.19174780006518324"/>
          <c:w val="0.84826401131885154"/>
          <c:h val="0.584952149565938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Technology!$B$13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2669354108398036E-3"/>
                  <c:y val="0.201927949270678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6-450F-BA52-D89E2E47C386}"/>
                </c:ext>
              </c:extLst>
            </c:dLbl>
            <c:dLbl>
              <c:idx val="1"/>
              <c:layout>
                <c:manualLayout>
                  <c:x val="-4.1306533911506099E-3"/>
                  <c:y val="0.233924827680888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6-450F-BA52-D89E2E47C386}"/>
                </c:ext>
              </c:extLst>
            </c:dLbl>
            <c:dLbl>
              <c:idx val="2"/>
              <c:layout>
                <c:manualLayout>
                  <c:x val="-9.9417943932864593E-4"/>
                  <c:y val="0.179977100001728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86-450F-BA52-D89E2E47C386}"/>
                </c:ext>
              </c:extLst>
            </c:dLbl>
            <c:dLbl>
              <c:idx val="3"/>
              <c:layout>
                <c:manualLayout>
                  <c:x val="3.1394738355273002E-4"/>
                  <c:y val="0.172144362624730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6-450F-BA52-D89E2E47C386}"/>
                </c:ext>
              </c:extLst>
            </c:dLbl>
            <c:dLbl>
              <c:idx val="4"/>
              <c:layout>
                <c:manualLayout>
                  <c:x val="-2.0342361871817523E-3"/>
                  <c:y val="0.146438350954626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6-450F-BA52-D89E2E47C386}"/>
                </c:ext>
              </c:extLst>
            </c:dLbl>
            <c:dLbl>
              <c:idx val="5"/>
              <c:layout>
                <c:manualLayout>
                  <c:x val="9.3655793346353971E-17"/>
                  <c:y val="0.135922330097087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6-450F-BA52-D89E2E47C38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just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Technology!$AB$6:$AF$6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Technology!$AB$13:$AF$13</c:f>
              <c:numCache>
                <c:formatCode>General</c:formatCode>
                <c:ptCount val="5"/>
                <c:pt idx="0">
                  <c:v>620</c:v>
                </c:pt>
                <c:pt idx="1">
                  <c:v>630</c:v>
                </c:pt>
                <c:pt idx="2">
                  <c:v>653</c:v>
                </c:pt>
                <c:pt idx="3">
                  <c:v>559</c:v>
                </c:pt>
                <c:pt idx="4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86-450F-BA52-D89E2E47C386}"/>
            </c:ext>
          </c:extLst>
        </c:ser>
        <c:ser>
          <c:idx val="1"/>
          <c:order val="1"/>
          <c:tx>
            <c:strRef>
              <c:f>Technology!$B$14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941290150154273E-3"/>
                  <c:y val="7.046135252419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6-450F-BA52-D89E2E47C386}"/>
                </c:ext>
              </c:extLst>
            </c:dLbl>
            <c:dLbl>
              <c:idx val="1"/>
              <c:layout>
                <c:manualLayout>
                  <c:x val="-2.1899234844897533E-3"/>
                  <c:y val="6.3588774762261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86-450F-BA52-D89E2E47C386}"/>
                </c:ext>
              </c:extLst>
            </c:dLbl>
            <c:dLbl>
              <c:idx val="2"/>
              <c:layout>
                <c:manualLayout>
                  <c:x val="-1.2209921856500118E-3"/>
                  <c:y val="6.0201712165089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86-450F-BA52-D89E2E47C386}"/>
                </c:ext>
              </c:extLst>
            </c:dLbl>
            <c:dLbl>
              <c:idx val="3"/>
              <c:layout>
                <c:manualLayout>
                  <c:x val="2.2546730700923512E-3"/>
                  <c:y val="6.964613111098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86-450F-BA52-D89E2E47C386}"/>
                </c:ext>
              </c:extLst>
            </c:dLbl>
            <c:dLbl>
              <c:idx val="4"/>
              <c:layout>
                <c:manualLayout>
                  <c:x val="1.3948910726970271E-3"/>
                  <c:y val="7.827868841195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6-450F-BA52-D89E2E47C386}"/>
                </c:ext>
              </c:extLst>
            </c:dLbl>
            <c:dLbl>
              <c:idx val="5"/>
              <c:layout>
                <c:manualLayout>
                  <c:x val="0"/>
                  <c:y val="0.11650485436893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6-450F-BA52-D89E2E47C38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Technology!$AB$6:$AF$6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Technology!$AB$14:$AF$14</c:f>
              <c:numCache>
                <c:formatCode>General</c:formatCode>
                <c:ptCount val="5"/>
                <c:pt idx="0">
                  <c:v>101</c:v>
                </c:pt>
                <c:pt idx="1">
                  <c:v>137</c:v>
                </c:pt>
                <c:pt idx="2">
                  <c:v>170</c:v>
                </c:pt>
                <c:pt idx="3">
                  <c:v>133</c:v>
                </c:pt>
                <c:pt idx="4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F86-450F-BA52-D89E2E47C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6599264"/>
        <c:axId val="466599656"/>
        <c:axId val="0"/>
      </c:bar3DChart>
      <c:catAx>
        <c:axId val="46659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5161644794400702"/>
              <c:y val="0.834952475600744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59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599656"/>
        <c:scaling>
          <c:orientation val="minMax"/>
          <c:max val="7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2.717621925166331E-2"/>
              <c:y val="0.42233060673241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59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625638213133808"/>
          <c:y val="0.88106898045511306"/>
          <c:w val="0.36542562776667842"/>
          <c:h val="4.53074433656957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7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Veterinary Medicine Enrollment</a:t>
            </a:r>
            <a:r>
              <a:rPr lang="en-US" sz="17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Men vs. Women</a:t>
            </a:r>
          </a:p>
        </c:rich>
      </c:tx>
      <c:layout>
        <c:manualLayout>
          <c:xMode val="edge"/>
          <c:yMode val="edge"/>
          <c:x val="0.15954061375033457"/>
          <c:y val="2.662613670557848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7"/>
      <c:rotY val="20"/>
      <c:depthPercent val="7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081646685314378"/>
          <c:y val="0.20612813370473537"/>
          <c:w val="0.84898043783924371"/>
          <c:h val="0.593314763231197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'Vet Med'!$B$13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84856980155847E-3"/>
                  <c:y val="-9.6295954047581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C9-4E48-B39B-4CE9C484C5F1}"/>
                </c:ext>
              </c:extLst>
            </c:dLbl>
            <c:dLbl>
              <c:idx val="1"/>
              <c:layout>
                <c:manualLayout>
                  <c:x val="-7.4628864151786076E-4"/>
                  <c:y val="-1.0083930573795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C9-4E48-B39B-4CE9C484C5F1}"/>
                </c:ext>
              </c:extLst>
            </c:dLbl>
            <c:dLbl>
              <c:idx val="2"/>
              <c:layout>
                <c:manualLayout>
                  <c:x val="-1.3358832266316155E-3"/>
                  <c:y val="-1.0047500830775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C9-4E48-B39B-4CE9C484C5F1}"/>
                </c:ext>
              </c:extLst>
            </c:dLbl>
            <c:dLbl>
              <c:idx val="3"/>
              <c:layout>
                <c:manualLayout>
                  <c:x val="1.1552866870472222E-4"/>
                  <c:y val="-5.4745314631547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C9-4E48-B39B-4CE9C484C5F1}"/>
                </c:ext>
              </c:extLst>
            </c:dLbl>
            <c:dLbl>
              <c:idx val="4"/>
              <c:layout>
                <c:manualLayout>
                  <c:x val="1.5669405640409569E-3"/>
                  <c:y val="-9.9888578298180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C9-4E48-B39B-4CE9C484C5F1}"/>
                </c:ext>
              </c:extLst>
            </c:dLbl>
            <c:dLbl>
              <c:idx val="5"/>
              <c:layout>
                <c:manualLayout>
                  <c:x val="7.0998668571899117E-3"/>
                  <c:y val="0.119383823540163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C9-4E48-B39B-4CE9C484C5F1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l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'Vet Med'!$AB$6:$AF$6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'Vet Med'!$AB$13:$AF$13</c:f>
              <c:numCache>
                <c:formatCode>General</c:formatCode>
                <c:ptCount val="5"/>
                <c:pt idx="0">
                  <c:v>88</c:v>
                </c:pt>
                <c:pt idx="1">
                  <c:v>81</c:v>
                </c:pt>
                <c:pt idx="2">
                  <c:v>70</c:v>
                </c:pt>
                <c:pt idx="3">
                  <c:v>72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C9-4E48-B39B-4CE9C484C5F1}"/>
            </c:ext>
          </c:extLst>
        </c:ser>
        <c:ser>
          <c:idx val="1"/>
          <c:order val="1"/>
          <c:tx>
            <c:strRef>
              <c:f>'Vet Med'!$B$14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909303266203923E-3"/>
                  <c:y val="0.14872897155265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C9-4E48-B39B-4CE9C484C5F1}"/>
                </c:ext>
              </c:extLst>
            </c:dLbl>
            <c:dLbl>
              <c:idx val="1"/>
              <c:layout>
                <c:manualLayout>
                  <c:x val="-1.03963459479874E-3"/>
                  <c:y val="0.176160083053685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C9-4E48-B39B-4CE9C484C5F1}"/>
                </c:ext>
              </c:extLst>
            </c:dLbl>
            <c:dLbl>
              <c:idx val="2"/>
              <c:layout>
                <c:manualLayout>
                  <c:x val="2.4524794972134558E-3"/>
                  <c:y val="0.170129040276650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C9-4E48-B39B-4CE9C484C5F1}"/>
                </c:ext>
              </c:extLst>
            </c:dLbl>
            <c:dLbl>
              <c:idx val="3"/>
              <c:layout>
                <c:manualLayout>
                  <c:x val="1.8629568688446753E-3"/>
                  <c:y val="0.20038192997463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C9-4E48-B39B-4CE9C484C5F1}"/>
                </c:ext>
              </c:extLst>
            </c:dLbl>
            <c:dLbl>
              <c:idx val="4"/>
              <c:layout>
                <c:manualLayout>
                  <c:x val="3.3142526006663276E-3"/>
                  <c:y val="0.191565371877261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C9-4E48-B39B-4CE9C484C5F1}"/>
                </c:ext>
              </c:extLst>
            </c:dLbl>
            <c:dLbl>
              <c:idx val="5"/>
              <c:layout>
                <c:manualLayout>
                  <c:x val="2.6098326582938191E-3"/>
                  <c:y val="0.20207634370277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C9-4E48-B39B-4CE9C484C5F1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just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'Vet Med'!$AB$6:$AF$6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'Vet Med'!$AB$14:$AF$14</c:f>
              <c:numCache>
                <c:formatCode>General</c:formatCode>
                <c:ptCount val="5"/>
                <c:pt idx="0">
                  <c:v>388</c:v>
                </c:pt>
                <c:pt idx="1">
                  <c:v>399</c:v>
                </c:pt>
                <c:pt idx="2">
                  <c:v>406</c:v>
                </c:pt>
                <c:pt idx="3">
                  <c:v>421</c:v>
                </c:pt>
                <c:pt idx="4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C9-4E48-B39B-4CE9C484C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shape val="box"/>
        <c:axId val="466600832"/>
        <c:axId val="466601224"/>
        <c:axId val="0"/>
      </c:bar3DChart>
      <c:catAx>
        <c:axId val="46660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Fall Semester</a:t>
                </a:r>
              </a:p>
            </c:rich>
          </c:tx>
          <c:layout>
            <c:manualLayout>
              <c:xMode val="edge"/>
              <c:yMode val="edge"/>
              <c:x val="0.47142892022218158"/>
              <c:y val="0.8662952646239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601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601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Headcount</a:t>
                </a:r>
              </a:p>
            </c:rich>
          </c:tx>
          <c:layout>
            <c:manualLayout>
              <c:xMode val="edge"/>
              <c:yMode val="edge"/>
              <c:x val="1.6417133984643867E-2"/>
              <c:y val="0.41871318300056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600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91364143618888"/>
          <c:y val="0.92566577611777634"/>
          <c:w val="0.34971695447874618"/>
          <c:h val="5.84958217270195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26</xdr:row>
      <xdr:rowOff>42431</xdr:rowOff>
    </xdr:from>
    <xdr:to>
      <xdr:col>31</xdr:col>
      <xdr:colOff>545523</xdr:colOff>
      <xdr:row>50</xdr:row>
      <xdr:rowOff>138546</xdr:rowOff>
    </xdr:to>
    <xdr:graphicFrame macro="">
      <xdr:nvGraphicFramePr>
        <xdr:cNvPr id="15587" name="Chart 1">
          <a:extLst>
            <a:ext uri="{FF2B5EF4-FFF2-40B4-BE49-F238E27FC236}">
              <a16:creationId xmlns:a16="http://schemas.microsoft.com/office/drawing/2014/main" id="{00000000-0008-0000-0000-0000E3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70185</xdr:rowOff>
    </xdr:from>
    <xdr:to>
      <xdr:col>31</xdr:col>
      <xdr:colOff>481263</xdr:colOff>
      <xdr:row>49</xdr:row>
      <xdr:rowOff>257176</xdr:rowOff>
    </xdr:to>
    <xdr:graphicFrame macro="">
      <xdr:nvGraphicFramePr>
        <xdr:cNvPr id="16612" name="Chart 1">
          <a:extLst>
            <a:ext uri="{FF2B5EF4-FFF2-40B4-BE49-F238E27FC236}">
              <a16:creationId xmlns:a16="http://schemas.microsoft.com/office/drawing/2014/main" id="{00000000-0008-0000-0100-0000E4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30080</xdr:colOff>
      <xdr:row>28</xdr:row>
      <xdr:rowOff>152760</xdr:rowOff>
    </xdr:from>
    <xdr:to>
      <xdr:col>31</xdr:col>
      <xdr:colOff>431320</xdr:colOff>
      <xdr:row>53</xdr:row>
      <xdr:rowOff>95250</xdr:rowOff>
    </xdr:to>
    <xdr:graphicFrame macro="">
      <xdr:nvGraphicFramePr>
        <xdr:cNvPr id="17636" name="Chart 2">
          <a:extLst>
            <a:ext uri="{FF2B5EF4-FFF2-40B4-BE49-F238E27FC236}">
              <a16:creationId xmlns:a16="http://schemas.microsoft.com/office/drawing/2014/main" id="{00000000-0008-0000-0200-0000E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10027</xdr:colOff>
      <xdr:row>26</xdr:row>
      <xdr:rowOff>36595</xdr:rowOff>
    </xdr:from>
    <xdr:to>
      <xdr:col>31</xdr:col>
      <xdr:colOff>57149</xdr:colOff>
      <xdr:row>47</xdr:row>
      <xdr:rowOff>238124</xdr:rowOff>
    </xdr:to>
    <xdr:graphicFrame macro="">
      <xdr:nvGraphicFramePr>
        <xdr:cNvPr id="18660" name="Chart 2">
          <a:extLst>
            <a:ext uri="{FF2B5EF4-FFF2-40B4-BE49-F238E27FC236}">
              <a16:creationId xmlns:a16="http://schemas.microsoft.com/office/drawing/2014/main" id="{00000000-0008-0000-0300-0000E4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18046</xdr:colOff>
      <xdr:row>29</xdr:row>
      <xdr:rowOff>18549</xdr:rowOff>
    </xdr:from>
    <xdr:to>
      <xdr:col>31</xdr:col>
      <xdr:colOff>536863</xdr:colOff>
      <xdr:row>53</xdr:row>
      <xdr:rowOff>86591</xdr:rowOff>
    </xdr:to>
    <xdr:graphicFrame macro="">
      <xdr:nvGraphicFramePr>
        <xdr:cNvPr id="20708" name="Chart 2">
          <a:extLst>
            <a:ext uri="{FF2B5EF4-FFF2-40B4-BE49-F238E27FC236}">
              <a16:creationId xmlns:a16="http://schemas.microsoft.com/office/drawing/2014/main" id="{00000000-0008-0000-0400-0000E4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24</xdr:row>
      <xdr:rowOff>85726</xdr:rowOff>
    </xdr:from>
    <xdr:to>
      <xdr:col>32</xdr:col>
      <xdr:colOff>0</xdr:colOff>
      <xdr:row>46</xdr:row>
      <xdr:rowOff>161924</xdr:rowOff>
    </xdr:to>
    <xdr:graphicFrame macro="">
      <xdr:nvGraphicFramePr>
        <xdr:cNvPr id="21733" name="Chart 2">
          <a:extLst>
            <a:ext uri="{FF2B5EF4-FFF2-40B4-BE49-F238E27FC236}">
              <a16:creationId xmlns:a16="http://schemas.microsoft.com/office/drawing/2014/main" id="{00000000-0008-0000-0500-0000E5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95247</xdr:colOff>
      <xdr:row>28</xdr:row>
      <xdr:rowOff>114300</xdr:rowOff>
    </xdr:from>
    <xdr:to>
      <xdr:col>31</xdr:col>
      <xdr:colOff>606135</xdr:colOff>
      <xdr:row>54</xdr:row>
      <xdr:rowOff>8659</xdr:rowOff>
    </xdr:to>
    <xdr:graphicFrame macro="">
      <xdr:nvGraphicFramePr>
        <xdr:cNvPr id="22756" name="Chart 2">
          <a:extLst>
            <a:ext uri="{FF2B5EF4-FFF2-40B4-BE49-F238E27FC236}">
              <a16:creationId xmlns:a16="http://schemas.microsoft.com/office/drawing/2014/main" id="{00000000-0008-0000-0600-0000E4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95248</xdr:colOff>
      <xdr:row>25</xdr:row>
      <xdr:rowOff>19049</xdr:rowOff>
    </xdr:from>
    <xdr:to>
      <xdr:col>31</xdr:col>
      <xdr:colOff>600075</xdr:colOff>
      <xdr:row>47</xdr:row>
      <xdr:rowOff>247650</xdr:rowOff>
    </xdr:to>
    <xdr:graphicFrame macro="">
      <xdr:nvGraphicFramePr>
        <xdr:cNvPr id="23781" name="Chart 3">
          <a:extLst>
            <a:ext uri="{FF2B5EF4-FFF2-40B4-BE49-F238E27FC236}">
              <a16:creationId xmlns:a16="http://schemas.microsoft.com/office/drawing/2014/main" id="{00000000-0008-0000-0700-0000E5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26</xdr:row>
      <xdr:rowOff>150395</xdr:rowOff>
    </xdr:from>
    <xdr:to>
      <xdr:col>31</xdr:col>
      <xdr:colOff>609599</xdr:colOff>
      <xdr:row>47</xdr:row>
      <xdr:rowOff>47625</xdr:rowOff>
    </xdr:to>
    <xdr:graphicFrame macro="">
      <xdr:nvGraphicFramePr>
        <xdr:cNvPr id="27877" name="Chart 2">
          <a:extLst>
            <a:ext uri="{FF2B5EF4-FFF2-40B4-BE49-F238E27FC236}">
              <a16:creationId xmlns:a16="http://schemas.microsoft.com/office/drawing/2014/main" id="{00000000-0008-0000-0800-0000E5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tabColor indexed="45"/>
    <pageSetUpPr fitToPage="1"/>
  </sheetPr>
  <dimension ref="A1:AF58"/>
  <sheetViews>
    <sheetView view="pageBreakPreview" zoomScale="110" zoomScaleNormal="110" zoomScaleSheetLayoutView="110" workbookViewId="0">
      <selection activeCell="AF9" sqref="AF9"/>
    </sheetView>
  </sheetViews>
  <sheetFormatPr defaultRowHeight="12.75" x14ac:dyDescent="0.2"/>
  <cols>
    <col min="1" max="1" width="0.5703125" customWidth="1"/>
    <col min="2" max="2" width="19.42578125" customWidth="1"/>
    <col min="3" max="3" width="9.42578125" hidden="1" customWidth="1"/>
    <col min="4" max="4" width="9.28515625" hidden="1" customWidth="1"/>
    <col min="5" max="9" width="9.140625" hidden="1" customWidth="1"/>
    <col min="10" max="10" width="9.42578125" hidden="1" customWidth="1"/>
    <col min="11" max="11" width="9.140625" hidden="1" customWidth="1"/>
    <col min="12" max="12" width="9.28515625" hidden="1" customWidth="1"/>
    <col min="13" max="13" width="9.140625" hidden="1" customWidth="1"/>
    <col min="14" max="20" width="9.7109375" hidden="1" customWidth="1"/>
    <col min="21" max="27" width="0" hidden="1" customWidth="1"/>
    <col min="32" max="32" width="9.42578125" customWidth="1"/>
  </cols>
  <sheetData>
    <row r="1" spans="1:32" ht="13.5" customHeight="1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13.5" customHeight="1" x14ac:dyDescent="0.2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</row>
    <row r="3" spans="1:32" ht="38.25" customHeight="1" x14ac:dyDescent="0.3">
      <c r="A3" s="169" t="s">
        <v>39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40"/>
      <c r="X3" s="140"/>
      <c r="Y3" s="140"/>
      <c r="Z3" s="140"/>
      <c r="AA3" s="140"/>
      <c r="AB3" s="140"/>
      <c r="AC3" s="140"/>
      <c r="AD3" s="140"/>
      <c r="AE3" s="140"/>
    </row>
    <row r="4" spans="1:32" ht="10.5" customHeight="1" thickBot="1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32" ht="13.5" thickTop="1" x14ac:dyDescent="0.2">
      <c r="B5" s="31"/>
      <c r="C5" s="3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7"/>
      <c r="AD5" s="217"/>
      <c r="AE5" s="217"/>
      <c r="AF5" s="224"/>
    </row>
    <row r="6" spans="1:32" ht="13.5" thickBot="1" x14ac:dyDescent="0.25">
      <c r="B6" s="34" t="s">
        <v>31</v>
      </c>
      <c r="C6" s="35" t="s">
        <v>1</v>
      </c>
      <c r="D6" s="36" t="s">
        <v>2</v>
      </c>
      <c r="E6" s="37" t="s">
        <v>3</v>
      </c>
      <c r="F6" s="36" t="s">
        <v>4</v>
      </c>
      <c r="G6" s="37" t="s">
        <v>5</v>
      </c>
      <c r="H6" s="36" t="s">
        <v>6</v>
      </c>
      <c r="I6" s="37" t="s">
        <v>21</v>
      </c>
      <c r="J6" s="36">
        <v>1997</v>
      </c>
      <c r="K6" s="38">
        <v>1998</v>
      </c>
      <c r="L6" s="37">
        <v>1999</v>
      </c>
      <c r="M6" s="38">
        <v>2000</v>
      </c>
      <c r="N6" s="38">
        <v>2001</v>
      </c>
      <c r="O6" s="37">
        <v>2002</v>
      </c>
      <c r="P6" s="37">
        <v>2003</v>
      </c>
      <c r="Q6" s="37">
        <v>2004</v>
      </c>
      <c r="R6" s="36">
        <v>2005</v>
      </c>
      <c r="S6" s="37">
        <v>2006</v>
      </c>
      <c r="T6" s="36">
        <v>2007</v>
      </c>
      <c r="U6" s="37">
        <v>2008</v>
      </c>
      <c r="V6" s="37">
        <v>2009</v>
      </c>
      <c r="W6" s="37">
        <v>2010</v>
      </c>
      <c r="X6" s="37">
        <v>2011</v>
      </c>
      <c r="Y6" s="37">
        <v>2012</v>
      </c>
      <c r="Z6" s="37">
        <v>2013</v>
      </c>
      <c r="AA6" s="37">
        <v>2014</v>
      </c>
      <c r="AB6" s="189">
        <v>2021</v>
      </c>
      <c r="AC6" s="37">
        <v>2022</v>
      </c>
      <c r="AD6" s="37">
        <v>2023</v>
      </c>
      <c r="AE6" s="37">
        <v>2024</v>
      </c>
      <c r="AF6" s="201">
        <v>2025</v>
      </c>
    </row>
    <row r="7" spans="1:32" ht="13.5" thickTop="1" x14ac:dyDescent="0.2">
      <c r="B7" s="39"/>
      <c r="C7" s="40"/>
      <c r="E7" s="12"/>
      <c r="G7" s="12"/>
      <c r="I7" s="12"/>
      <c r="K7" s="11"/>
      <c r="L7" s="12"/>
      <c r="M7" s="41"/>
      <c r="N7" s="11"/>
      <c r="O7" s="12"/>
      <c r="P7" s="12"/>
      <c r="Q7" s="12"/>
      <c r="S7" s="12"/>
      <c r="U7" s="12"/>
      <c r="V7" s="12"/>
      <c r="W7" s="12"/>
      <c r="X7" s="12"/>
      <c r="Y7" s="12"/>
      <c r="Z7" s="12"/>
      <c r="AA7" s="12"/>
      <c r="AB7" s="13"/>
      <c r="AC7" s="12"/>
      <c r="AD7" s="12"/>
      <c r="AE7" s="12"/>
      <c r="AF7" s="209"/>
    </row>
    <row r="8" spans="1:32" x14ac:dyDescent="0.2">
      <c r="B8" s="42" t="s">
        <v>7</v>
      </c>
      <c r="C8" s="43">
        <f t="shared" ref="C8:P8" si="0">SUM(C9:C10)</f>
        <v>1440</v>
      </c>
      <c r="D8" s="1">
        <f t="shared" si="0"/>
        <v>1538</v>
      </c>
      <c r="E8" s="2">
        <f t="shared" si="0"/>
        <v>1634</v>
      </c>
      <c r="F8" s="1">
        <f t="shared" si="0"/>
        <v>1728</v>
      </c>
      <c r="G8" s="2">
        <f t="shared" si="0"/>
        <v>1771</v>
      </c>
      <c r="H8" s="1">
        <f t="shared" si="0"/>
        <v>1879</v>
      </c>
      <c r="I8" s="2">
        <f t="shared" si="0"/>
        <v>1898</v>
      </c>
      <c r="J8" s="1">
        <f t="shared" si="0"/>
        <v>1976</v>
      </c>
      <c r="K8" s="17">
        <f t="shared" si="0"/>
        <v>2074</v>
      </c>
      <c r="L8" s="2">
        <f t="shared" si="0"/>
        <v>2022</v>
      </c>
      <c r="M8" s="17">
        <f t="shared" si="0"/>
        <v>2004</v>
      </c>
      <c r="N8" s="17">
        <f t="shared" si="0"/>
        <v>1974</v>
      </c>
      <c r="O8" s="2">
        <f t="shared" si="0"/>
        <v>1840</v>
      </c>
      <c r="P8" s="2">
        <f t="shared" si="0"/>
        <v>1878</v>
      </c>
      <c r="Q8" s="2">
        <f t="shared" ref="Q8:W8" si="1">SUM(Q9:Q10)</f>
        <v>1863</v>
      </c>
      <c r="R8" s="1">
        <f t="shared" si="1"/>
        <v>1874</v>
      </c>
      <c r="S8" s="2">
        <f t="shared" si="1"/>
        <v>1936</v>
      </c>
      <c r="T8" s="1">
        <f t="shared" si="1"/>
        <v>1878</v>
      </c>
      <c r="U8" s="2">
        <f t="shared" si="1"/>
        <v>1968</v>
      </c>
      <c r="V8" s="2">
        <f t="shared" si="1"/>
        <v>2087</v>
      </c>
      <c r="W8" s="2">
        <f t="shared" si="1"/>
        <v>2255</v>
      </c>
      <c r="X8" s="2">
        <f t="shared" ref="X8:AA8" si="2">SUM(X9:X10)</f>
        <v>2375</v>
      </c>
      <c r="Y8" s="2">
        <f t="shared" si="2"/>
        <v>2525</v>
      </c>
      <c r="Z8" s="2">
        <f t="shared" si="2"/>
        <v>2680</v>
      </c>
      <c r="AA8" s="2">
        <f t="shared" si="2"/>
        <v>2780</v>
      </c>
      <c r="AB8" s="183">
        <v>2066</v>
      </c>
      <c r="AC8" s="2">
        <v>1911</v>
      </c>
      <c r="AD8" s="2">
        <v>1924</v>
      </c>
      <c r="AE8" s="2">
        <v>2055</v>
      </c>
      <c r="AF8" s="202">
        <f>SUM(AF11:AF12)</f>
        <v>2251</v>
      </c>
    </row>
    <row r="9" spans="1:32" x14ac:dyDescent="0.2">
      <c r="B9" s="44" t="s">
        <v>8</v>
      </c>
      <c r="C9" s="45">
        <v>1330</v>
      </c>
      <c r="D9" s="3">
        <v>1456</v>
      </c>
      <c r="E9" s="4">
        <v>1541</v>
      </c>
      <c r="F9" s="3">
        <v>1626</v>
      </c>
      <c r="G9" s="4">
        <v>1675</v>
      </c>
      <c r="H9" s="3">
        <v>1787</v>
      </c>
      <c r="I9" s="4">
        <v>1753</v>
      </c>
      <c r="J9" s="3">
        <v>1822</v>
      </c>
      <c r="K9" s="14">
        <v>1907</v>
      </c>
      <c r="L9" s="4">
        <v>1862</v>
      </c>
      <c r="M9" s="14">
        <v>1816</v>
      </c>
      <c r="N9" s="15">
        <v>1781</v>
      </c>
      <c r="O9" s="25">
        <v>1667</v>
      </c>
      <c r="P9" s="25">
        <v>1637</v>
      </c>
      <c r="Q9" s="9">
        <v>1670</v>
      </c>
      <c r="R9" s="8">
        <v>1672</v>
      </c>
      <c r="S9" s="9">
        <v>1710</v>
      </c>
      <c r="T9" s="8">
        <v>1692</v>
      </c>
      <c r="U9" s="9">
        <v>1742</v>
      </c>
      <c r="V9" s="9">
        <v>1851</v>
      </c>
      <c r="W9" s="9">
        <v>2009</v>
      </c>
      <c r="X9" s="4">
        <v>2106</v>
      </c>
      <c r="Y9" s="4">
        <v>2298</v>
      </c>
      <c r="Z9" s="4">
        <v>2402</v>
      </c>
      <c r="AA9" s="4">
        <v>2487</v>
      </c>
      <c r="AB9" s="190">
        <v>1866</v>
      </c>
      <c r="AC9" s="4">
        <v>1680</v>
      </c>
      <c r="AD9" s="4">
        <v>1686</v>
      </c>
      <c r="AE9" s="4">
        <v>1830</v>
      </c>
      <c r="AF9" s="204">
        <v>2009</v>
      </c>
    </row>
    <row r="10" spans="1:32" x14ac:dyDescent="0.2">
      <c r="B10" s="44" t="s">
        <v>9</v>
      </c>
      <c r="C10" s="45">
        <v>110</v>
      </c>
      <c r="D10" s="3">
        <v>82</v>
      </c>
      <c r="E10" s="4">
        <f>91+2</f>
        <v>93</v>
      </c>
      <c r="F10" s="3">
        <v>102</v>
      </c>
      <c r="G10" s="4">
        <v>96</v>
      </c>
      <c r="H10" s="3">
        <v>92</v>
      </c>
      <c r="I10" s="4">
        <v>145</v>
      </c>
      <c r="J10" s="3">
        <v>154</v>
      </c>
      <c r="K10" s="14">
        <v>167</v>
      </c>
      <c r="L10" s="4">
        <v>160</v>
      </c>
      <c r="M10" s="14">
        <v>188</v>
      </c>
      <c r="N10" s="15">
        <v>193</v>
      </c>
      <c r="O10" s="25">
        <v>173</v>
      </c>
      <c r="P10" s="25">
        <v>241</v>
      </c>
      <c r="Q10" s="23">
        <v>193</v>
      </c>
      <c r="R10" s="69">
        <v>202</v>
      </c>
      <c r="S10" s="23">
        <v>226</v>
      </c>
      <c r="T10" s="69">
        <v>186</v>
      </c>
      <c r="U10" s="23">
        <v>226</v>
      </c>
      <c r="V10" s="23">
        <v>236</v>
      </c>
      <c r="W10" s="23">
        <v>246</v>
      </c>
      <c r="X10" s="23">
        <v>269</v>
      </c>
      <c r="Y10" s="23">
        <v>227</v>
      </c>
      <c r="Z10" s="23">
        <v>278</v>
      </c>
      <c r="AA10" s="23">
        <v>293</v>
      </c>
      <c r="AB10" s="191">
        <v>200</v>
      </c>
      <c r="AC10" s="23">
        <v>231</v>
      </c>
      <c r="AD10" s="23">
        <v>238</v>
      </c>
      <c r="AE10" s="23">
        <v>225</v>
      </c>
      <c r="AF10" s="204">
        <v>242</v>
      </c>
    </row>
    <row r="11" spans="1:32" x14ac:dyDescent="0.2">
      <c r="B11" s="44" t="s">
        <v>10</v>
      </c>
      <c r="C11" s="45">
        <v>1265</v>
      </c>
      <c r="D11" s="3">
        <v>1369</v>
      </c>
      <c r="E11" s="4">
        <f>1453+2</f>
        <v>1455</v>
      </c>
      <c r="F11" s="3">
        <v>1579</v>
      </c>
      <c r="G11" s="4">
        <v>1612</v>
      </c>
      <c r="H11" s="3">
        <v>1708</v>
      </c>
      <c r="I11" s="4">
        <v>1728</v>
      </c>
      <c r="J11" s="3">
        <v>1777</v>
      </c>
      <c r="K11" s="14">
        <v>1890</v>
      </c>
      <c r="L11" s="4">
        <v>1860</v>
      </c>
      <c r="M11" s="14">
        <v>1857</v>
      </c>
      <c r="N11" s="15">
        <v>1775</v>
      </c>
      <c r="O11" s="25">
        <v>1662</v>
      </c>
      <c r="P11" s="25">
        <v>1635</v>
      </c>
      <c r="Q11" s="9">
        <v>1597</v>
      </c>
      <c r="R11" s="8">
        <v>1585</v>
      </c>
      <c r="S11" s="9">
        <v>1621</v>
      </c>
      <c r="T11" s="8">
        <v>1539</v>
      </c>
      <c r="U11" s="9">
        <v>1602</v>
      </c>
      <c r="V11" s="9">
        <v>1632</v>
      </c>
      <c r="W11" s="9">
        <v>1730</v>
      </c>
      <c r="X11" s="9">
        <v>1810</v>
      </c>
      <c r="Y11" s="9">
        <v>1914</v>
      </c>
      <c r="Z11" s="9">
        <v>2008</v>
      </c>
      <c r="AA11" s="9">
        <v>2029</v>
      </c>
      <c r="AB11" s="30">
        <v>1382</v>
      </c>
      <c r="AC11" s="9">
        <v>1215</v>
      </c>
      <c r="AD11" s="9">
        <v>1183</v>
      </c>
      <c r="AE11" s="9">
        <v>1218</v>
      </c>
      <c r="AF11" s="204">
        <v>1261</v>
      </c>
    </row>
    <row r="12" spans="1:32" x14ac:dyDescent="0.2">
      <c r="B12" s="44" t="s">
        <v>11</v>
      </c>
      <c r="C12" s="45">
        <v>175</v>
      </c>
      <c r="D12" s="3">
        <v>169</v>
      </c>
      <c r="E12" s="4">
        <v>179</v>
      </c>
      <c r="F12" s="3">
        <v>149</v>
      </c>
      <c r="G12" s="4">
        <v>159</v>
      </c>
      <c r="H12" s="3">
        <v>171</v>
      </c>
      <c r="I12" s="4">
        <v>170</v>
      </c>
      <c r="J12" s="3">
        <v>199</v>
      </c>
      <c r="K12" s="14">
        <v>184</v>
      </c>
      <c r="L12" s="4">
        <v>162</v>
      </c>
      <c r="M12" s="14">
        <v>147</v>
      </c>
      <c r="N12" s="15">
        <v>199</v>
      </c>
      <c r="O12" s="25">
        <v>178</v>
      </c>
      <c r="P12" s="25">
        <v>243</v>
      </c>
      <c r="Q12" s="23">
        <v>266</v>
      </c>
      <c r="R12" s="69">
        <v>289</v>
      </c>
      <c r="S12" s="23">
        <v>315</v>
      </c>
      <c r="T12" s="69">
        <v>339</v>
      </c>
      <c r="U12" s="23">
        <v>366</v>
      </c>
      <c r="V12" s="23">
        <v>455</v>
      </c>
      <c r="W12" s="23">
        <v>525</v>
      </c>
      <c r="X12" s="23">
        <v>565</v>
      </c>
      <c r="Y12" s="23">
        <f>565+46</f>
        <v>611</v>
      </c>
      <c r="Z12" s="23">
        <v>672</v>
      </c>
      <c r="AA12" s="23">
        <v>751</v>
      </c>
      <c r="AB12" s="191">
        <v>684</v>
      </c>
      <c r="AC12" s="23">
        <v>696</v>
      </c>
      <c r="AD12" s="23">
        <v>741</v>
      </c>
      <c r="AE12" s="23">
        <v>837</v>
      </c>
      <c r="AF12" s="204">
        <v>990</v>
      </c>
    </row>
    <row r="13" spans="1:32" x14ac:dyDescent="0.2">
      <c r="B13" s="44" t="s">
        <v>12</v>
      </c>
      <c r="C13" s="45">
        <v>1025</v>
      </c>
      <c r="D13" s="3">
        <v>1069</v>
      </c>
      <c r="E13" s="4">
        <v>1147</v>
      </c>
      <c r="F13" s="3">
        <v>1199</v>
      </c>
      <c r="G13" s="4">
        <v>1197</v>
      </c>
      <c r="H13" s="3">
        <v>1284</v>
      </c>
      <c r="I13" s="4">
        <v>1273</v>
      </c>
      <c r="J13" s="3">
        <v>1267</v>
      </c>
      <c r="K13" s="14">
        <v>1330</v>
      </c>
      <c r="L13" s="4">
        <v>1324</v>
      </c>
      <c r="M13" s="14">
        <v>1290</v>
      </c>
      <c r="N13" s="15">
        <v>1255</v>
      </c>
      <c r="O13" s="25">
        <v>1141</v>
      </c>
      <c r="P13" s="25">
        <v>1150</v>
      </c>
      <c r="Q13" s="9">
        <v>1114</v>
      </c>
      <c r="R13" s="8">
        <v>1084</v>
      </c>
      <c r="S13" s="9">
        <v>1103</v>
      </c>
      <c r="T13" s="8">
        <v>1045</v>
      </c>
      <c r="U13" s="9">
        <v>1054</v>
      </c>
      <c r="V13" s="9">
        <v>1085</v>
      </c>
      <c r="W13" s="9">
        <v>1184</v>
      </c>
      <c r="X13" s="9">
        <v>1250</v>
      </c>
      <c r="Y13" s="9">
        <v>1310</v>
      </c>
      <c r="Z13" s="9">
        <v>1388</v>
      </c>
      <c r="AA13" s="9">
        <v>1417</v>
      </c>
      <c r="AB13" s="30">
        <v>836</v>
      </c>
      <c r="AC13" s="9">
        <v>727</v>
      </c>
      <c r="AD13" s="9">
        <v>693</v>
      </c>
      <c r="AE13" s="9">
        <v>741</v>
      </c>
      <c r="AF13" s="204">
        <v>766</v>
      </c>
    </row>
    <row r="14" spans="1:32" x14ac:dyDescent="0.2">
      <c r="B14" s="44" t="s">
        <v>13</v>
      </c>
      <c r="C14" s="45">
        <v>415</v>
      </c>
      <c r="D14" s="3">
        <v>469</v>
      </c>
      <c r="E14" s="4">
        <f>485+2</f>
        <v>487</v>
      </c>
      <c r="F14" s="3">
        <v>529</v>
      </c>
      <c r="G14" s="4">
        <v>574</v>
      </c>
      <c r="H14" s="3">
        <v>595</v>
      </c>
      <c r="I14" s="4">
        <v>625</v>
      </c>
      <c r="J14" s="3">
        <v>709</v>
      </c>
      <c r="K14" s="14">
        <v>744</v>
      </c>
      <c r="L14" s="4">
        <v>698</v>
      </c>
      <c r="M14" s="14">
        <v>714</v>
      </c>
      <c r="N14" s="15">
        <v>719</v>
      </c>
      <c r="O14" s="25">
        <v>699</v>
      </c>
      <c r="P14" s="25">
        <v>728</v>
      </c>
      <c r="Q14" s="23">
        <v>749</v>
      </c>
      <c r="R14" s="69">
        <v>790</v>
      </c>
      <c r="S14" s="23">
        <v>833</v>
      </c>
      <c r="T14" s="69">
        <v>833</v>
      </c>
      <c r="U14" s="23">
        <v>914</v>
      </c>
      <c r="V14" s="9">
        <v>1002</v>
      </c>
      <c r="W14" s="9">
        <v>1071</v>
      </c>
      <c r="X14" s="9">
        <v>1125</v>
      </c>
      <c r="Y14" s="9">
        <v>1215</v>
      </c>
      <c r="Z14" s="9">
        <v>1292</v>
      </c>
      <c r="AA14" s="9">
        <v>1363</v>
      </c>
      <c r="AB14" s="30">
        <v>1230</v>
      </c>
      <c r="AC14" s="9">
        <v>1184</v>
      </c>
      <c r="AD14" s="9">
        <v>1231</v>
      </c>
      <c r="AE14" s="9">
        <v>1314</v>
      </c>
      <c r="AF14" s="204">
        <v>1485</v>
      </c>
    </row>
    <row r="15" spans="1:32" x14ac:dyDescent="0.2">
      <c r="B15" s="44" t="s">
        <v>14</v>
      </c>
      <c r="C15" s="45">
        <v>41</v>
      </c>
      <c r="D15" s="3">
        <v>32</v>
      </c>
      <c r="E15" s="4">
        <v>30</v>
      </c>
      <c r="F15" s="3">
        <v>28</v>
      </c>
      <c r="G15" s="4">
        <v>18</v>
      </c>
      <c r="H15" s="3">
        <v>25</v>
      </c>
      <c r="I15" s="4">
        <v>17</v>
      </c>
      <c r="J15" s="3">
        <v>18</v>
      </c>
      <c r="K15" s="14">
        <v>10</v>
      </c>
      <c r="L15" s="4">
        <v>11</v>
      </c>
      <c r="M15" s="14">
        <v>14</v>
      </c>
      <c r="N15" s="15">
        <v>14</v>
      </c>
      <c r="O15" s="25">
        <v>20</v>
      </c>
      <c r="P15" s="25">
        <v>16</v>
      </c>
      <c r="Q15" s="23">
        <v>21</v>
      </c>
      <c r="R15" s="69">
        <v>25</v>
      </c>
      <c r="S15" s="23">
        <v>18</v>
      </c>
      <c r="T15" s="69">
        <v>21</v>
      </c>
      <c r="U15" s="23">
        <v>19</v>
      </c>
      <c r="V15" s="23">
        <v>35</v>
      </c>
      <c r="W15" s="23">
        <v>41</v>
      </c>
      <c r="X15" s="23">
        <v>46</v>
      </c>
      <c r="Y15" s="23">
        <v>74</v>
      </c>
      <c r="Z15" s="23">
        <v>82</v>
      </c>
      <c r="AA15" s="23">
        <v>116</v>
      </c>
      <c r="AB15" s="191">
        <v>34</v>
      </c>
      <c r="AC15" s="23">
        <v>20</v>
      </c>
      <c r="AD15" s="23">
        <v>19</v>
      </c>
      <c r="AE15" s="23">
        <v>28</v>
      </c>
      <c r="AF15" s="204">
        <v>22</v>
      </c>
    </row>
    <row r="16" spans="1:32" x14ac:dyDescent="0.2">
      <c r="B16" s="44" t="s">
        <v>16</v>
      </c>
      <c r="C16" s="45">
        <v>2</v>
      </c>
      <c r="D16" s="3">
        <v>4</v>
      </c>
      <c r="E16" s="4">
        <v>5</v>
      </c>
      <c r="F16" s="3">
        <v>9</v>
      </c>
      <c r="G16" s="4">
        <v>8</v>
      </c>
      <c r="H16" s="3">
        <v>14</v>
      </c>
      <c r="I16" s="4">
        <v>10</v>
      </c>
      <c r="J16" s="3">
        <v>9</v>
      </c>
      <c r="K16" s="14">
        <v>13</v>
      </c>
      <c r="L16" s="4">
        <v>12</v>
      </c>
      <c r="M16" s="14">
        <v>7</v>
      </c>
      <c r="N16" s="15">
        <v>9</v>
      </c>
      <c r="O16" s="25">
        <v>5</v>
      </c>
      <c r="P16" s="25">
        <v>7</v>
      </c>
      <c r="Q16" s="9">
        <v>7</v>
      </c>
      <c r="R16" s="8">
        <v>11</v>
      </c>
      <c r="S16" s="9">
        <v>16</v>
      </c>
      <c r="T16" s="8">
        <v>13</v>
      </c>
      <c r="U16" s="9">
        <v>17</v>
      </c>
      <c r="V16" s="9">
        <v>14</v>
      </c>
      <c r="W16" s="9">
        <v>14</v>
      </c>
      <c r="X16" s="9">
        <v>13</v>
      </c>
      <c r="Y16" s="9">
        <v>15</v>
      </c>
      <c r="Z16" s="9">
        <v>20</v>
      </c>
      <c r="AA16" s="9">
        <v>16</v>
      </c>
      <c r="AB16" s="30">
        <v>10</v>
      </c>
      <c r="AC16" s="9">
        <v>10</v>
      </c>
      <c r="AD16" s="9">
        <v>11</v>
      </c>
      <c r="AE16" s="9">
        <v>10</v>
      </c>
      <c r="AF16" s="204">
        <v>12</v>
      </c>
    </row>
    <row r="17" spans="1:32" x14ac:dyDescent="0.2">
      <c r="B17" s="44" t="s">
        <v>17</v>
      </c>
      <c r="C17" s="45">
        <v>5</v>
      </c>
      <c r="D17" s="3">
        <v>5</v>
      </c>
      <c r="E17" s="4">
        <v>5</v>
      </c>
      <c r="F17" s="3">
        <v>6</v>
      </c>
      <c r="G17" s="4">
        <v>3</v>
      </c>
      <c r="H17" s="3">
        <v>6</v>
      </c>
      <c r="I17" s="4">
        <v>9</v>
      </c>
      <c r="J17" s="3">
        <v>7</v>
      </c>
      <c r="K17" s="14">
        <v>4</v>
      </c>
      <c r="L17" s="4">
        <v>5</v>
      </c>
      <c r="M17" s="14">
        <v>7</v>
      </c>
      <c r="N17" s="15">
        <v>5</v>
      </c>
      <c r="O17" s="25">
        <v>2</v>
      </c>
      <c r="P17" s="25">
        <v>2</v>
      </c>
      <c r="Q17" s="16">
        <v>3</v>
      </c>
      <c r="R17" s="170">
        <v>6</v>
      </c>
      <c r="S17" s="16">
        <v>5</v>
      </c>
      <c r="T17" s="170">
        <v>13</v>
      </c>
      <c r="U17" s="9">
        <f>10</f>
        <v>10</v>
      </c>
      <c r="V17" s="9">
        <v>13</v>
      </c>
      <c r="W17" s="9">
        <v>12</v>
      </c>
      <c r="X17" s="9">
        <v>15</v>
      </c>
      <c r="Y17" s="9">
        <v>12</v>
      </c>
      <c r="Z17" s="9">
        <v>12</v>
      </c>
      <c r="AA17" s="9">
        <v>18</v>
      </c>
      <c r="AB17" s="30">
        <v>23</v>
      </c>
      <c r="AC17" s="9">
        <v>19</v>
      </c>
      <c r="AD17" s="9">
        <v>29</v>
      </c>
      <c r="AE17" s="9">
        <v>19</v>
      </c>
      <c r="AF17" s="204">
        <v>23</v>
      </c>
    </row>
    <row r="18" spans="1:32" x14ac:dyDescent="0.2">
      <c r="B18" s="44" t="s">
        <v>15</v>
      </c>
      <c r="C18" s="45">
        <v>5</v>
      </c>
      <c r="D18" s="3">
        <v>5</v>
      </c>
      <c r="E18" s="4">
        <v>14</v>
      </c>
      <c r="F18" s="3">
        <v>8</v>
      </c>
      <c r="G18" s="4">
        <v>9</v>
      </c>
      <c r="H18" s="3">
        <v>3</v>
      </c>
      <c r="I18" s="4">
        <v>7</v>
      </c>
      <c r="J18" s="3">
        <v>12</v>
      </c>
      <c r="K18" s="14">
        <v>12</v>
      </c>
      <c r="L18" s="4">
        <v>9</v>
      </c>
      <c r="M18" s="14">
        <v>10</v>
      </c>
      <c r="N18" s="15">
        <v>15</v>
      </c>
      <c r="O18" s="25">
        <v>12</v>
      </c>
      <c r="P18" s="25">
        <v>16</v>
      </c>
      <c r="Q18" s="9">
        <v>14</v>
      </c>
      <c r="R18" s="8">
        <v>19</v>
      </c>
      <c r="S18" s="9">
        <v>22</v>
      </c>
      <c r="T18" s="8">
        <v>36</v>
      </c>
      <c r="U18" s="9">
        <f>30</f>
        <v>30</v>
      </c>
      <c r="V18" s="9">
        <v>32</v>
      </c>
      <c r="W18" s="9">
        <v>39</v>
      </c>
      <c r="X18" s="9">
        <v>48</v>
      </c>
      <c r="Y18" s="9">
        <v>45</v>
      </c>
      <c r="Z18" s="9">
        <v>45</v>
      </c>
      <c r="AA18" s="9">
        <v>56</v>
      </c>
      <c r="AB18" s="30">
        <v>42</v>
      </c>
      <c r="AC18" s="9">
        <v>41</v>
      </c>
      <c r="AD18" s="9">
        <v>27</v>
      </c>
      <c r="AE18" s="9">
        <v>39</v>
      </c>
      <c r="AF18" s="204">
        <v>70</v>
      </c>
    </row>
    <row r="19" spans="1:32" x14ac:dyDescent="0.2">
      <c r="B19" s="44" t="s">
        <v>49</v>
      </c>
      <c r="C19" s="45"/>
      <c r="D19" s="3"/>
      <c r="E19" s="4"/>
      <c r="F19" s="3"/>
      <c r="G19" s="4"/>
      <c r="H19" s="3"/>
      <c r="I19" s="4"/>
      <c r="J19" s="3"/>
      <c r="K19" s="14"/>
      <c r="L19" s="4"/>
      <c r="M19" s="14"/>
      <c r="N19" s="15"/>
      <c r="O19" s="25"/>
      <c r="P19" s="25"/>
      <c r="Q19" s="16"/>
      <c r="R19" s="8"/>
      <c r="S19" s="16"/>
      <c r="T19" s="179"/>
      <c r="U19" s="9">
        <v>0</v>
      </c>
      <c r="V19" s="9">
        <v>0</v>
      </c>
      <c r="W19" s="9">
        <v>2</v>
      </c>
      <c r="X19" s="9">
        <v>3</v>
      </c>
      <c r="Y19" s="9">
        <v>1</v>
      </c>
      <c r="Z19" s="9">
        <v>1</v>
      </c>
      <c r="AA19" s="9">
        <v>2</v>
      </c>
      <c r="AB19" s="30">
        <v>0</v>
      </c>
      <c r="AC19" s="9">
        <v>0</v>
      </c>
      <c r="AD19" s="9">
        <v>1</v>
      </c>
      <c r="AE19" s="9">
        <v>0</v>
      </c>
      <c r="AF19" s="204">
        <v>1</v>
      </c>
    </row>
    <row r="20" spans="1:32" x14ac:dyDescent="0.2">
      <c r="A20" s="26"/>
      <c r="B20" s="44" t="s">
        <v>18</v>
      </c>
      <c r="C20" s="45">
        <f>14+2</f>
        <v>16</v>
      </c>
      <c r="D20" s="3">
        <f>21+4</f>
        <v>25</v>
      </c>
      <c r="E20" s="4">
        <f>24+2</f>
        <v>26</v>
      </c>
      <c r="F20" s="3">
        <f>15+3</f>
        <v>18</v>
      </c>
      <c r="G20" s="4">
        <f>9+2</f>
        <v>11</v>
      </c>
      <c r="H20" s="3">
        <f>16+5</f>
        <v>21</v>
      </c>
      <c r="I20" s="4">
        <f>22+6</f>
        <v>28</v>
      </c>
      <c r="J20" s="3">
        <v>34</v>
      </c>
      <c r="K20" s="14">
        <f>20+11</f>
        <v>31</v>
      </c>
      <c r="L20" s="4">
        <f>15+9</f>
        <v>24</v>
      </c>
      <c r="M20" s="14">
        <f>11+13</f>
        <v>24</v>
      </c>
      <c r="N20" s="15">
        <v>26</v>
      </c>
      <c r="O20" s="25">
        <v>25</v>
      </c>
      <c r="P20" s="25">
        <v>11</v>
      </c>
      <c r="Q20" s="9">
        <f>17+12</f>
        <v>29</v>
      </c>
      <c r="R20" s="8">
        <v>30</v>
      </c>
      <c r="S20" s="9">
        <v>15</v>
      </c>
      <c r="T20" s="8">
        <v>15</v>
      </c>
      <c r="U20" s="9">
        <f>16+22</f>
        <v>38</v>
      </c>
      <c r="V20" s="9">
        <v>46</v>
      </c>
      <c r="W20" s="9">
        <v>68</v>
      </c>
      <c r="X20" s="9">
        <v>89</v>
      </c>
      <c r="Y20" s="9">
        <v>101</v>
      </c>
      <c r="Z20" s="9">
        <v>129</v>
      </c>
      <c r="AA20" s="9">
        <v>143</v>
      </c>
      <c r="AB20" s="30">
        <v>97</v>
      </c>
      <c r="AC20" s="9">
        <v>111</v>
      </c>
      <c r="AD20" s="9">
        <v>136</v>
      </c>
      <c r="AE20" s="9">
        <v>153</v>
      </c>
      <c r="AF20" s="204">
        <v>173</v>
      </c>
    </row>
    <row r="21" spans="1:32" x14ac:dyDescent="0.2">
      <c r="A21" s="26"/>
      <c r="B21" s="44" t="s">
        <v>50</v>
      </c>
      <c r="C21" s="45"/>
      <c r="D21" s="3"/>
      <c r="E21" s="4"/>
      <c r="F21" s="3"/>
      <c r="G21" s="4"/>
      <c r="H21" s="3"/>
      <c r="I21" s="4"/>
      <c r="J21" s="3">
        <v>8</v>
      </c>
      <c r="K21" s="14" t="e">
        <f>SUM(#REF!)</f>
        <v>#REF!</v>
      </c>
      <c r="L21" s="4" t="e">
        <f>SUM(#REF!)</f>
        <v>#REF!</v>
      </c>
      <c r="M21" s="11" t="e">
        <f>SUM(#REF!)</f>
        <v>#REF!</v>
      </c>
      <c r="N21" s="15" t="e">
        <f>SUM(#REF!)</f>
        <v>#REF!</v>
      </c>
      <c r="O21" s="25">
        <v>38</v>
      </c>
      <c r="P21" s="25">
        <v>60</v>
      </c>
      <c r="Q21" s="9">
        <f>11+34+12</f>
        <v>57</v>
      </c>
      <c r="R21" s="8">
        <v>69</v>
      </c>
      <c r="S21" s="9">
        <v>82</v>
      </c>
      <c r="T21" s="179"/>
      <c r="U21" s="9">
        <v>8</v>
      </c>
      <c r="V21" s="9">
        <v>16</v>
      </c>
      <c r="W21" s="9">
        <v>34</v>
      </c>
      <c r="X21" s="9">
        <v>37</v>
      </c>
      <c r="Y21" s="9">
        <v>46</v>
      </c>
      <c r="Z21" s="9">
        <v>46</v>
      </c>
      <c r="AA21" s="9">
        <v>56</v>
      </c>
      <c r="AB21" s="30">
        <v>66</v>
      </c>
      <c r="AC21" s="9">
        <v>52</v>
      </c>
      <c r="AD21" s="9">
        <v>43</v>
      </c>
      <c r="AE21" s="9">
        <v>52</v>
      </c>
      <c r="AF21" s="204">
        <v>81</v>
      </c>
    </row>
    <row r="22" spans="1:32" x14ac:dyDescent="0.2">
      <c r="A22" s="26"/>
      <c r="B22" s="44" t="s">
        <v>32</v>
      </c>
      <c r="C22" s="45"/>
      <c r="D22" s="3"/>
      <c r="E22" s="4"/>
      <c r="F22" s="3"/>
      <c r="G22" s="4"/>
      <c r="H22" s="3"/>
      <c r="I22" s="4"/>
      <c r="J22" s="3"/>
      <c r="K22" s="14"/>
      <c r="L22" s="4"/>
      <c r="M22" s="11"/>
      <c r="N22" s="15"/>
      <c r="O22" s="25"/>
      <c r="P22" s="25"/>
      <c r="Q22" s="9"/>
      <c r="R22" s="8"/>
      <c r="S22" s="9"/>
      <c r="T22" s="8">
        <f>18+8+38+14</f>
        <v>78</v>
      </c>
      <c r="U22" s="9">
        <v>45</v>
      </c>
      <c r="V22" s="9">
        <v>40</v>
      </c>
      <c r="W22" s="9">
        <v>11</v>
      </c>
      <c r="X22" s="9">
        <v>35</v>
      </c>
      <c r="Y22" s="9">
        <v>45</v>
      </c>
      <c r="Z22" s="9">
        <v>36</v>
      </c>
      <c r="AA22" s="9">
        <v>45</v>
      </c>
      <c r="AB22" s="30">
        <v>19</v>
      </c>
      <c r="AC22" s="9">
        <v>16</v>
      </c>
      <c r="AD22" s="9">
        <v>17</v>
      </c>
      <c r="AE22" s="9">
        <v>14</v>
      </c>
      <c r="AF22" s="204">
        <v>15</v>
      </c>
    </row>
    <row r="23" spans="1:32" ht="13.5" thickBot="1" x14ac:dyDescent="0.25">
      <c r="A23" s="26"/>
      <c r="B23" s="46" t="s">
        <v>19</v>
      </c>
      <c r="C23" s="47">
        <v>1371</v>
      </c>
      <c r="D23" s="6">
        <v>1467</v>
      </c>
      <c r="E23" s="7">
        <f>1552+2</f>
        <v>1554</v>
      </c>
      <c r="F23" s="6">
        <v>1659</v>
      </c>
      <c r="G23" s="7">
        <v>1722</v>
      </c>
      <c r="H23" s="6">
        <v>1810</v>
      </c>
      <c r="I23" s="7">
        <v>1827</v>
      </c>
      <c r="J23" s="6">
        <v>1888</v>
      </c>
      <c r="K23" s="7">
        <v>1995</v>
      </c>
      <c r="L23" s="7">
        <v>1941</v>
      </c>
      <c r="M23" s="48">
        <v>1911</v>
      </c>
      <c r="N23" s="49">
        <v>1876</v>
      </c>
      <c r="O23" s="73">
        <v>1738</v>
      </c>
      <c r="P23" s="73">
        <v>1766</v>
      </c>
      <c r="Q23" s="10">
        <v>1732</v>
      </c>
      <c r="R23" s="118">
        <v>1714</v>
      </c>
      <c r="S23" s="10">
        <v>1778</v>
      </c>
      <c r="T23" s="116">
        <v>1712</v>
      </c>
      <c r="U23" s="10">
        <v>1801</v>
      </c>
      <c r="V23" s="10">
        <v>1891</v>
      </c>
      <c r="W23" s="10">
        <v>2034</v>
      </c>
      <c r="X23" s="10">
        <v>2089</v>
      </c>
      <c r="Y23" s="10">
        <v>2186</v>
      </c>
      <c r="Z23" s="10">
        <v>2309</v>
      </c>
      <c r="AA23" s="10">
        <v>2328</v>
      </c>
      <c r="AB23" s="192">
        <v>1775</v>
      </c>
      <c r="AC23" s="10">
        <v>1642</v>
      </c>
      <c r="AD23" s="10">
        <v>1641</v>
      </c>
      <c r="AE23" s="10">
        <v>1740</v>
      </c>
      <c r="AF23" s="210">
        <v>1854</v>
      </c>
    </row>
    <row r="24" spans="1:32" ht="13.5" thickTop="1" x14ac:dyDescent="0.2">
      <c r="B24" s="21"/>
      <c r="C24" s="21"/>
      <c r="D24" s="21"/>
      <c r="E24" s="21"/>
      <c r="F24" s="21"/>
      <c r="G24" s="21"/>
      <c r="H24" s="21"/>
      <c r="I24" s="21"/>
    </row>
    <row r="25" spans="1:32" hidden="1" x14ac:dyDescent="0.2">
      <c r="B25" s="28" t="s">
        <v>36</v>
      </c>
    </row>
    <row r="26" spans="1:32" x14ac:dyDescent="0.2">
      <c r="B26" s="28"/>
    </row>
    <row r="46" spans="2:15" ht="13.5" thickBo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56" ht="28.5" customHeight="1" x14ac:dyDescent="0.2"/>
    <row r="57" ht="22.5" customHeight="1" x14ac:dyDescent="0.2"/>
    <row r="58" ht="45" customHeight="1" x14ac:dyDescent="0.2"/>
  </sheetData>
  <mergeCells count="1">
    <mergeCell ref="A2:T2"/>
  </mergeCells>
  <phoneticPr fontId="0" type="noConversion"/>
  <printOptions horizontalCentered="1"/>
  <pageMargins left="0.77" right="0.75" top="0.75" bottom="0.75" header="0.5" footer="0.5"/>
  <pageSetup scale="96" orientation="portrait" r:id="rId1"/>
  <headerFooter alignWithMargins="0"/>
  <ignoredErrors>
    <ignoredError sqref="Q8:U8" formula="1" formulaRange="1"/>
    <ignoredError sqref="V8:AA8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4">
    <tabColor indexed="45"/>
    <pageSetUpPr fitToPage="1"/>
  </sheetPr>
  <dimension ref="A1:AC47"/>
  <sheetViews>
    <sheetView view="pageBreakPreview" topLeftCell="A2" zoomScaleNormal="100" zoomScaleSheetLayoutView="100" workbookViewId="0">
      <selection activeCell="AI26" sqref="AI26"/>
    </sheetView>
  </sheetViews>
  <sheetFormatPr defaultRowHeight="12.75" x14ac:dyDescent="0.2"/>
  <cols>
    <col min="1" max="1" width="28.5703125" bestFit="1" customWidth="1"/>
    <col min="3" max="11" width="9.140625" hidden="1" customWidth="1"/>
    <col min="12" max="23" width="0" hidden="1" customWidth="1"/>
  </cols>
  <sheetData>
    <row r="1" spans="1:29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</row>
    <row r="2" spans="1:29" ht="35.25" customHeight="1" thickBot="1" x14ac:dyDescent="0.2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T2" s="27"/>
      <c r="U2" s="27"/>
      <c r="V2" s="27"/>
      <c r="W2" s="27"/>
      <c r="X2" s="27"/>
      <c r="Y2" s="27"/>
      <c r="Z2" s="27"/>
      <c r="AA2" s="27"/>
      <c r="AB2" s="27"/>
    </row>
    <row r="3" spans="1:29" ht="18.75" thickTop="1" x14ac:dyDescent="0.25">
      <c r="A3" s="177" t="s">
        <v>51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68"/>
      <c r="U3" s="168"/>
      <c r="V3" s="168"/>
      <c r="W3" s="168"/>
      <c r="X3" s="168"/>
      <c r="Y3" s="168"/>
      <c r="Z3" s="168"/>
      <c r="AA3" s="168"/>
      <c r="AB3" s="219"/>
      <c r="AC3" s="33"/>
    </row>
    <row r="4" spans="1:29" ht="18" x14ac:dyDescent="0.25">
      <c r="A4" s="182" t="s">
        <v>52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6"/>
      <c r="U4" s="176"/>
      <c r="V4" s="176"/>
      <c r="W4" s="176"/>
      <c r="X4" s="176"/>
      <c r="Y4" s="176"/>
      <c r="Z4" s="176"/>
      <c r="AA4" s="176"/>
      <c r="AB4" s="178"/>
      <c r="AC4" s="220"/>
    </row>
    <row r="5" spans="1:29" ht="16.5" thickBot="1" x14ac:dyDescent="0.3">
      <c r="A5" s="109" t="s">
        <v>45</v>
      </c>
      <c r="B5" s="88"/>
      <c r="C5" s="78">
        <v>1993</v>
      </c>
      <c r="D5" s="64">
        <v>1994</v>
      </c>
      <c r="E5" s="64">
        <v>1995</v>
      </c>
      <c r="F5" s="64">
        <v>1996</v>
      </c>
      <c r="G5" s="64">
        <v>1997</v>
      </c>
      <c r="H5" s="64">
        <v>1998</v>
      </c>
      <c r="I5" s="64">
        <v>1999</v>
      </c>
      <c r="J5" s="94">
        <v>2000</v>
      </c>
      <c r="K5" s="95">
        <v>2001</v>
      </c>
      <c r="L5" s="95">
        <v>2002</v>
      </c>
      <c r="M5" s="95">
        <v>2003</v>
      </c>
      <c r="N5" s="95">
        <v>2004</v>
      </c>
      <c r="O5" s="122">
        <v>2005</v>
      </c>
      <c r="P5" s="122">
        <v>2006</v>
      </c>
      <c r="Q5" s="122">
        <v>2007</v>
      </c>
      <c r="R5" s="95">
        <v>2008</v>
      </c>
      <c r="S5" s="95">
        <v>2009</v>
      </c>
      <c r="T5" s="95">
        <v>2010</v>
      </c>
      <c r="U5" s="95">
        <v>2011</v>
      </c>
      <c r="V5" s="95">
        <v>2012</v>
      </c>
      <c r="W5" s="95">
        <v>2013</v>
      </c>
      <c r="X5" s="95">
        <v>2020</v>
      </c>
      <c r="Y5" s="95">
        <v>2021</v>
      </c>
      <c r="Z5" s="95">
        <v>2022</v>
      </c>
      <c r="AA5" s="95">
        <v>2023</v>
      </c>
      <c r="AB5" s="95">
        <v>2024</v>
      </c>
      <c r="AC5" s="158">
        <v>2025</v>
      </c>
    </row>
    <row r="6" spans="1:29" ht="18" customHeight="1" x14ac:dyDescent="0.25">
      <c r="A6" s="110" t="s">
        <v>22</v>
      </c>
      <c r="B6" s="89" t="s">
        <v>37</v>
      </c>
      <c r="C6" s="79">
        <v>0</v>
      </c>
      <c r="D6" s="63">
        <v>0</v>
      </c>
      <c r="E6" s="63">
        <v>1</v>
      </c>
      <c r="F6" s="63">
        <v>5</v>
      </c>
      <c r="G6" s="63">
        <v>2</v>
      </c>
      <c r="H6" s="63">
        <v>0</v>
      </c>
      <c r="I6" s="63">
        <v>4</v>
      </c>
      <c r="J6" s="96">
        <v>6</v>
      </c>
      <c r="K6" s="84">
        <v>3</v>
      </c>
      <c r="L6" s="84">
        <v>2</v>
      </c>
      <c r="M6" s="125">
        <v>1</v>
      </c>
      <c r="N6" s="126">
        <v>0</v>
      </c>
      <c r="O6" s="127">
        <v>3</v>
      </c>
      <c r="P6" s="127">
        <v>1</v>
      </c>
      <c r="Q6" s="136">
        <v>1</v>
      </c>
      <c r="R6" s="86">
        <f>3+1</f>
        <v>4</v>
      </c>
      <c r="S6" s="86">
        <v>0</v>
      </c>
      <c r="T6" s="86">
        <v>1</v>
      </c>
      <c r="U6" s="86">
        <v>4</v>
      </c>
      <c r="V6" s="86">
        <v>5</v>
      </c>
      <c r="W6" s="86">
        <v>4</v>
      </c>
      <c r="X6" s="86">
        <v>2</v>
      </c>
      <c r="Y6" s="86">
        <v>0</v>
      </c>
      <c r="Z6" s="86">
        <v>0</v>
      </c>
      <c r="AA6" s="86">
        <v>0</v>
      </c>
      <c r="AB6" s="86">
        <v>0</v>
      </c>
      <c r="AC6" s="159">
        <v>0</v>
      </c>
    </row>
    <row r="7" spans="1:29" ht="15" x14ac:dyDescent="0.2">
      <c r="A7" s="111"/>
      <c r="B7" s="89" t="s">
        <v>38</v>
      </c>
      <c r="C7" s="79">
        <v>0</v>
      </c>
      <c r="D7" s="63">
        <v>1</v>
      </c>
      <c r="E7" s="63">
        <v>1</v>
      </c>
      <c r="F7" s="63">
        <v>4</v>
      </c>
      <c r="G7" s="63">
        <v>4</v>
      </c>
      <c r="H7" s="63">
        <v>1</v>
      </c>
      <c r="I7" s="63">
        <v>6</v>
      </c>
      <c r="J7" s="96">
        <v>8</v>
      </c>
      <c r="K7" s="84">
        <v>4</v>
      </c>
      <c r="L7" s="84">
        <v>2</v>
      </c>
      <c r="M7" s="125">
        <v>3</v>
      </c>
      <c r="N7" s="126">
        <v>3</v>
      </c>
      <c r="O7" s="127">
        <v>1</v>
      </c>
      <c r="P7" s="127">
        <v>2</v>
      </c>
      <c r="Q7" s="136">
        <v>2</v>
      </c>
      <c r="R7" s="86">
        <f>2+1</f>
        <v>3</v>
      </c>
      <c r="S7" s="86">
        <v>3</v>
      </c>
      <c r="T7" s="86">
        <v>6</v>
      </c>
      <c r="U7" s="86">
        <v>3</v>
      </c>
      <c r="V7" s="86">
        <v>3</v>
      </c>
      <c r="W7" s="86">
        <v>3</v>
      </c>
      <c r="X7" s="86">
        <v>1</v>
      </c>
      <c r="Y7" s="86">
        <v>0</v>
      </c>
      <c r="Z7" s="86">
        <v>0</v>
      </c>
      <c r="AA7" s="86">
        <v>0</v>
      </c>
      <c r="AB7" s="86">
        <v>0</v>
      </c>
      <c r="AC7" s="159">
        <v>0</v>
      </c>
    </row>
    <row r="8" spans="1:29" ht="15.75" thickBot="1" x14ac:dyDescent="0.25">
      <c r="A8" s="112"/>
      <c r="B8" s="90" t="s">
        <v>23</v>
      </c>
      <c r="C8" s="80">
        <f t="shared" ref="C8:L8" si="0">SUM(C6:C7)</f>
        <v>0</v>
      </c>
      <c r="D8" s="66">
        <f t="shared" si="0"/>
        <v>1</v>
      </c>
      <c r="E8" s="66">
        <f t="shared" si="0"/>
        <v>2</v>
      </c>
      <c r="F8" s="66">
        <f t="shared" si="0"/>
        <v>9</v>
      </c>
      <c r="G8" s="66">
        <f t="shared" si="0"/>
        <v>6</v>
      </c>
      <c r="H8" s="66">
        <f t="shared" si="0"/>
        <v>1</v>
      </c>
      <c r="I8" s="66">
        <f t="shared" si="0"/>
        <v>10</v>
      </c>
      <c r="J8" s="97">
        <f t="shared" si="0"/>
        <v>14</v>
      </c>
      <c r="K8" s="85">
        <f t="shared" si="0"/>
        <v>7</v>
      </c>
      <c r="L8" s="85">
        <f t="shared" si="0"/>
        <v>4</v>
      </c>
      <c r="M8" s="85">
        <v>4</v>
      </c>
      <c r="N8" s="128">
        <f t="shared" ref="N8:S8" si="1">SUM(N6:N7)</f>
        <v>3</v>
      </c>
      <c r="O8" s="129">
        <f t="shared" si="1"/>
        <v>4</v>
      </c>
      <c r="P8" s="129">
        <f t="shared" si="1"/>
        <v>3</v>
      </c>
      <c r="Q8" s="137">
        <f t="shared" si="1"/>
        <v>3</v>
      </c>
      <c r="R8" s="161">
        <f t="shared" si="1"/>
        <v>7</v>
      </c>
      <c r="S8" s="161">
        <f t="shared" si="1"/>
        <v>3</v>
      </c>
      <c r="T8" s="161">
        <f t="shared" ref="T8:W8" si="2">SUM(T6:T7)</f>
        <v>7</v>
      </c>
      <c r="U8" s="161">
        <f t="shared" si="2"/>
        <v>7</v>
      </c>
      <c r="V8" s="161">
        <f t="shared" si="2"/>
        <v>8</v>
      </c>
      <c r="W8" s="161">
        <f t="shared" si="2"/>
        <v>7</v>
      </c>
      <c r="X8" s="161">
        <v>3</v>
      </c>
      <c r="Y8" s="161">
        <v>0</v>
      </c>
      <c r="Z8" s="161">
        <v>0</v>
      </c>
      <c r="AA8" s="161">
        <v>0</v>
      </c>
      <c r="AB8" s="161">
        <v>0</v>
      </c>
      <c r="AC8" s="160">
        <f>SUM(AC6:AC7)</f>
        <v>0</v>
      </c>
    </row>
    <row r="9" spans="1:29" ht="15.75" x14ac:dyDescent="0.25">
      <c r="A9" s="113" t="s">
        <v>56</v>
      </c>
      <c r="B9" s="91" t="s">
        <v>37</v>
      </c>
      <c r="C9" s="81">
        <v>0</v>
      </c>
      <c r="D9" s="65">
        <v>0</v>
      </c>
      <c r="E9" s="65">
        <v>1</v>
      </c>
      <c r="F9" s="65">
        <v>1</v>
      </c>
      <c r="G9" s="65">
        <v>0</v>
      </c>
      <c r="H9" s="65">
        <v>0</v>
      </c>
      <c r="I9" s="65">
        <v>0</v>
      </c>
      <c r="J9" s="98">
        <v>0</v>
      </c>
      <c r="K9" s="86">
        <v>0</v>
      </c>
      <c r="L9" s="86">
        <v>0</v>
      </c>
      <c r="M9" s="126">
        <v>0</v>
      </c>
      <c r="N9" s="126">
        <v>0</v>
      </c>
      <c r="O9" s="127">
        <v>0</v>
      </c>
      <c r="P9" s="127">
        <v>0</v>
      </c>
      <c r="Q9" s="13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0</v>
      </c>
      <c r="Z9" s="86">
        <v>0</v>
      </c>
      <c r="AA9" s="86">
        <v>0</v>
      </c>
      <c r="AB9" s="86">
        <v>0</v>
      </c>
      <c r="AC9" s="159">
        <v>0</v>
      </c>
    </row>
    <row r="10" spans="1:29" ht="15" x14ac:dyDescent="0.2">
      <c r="A10" s="111"/>
      <c r="B10" s="89" t="s">
        <v>38</v>
      </c>
      <c r="C10" s="79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96">
        <v>0</v>
      </c>
      <c r="K10" s="84">
        <v>0</v>
      </c>
      <c r="L10" s="84">
        <v>0</v>
      </c>
      <c r="M10" s="125">
        <v>0</v>
      </c>
      <c r="N10" s="126">
        <v>0</v>
      </c>
      <c r="O10" s="127">
        <v>0</v>
      </c>
      <c r="P10" s="127">
        <v>0</v>
      </c>
      <c r="Q10" s="13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1</v>
      </c>
      <c r="Y10" s="86">
        <v>0</v>
      </c>
      <c r="Z10" s="86">
        <v>0</v>
      </c>
      <c r="AA10" s="86">
        <v>0</v>
      </c>
      <c r="AB10" s="86">
        <v>0</v>
      </c>
      <c r="AC10" s="159">
        <v>0</v>
      </c>
    </row>
    <row r="11" spans="1:29" ht="15.75" thickBot="1" x14ac:dyDescent="0.25">
      <c r="A11" s="112"/>
      <c r="B11" s="90" t="s">
        <v>23</v>
      </c>
      <c r="C11" s="80">
        <f t="shared" ref="C11:L11" si="3">SUM(C9:C10)</f>
        <v>0</v>
      </c>
      <c r="D11" s="66">
        <f t="shared" si="3"/>
        <v>0</v>
      </c>
      <c r="E11" s="66">
        <f t="shared" si="3"/>
        <v>1</v>
      </c>
      <c r="F11" s="66">
        <f t="shared" si="3"/>
        <v>1</v>
      </c>
      <c r="G11" s="66">
        <f t="shared" si="3"/>
        <v>0</v>
      </c>
      <c r="H11" s="66">
        <f t="shared" si="3"/>
        <v>0</v>
      </c>
      <c r="I11" s="66">
        <f t="shared" si="3"/>
        <v>0</v>
      </c>
      <c r="J11" s="97">
        <f t="shared" si="3"/>
        <v>0</v>
      </c>
      <c r="K11" s="85">
        <f t="shared" si="3"/>
        <v>0</v>
      </c>
      <c r="L11" s="85">
        <f t="shared" si="3"/>
        <v>0</v>
      </c>
      <c r="M11" s="85">
        <v>0</v>
      </c>
      <c r="N11" s="128">
        <v>0</v>
      </c>
      <c r="O11" s="129">
        <v>0</v>
      </c>
      <c r="P11" s="129">
        <v>0</v>
      </c>
      <c r="Q11" s="137">
        <v>0</v>
      </c>
      <c r="R11" s="161">
        <v>0</v>
      </c>
      <c r="S11" s="161">
        <v>0</v>
      </c>
      <c r="T11" s="161">
        <v>0</v>
      </c>
      <c r="U11" s="161">
        <f t="shared" ref="U11:W11" si="4">SUM(U9:U10)</f>
        <v>0</v>
      </c>
      <c r="V11" s="161">
        <f t="shared" si="4"/>
        <v>0</v>
      </c>
      <c r="W11" s="161">
        <f t="shared" si="4"/>
        <v>0</v>
      </c>
      <c r="X11" s="161">
        <v>1</v>
      </c>
      <c r="Y11" s="161">
        <v>0</v>
      </c>
      <c r="Z11" s="161">
        <v>0</v>
      </c>
      <c r="AA11" s="161">
        <v>0</v>
      </c>
      <c r="AB11" s="161">
        <v>0</v>
      </c>
      <c r="AC11" s="160">
        <f>SUM(AC9:AC10)</f>
        <v>0</v>
      </c>
    </row>
    <row r="12" spans="1:29" ht="15.75" x14ac:dyDescent="0.25">
      <c r="A12" s="113" t="s">
        <v>24</v>
      </c>
      <c r="B12" s="91" t="s">
        <v>37</v>
      </c>
      <c r="C12" s="81">
        <v>0</v>
      </c>
      <c r="D12" s="65">
        <v>11</v>
      </c>
      <c r="E12" s="65">
        <v>10</v>
      </c>
      <c r="F12" s="65">
        <v>9</v>
      </c>
      <c r="G12" s="65">
        <v>16</v>
      </c>
      <c r="H12" s="65">
        <v>22</v>
      </c>
      <c r="I12" s="65">
        <v>20</v>
      </c>
      <c r="J12" s="98">
        <v>15</v>
      </c>
      <c r="K12" s="86">
        <v>19</v>
      </c>
      <c r="L12" s="86">
        <v>15</v>
      </c>
      <c r="M12" s="126">
        <v>14</v>
      </c>
      <c r="N12" s="126">
        <v>14</v>
      </c>
      <c r="O12" s="127">
        <v>19</v>
      </c>
      <c r="P12" s="127">
        <v>14</v>
      </c>
      <c r="Q12" s="136">
        <v>39</v>
      </c>
      <c r="R12" s="86">
        <f>15+24</f>
        <v>39</v>
      </c>
      <c r="S12" s="86">
        <v>37</v>
      </c>
      <c r="T12" s="86">
        <v>36</v>
      </c>
      <c r="U12" s="86">
        <v>38</v>
      </c>
      <c r="V12" s="86">
        <v>33</v>
      </c>
      <c r="W12" s="86">
        <v>35</v>
      </c>
      <c r="X12" s="86">
        <v>13</v>
      </c>
      <c r="Y12" s="86">
        <v>4</v>
      </c>
      <c r="Z12" s="86">
        <v>3</v>
      </c>
      <c r="AA12" s="86">
        <v>3</v>
      </c>
      <c r="AB12" s="86">
        <v>6</v>
      </c>
      <c r="AC12" s="159">
        <v>2</v>
      </c>
    </row>
    <row r="13" spans="1:29" ht="15" x14ac:dyDescent="0.2">
      <c r="A13" s="111"/>
      <c r="B13" s="89" t="s">
        <v>38</v>
      </c>
      <c r="C13" s="79">
        <v>6</v>
      </c>
      <c r="D13" s="63">
        <v>13</v>
      </c>
      <c r="E13" s="63">
        <v>17</v>
      </c>
      <c r="F13" s="63">
        <v>22</v>
      </c>
      <c r="G13" s="63">
        <v>27</v>
      </c>
      <c r="H13" s="63">
        <v>30</v>
      </c>
      <c r="I13" s="63">
        <v>46</v>
      </c>
      <c r="J13" s="96">
        <v>35</v>
      </c>
      <c r="K13" s="84">
        <v>32</v>
      </c>
      <c r="L13" s="84">
        <v>29</v>
      </c>
      <c r="M13" s="125">
        <v>31</v>
      </c>
      <c r="N13" s="126">
        <v>28</v>
      </c>
      <c r="O13" s="127">
        <v>46</v>
      </c>
      <c r="P13" s="127">
        <v>21</v>
      </c>
      <c r="Q13" s="136">
        <v>58</v>
      </c>
      <c r="R13" s="86">
        <f>17+42</f>
        <v>59</v>
      </c>
      <c r="S13" s="86">
        <v>60</v>
      </c>
      <c r="T13" s="86">
        <v>51</v>
      </c>
      <c r="U13" s="86">
        <v>64</v>
      </c>
      <c r="V13" s="86">
        <v>73</v>
      </c>
      <c r="W13" s="86">
        <v>74</v>
      </c>
      <c r="X13" s="86">
        <v>14</v>
      </c>
      <c r="Y13" s="86">
        <v>11</v>
      </c>
      <c r="Z13" s="86">
        <v>17</v>
      </c>
      <c r="AA13" s="86">
        <v>15</v>
      </c>
      <c r="AB13" s="86">
        <v>14</v>
      </c>
      <c r="AC13" s="159">
        <v>10</v>
      </c>
    </row>
    <row r="14" spans="1:29" ht="15.75" thickBot="1" x14ac:dyDescent="0.25">
      <c r="A14" s="112"/>
      <c r="B14" s="90" t="s">
        <v>23</v>
      </c>
      <c r="C14" s="80">
        <f t="shared" ref="C14:L14" si="5">SUM(C12:C13)</f>
        <v>6</v>
      </c>
      <c r="D14" s="66">
        <f t="shared" si="5"/>
        <v>24</v>
      </c>
      <c r="E14" s="66">
        <f t="shared" si="5"/>
        <v>27</v>
      </c>
      <c r="F14" s="66">
        <f t="shared" si="5"/>
        <v>31</v>
      </c>
      <c r="G14" s="66">
        <f t="shared" si="5"/>
        <v>43</v>
      </c>
      <c r="H14" s="66">
        <f t="shared" si="5"/>
        <v>52</v>
      </c>
      <c r="I14" s="66">
        <f t="shared" si="5"/>
        <v>66</v>
      </c>
      <c r="J14" s="97">
        <f t="shared" si="5"/>
        <v>50</v>
      </c>
      <c r="K14" s="85">
        <f t="shared" si="5"/>
        <v>51</v>
      </c>
      <c r="L14" s="85">
        <f t="shared" si="5"/>
        <v>44</v>
      </c>
      <c r="M14" s="85">
        <v>45</v>
      </c>
      <c r="N14" s="128">
        <f t="shared" ref="N14:S14" si="6">SUM(N12:N13)</f>
        <v>42</v>
      </c>
      <c r="O14" s="129">
        <f t="shared" si="6"/>
        <v>65</v>
      </c>
      <c r="P14" s="129">
        <f t="shared" si="6"/>
        <v>35</v>
      </c>
      <c r="Q14" s="137">
        <f t="shared" si="6"/>
        <v>97</v>
      </c>
      <c r="R14" s="161">
        <f t="shared" si="6"/>
        <v>98</v>
      </c>
      <c r="S14" s="161">
        <f t="shared" si="6"/>
        <v>97</v>
      </c>
      <c r="T14" s="161">
        <f t="shared" ref="T14:W14" si="7">SUM(T12:T13)</f>
        <v>87</v>
      </c>
      <c r="U14" s="161">
        <f t="shared" si="7"/>
        <v>102</v>
      </c>
      <c r="V14" s="161">
        <f t="shared" si="7"/>
        <v>106</v>
      </c>
      <c r="W14" s="161">
        <f t="shared" si="7"/>
        <v>109</v>
      </c>
      <c r="X14" s="161">
        <v>27</v>
      </c>
      <c r="Y14" s="161">
        <v>15</v>
      </c>
      <c r="Z14" s="161">
        <v>20</v>
      </c>
      <c r="AA14" s="161">
        <v>18</v>
      </c>
      <c r="AB14" s="161">
        <v>20</v>
      </c>
      <c r="AC14" s="160">
        <f>SUM(AC12:AC13)</f>
        <v>12</v>
      </c>
    </row>
    <row r="15" spans="1:29" ht="15.75" x14ac:dyDescent="0.25">
      <c r="A15" s="113" t="s">
        <v>30</v>
      </c>
      <c r="B15" s="91" t="s">
        <v>37</v>
      </c>
      <c r="C15" s="81">
        <v>2</v>
      </c>
      <c r="D15" s="65">
        <v>5</v>
      </c>
      <c r="E15" s="65">
        <v>3</v>
      </c>
      <c r="F15" s="65">
        <v>5</v>
      </c>
      <c r="G15" s="65">
        <v>7</v>
      </c>
      <c r="H15" s="65">
        <v>15</v>
      </c>
      <c r="I15" s="65">
        <v>11</v>
      </c>
      <c r="J15" s="98">
        <v>10</v>
      </c>
      <c r="K15" s="86">
        <v>7</v>
      </c>
      <c r="L15" s="86">
        <v>10</v>
      </c>
      <c r="M15" s="126">
        <v>8</v>
      </c>
      <c r="N15" s="126">
        <v>13</v>
      </c>
      <c r="O15" s="127">
        <v>8</v>
      </c>
      <c r="P15" s="127">
        <v>11</v>
      </c>
      <c r="Q15" s="136">
        <v>13</v>
      </c>
      <c r="R15" s="86">
        <v>12</v>
      </c>
      <c r="S15" s="86">
        <v>8</v>
      </c>
      <c r="T15" s="86">
        <v>7</v>
      </c>
      <c r="U15" s="86">
        <v>8</v>
      </c>
      <c r="V15" s="86">
        <v>7</v>
      </c>
      <c r="W15" s="86">
        <v>7</v>
      </c>
      <c r="X15" s="86">
        <v>1</v>
      </c>
      <c r="Y15" s="86">
        <v>0</v>
      </c>
      <c r="Z15" s="86">
        <v>0</v>
      </c>
      <c r="AA15" s="86">
        <v>0</v>
      </c>
      <c r="AB15" s="86">
        <v>0</v>
      </c>
      <c r="AC15" s="159">
        <v>0</v>
      </c>
    </row>
    <row r="16" spans="1:29" ht="15" x14ac:dyDescent="0.2">
      <c r="A16" s="111"/>
      <c r="B16" s="89" t="s">
        <v>38</v>
      </c>
      <c r="C16" s="79">
        <v>6</v>
      </c>
      <c r="D16" s="63">
        <v>2</v>
      </c>
      <c r="E16" s="63">
        <v>5</v>
      </c>
      <c r="F16" s="63">
        <v>9</v>
      </c>
      <c r="G16" s="63">
        <v>24</v>
      </c>
      <c r="H16" s="63">
        <v>27</v>
      </c>
      <c r="I16" s="63">
        <v>23</v>
      </c>
      <c r="J16" s="96">
        <v>28</v>
      </c>
      <c r="K16" s="84">
        <v>20</v>
      </c>
      <c r="L16" s="84">
        <v>14</v>
      </c>
      <c r="M16" s="125">
        <v>11</v>
      </c>
      <c r="N16" s="126">
        <v>10</v>
      </c>
      <c r="O16" s="127">
        <v>18</v>
      </c>
      <c r="P16" s="127">
        <v>12</v>
      </c>
      <c r="Q16" s="136">
        <v>14</v>
      </c>
      <c r="R16" s="86">
        <v>11</v>
      </c>
      <c r="S16" s="86">
        <v>9</v>
      </c>
      <c r="T16" s="86">
        <v>14</v>
      </c>
      <c r="U16" s="86">
        <v>9</v>
      </c>
      <c r="V16" s="86">
        <v>7</v>
      </c>
      <c r="W16" s="86">
        <v>6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159">
        <v>0</v>
      </c>
    </row>
    <row r="17" spans="1:29" ht="15.75" thickBot="1" x14ac:dyDescent="0.25">
      <c r="A17" s="112"/>
      <c r="B17" s="90" t="s">
        <v>23</v>
      </c>
      <c r="C17" s="80">
        <f t="shared" ref="C17:L17" si="8">SUM(C15:C16)</f>
        <v>8</v>
      </c>
      <c r="D17" s="66">
        <f t="shared" si="8"/>
        <v>7</v>
      </c>
      <c r="E17" s="66">
        <f t="shared" si="8"/>
        <v>8</v>
      </c>
      <c r="F17" s="66">
        <f t="shared" si="8"/>
        <v>14</v>
      </c>
      <c r="G17" s="66">
        <f t="shared" si="8"/>
        <v>31</v>
      </c>
      <c r="H17" s="66">
        <f t="shared" si="8"/>
        <v>42</v>
      </c>
      <c r="I17" s="66">
        <f t="shared" si="8"/>
        <v>34</v>
      </c>
      <c r="J17" s="97">
        <f t="shared" si="8"/>
        <v>38</v>
      </c>
      <c r="K17" s="85">
        <f t="shared" si="8"/>
        <v>27</v>
      </c>
      <c r="L17" s="85">
        <f t="shared" si="8"/>
        <v>24</v>
      </c>
      <c r="M17" s="85">
        <v>19</v>
      </c>
      <c r="N17" s="128">
        <f t="shared" ref="N17:S17" si="9">SUM(N15:N16)</f>
        <v>23</v>
      </c>
      <c r="O17" s="129">
        <f t="shared" si="9"/>
        <v>26</v>
      </c>
      <c r="P17" s="129">
        <f t="shared" si="9"/>
        <v>23</v>
      </c>
      <c r="Q17" s="137">
        <f t="shared" si="9"/>
        <v>27</v>
      </c>
      <c r="R17" s="161">
        <f t="shared" si="9"/>
        <v>23</v>
      </c>
      <c r="S17" s="161">
        <f t="shared" si="9"/>
        <v>17</v>
      </c>
      <c r="T17" s="161">
        <f t="shared" ref="T17:W17" si="10">SUM(T15:T16)</f>
        <v>21</v>
      </c>
      <c r="U17" s="161">
        <f t="shared" si="10"/>
        <v>17</v>
      </c>
      <c r="V17" s="161">
        <f t="shared" si="10"/>
        <v>14</v>
      </c>
      <c r="W17" s="161">
        <f t="shared" si="10"/>
        <v>13</v>
      </c>
      <c r="X17" s="161">
        <v>1</v>
      </c>
      <c r="Y17" s="161">
        <v>0</v>
      </c>
      <c r="Z17" s="161">
        <v>0</v>
      </c>
      <c r="AA17" s="161">
        <v>0</v>
      </c>
      <c r="AB17" s="161">
        <v>0</v>
      </c>
      <c r="AC17" s="160">
        <v>0</v>
      </c>
    </row>
    <row r="18" spans="1:29" ht="15.75" x14ac:dyDescent="0.25">
      <c r="A18" s="113" t="s">
        <v>25</v>
      </c>
      <c r="B18" s="91" t="s">
        <v>37</v>
      </c>
      <c r="C18" s="81">
        <v>2</v>
      </c>
      <c r="D18" s="65">
        <v>0</v>
      </c>
      <c r="E18" s="65">
        <v>1</v>
      </c>
      <c r="F18" s="65">
        <v>3</v>
      </c>
      <c r="G18" s="65">
        <v>6</v>
      </c>
      <c r="H18" s="65">
        <v>3</v>
      </c>
      <c r="I18" s="65">
        <v>6</v>
      </c>
      <c r="J18" s="98">
        <v>6</v>
      </c>
      <c r="K18" s="86">
        <v>5</v>
      </c>
      <c r="L18" s="86">
        <v>7</v>
      </c>
      <c r="M18" s="126">
        <v>2</v>
      </c>
      <c r="N18" s="126">
        <v>0</v>
      </c>
      <c r="O18" s="127">
        <v>2</v>
      </c>
      <c r="P18" s="127">
        <v>3</v>
      </c>
      <c r="Q18" s="136">
        <v>3</v>
      </c>
      <c r="R18" s="86">
        <v>1</v>
      </c>
      <c r="S18" s="86">
        <v>2</v>
      </c>
      <c r="T18" s="86">
        <v>5</v>
      </c>
      <c r="U18" s="86">
        <v>1</v>
      </c>
      <c r="V18" s="86">
        <v>2</v>
      </c>
      <c r="W18" s="86">
        <v>2</v>
      </c>
      <c r="X18" s="86">
        <v>4</v>
      </c>
      <c r="Y18" s="86">
        <v>4</v>
      </c>
      <c r="Z18" s="86">
        <v>0</v>
      </c>
      <c r="AA18" s="86">
        <v>0</v>
      </c>
      <c r="AB18" s="86">
        <v>0</v>
      </c>
      <c r="AC18" s="159">
        <v>0</v>
      </c>
    </row>
    <row r="19" spans="1:29" ht="15" x14ac:dyDescent="0.2">
      <c r="A19" s="111"/>
      <c r="B19" s="89" t="s">
        <v>38</v>
      </c>
      <c r="C19" s="79">
        <v>2</v>
      </c>
      <c r="D19" s="63">
        <v>5</v>
      </c>
      <c r="E19" s="63">
        <v>5</v>
      </c>
      <c r="F19" s="63">
        <v>3</v>
      </c>
      <c r="G19" s="63">
        <v>9</v>
      </c>
      <c r="H19" s="63">
        <v>12</v>
      </c>
      <c r="I19" s="63">
        <v>15</v>
      </c>
      <c r="J19" s="96">
        <v>11</v>
      </c>
      <c r="K19" s="84">
        <v>7</v>
      </c>
      <c r="L19" s="84">
        <v>4</v>
      </c>
      <c r="M19" s="125">
        <v>9</v>
      </c>
      <c r="N19" s="126">
        <v>9</v>
      </c>
      <c r="O19" s="127">
        <v>10</v>
      </c>
      <c r="P19" s="127">
        <v>4</v>
      </c>
      <c r="Q19" s="136">
        <v>2</v>
      </c>
      <c r="R19" s="86">
        <v>7</v>
      </c>
      <c r="S19" s="86">
        <v>6</v>
      </c>
      <c r="T19" s="86">
        <v>6</v>
      </c>
      <c r="U19" s="86">
        <v>3</v>
      </c>
      <c r="V19" s="86">
        <v>7</v>
      </c>
      <c r="W19" s="86">
        <v>6</v>
      </c>
      <c r="X19" s="86">
        <v>13</v>
      </c>
      <c r="Y19" s="86">
        <v>0</v>
      </c>
      <c r="Z19" s="86">
        <v>0</v>
      </c>
      <c r="AA19" s="86">
        <v>0</v>
      </c>
      <c r="AB19" s="86">
        <v>0</v>
      </c>
      <c r="AC19" s="159">
        <v>0</v>
      </c>
    </row>
    <row r="20" spans="1:29" ht="15.75" thickBot="1" x14ac:dyDescent="0.25">
      <c r="A20" s="112"/>
      <c r="B20" s="90" t="s">
        <v>23</v>
      </c>
      <c r="C20" s="80">
        <f t="shared" ref="C20:L20" si="11">SUM(C18:C19)</f>
        <v>4</v>
      </c>
      <c r="D20" s="66">
        <f t="shared" si="11"/>
        <v>5</v>
      </c>
      <c r="E20" s="66">
        <f t="shared" si="11"/>
        <v>6</v>
      </c>
      <c r="F20" s="66">
        <f t="shared" si="11"/>
        <v>6</v>
      </c>
      <c r="G20" s="66">
        <f t="shared" si="11"/>
        <v>15</v>
      </c>
      <c r="H20" s="66">
        <f t="shared" si="11"/>
        <v>15</v>
      </c>
      <c r="I20" s="66">
        <f t="shared" si="11"/>
        <v>21</v>
      </c>
      <c r="J20" s="97">
        <f t="shared" si="11"/>
        <v>17</v>
      </c>
      <c r="K20" s="85">
        <f t="shared" si="11"/>
        <v>12</v>
      </c>
      <c r="L20" s="85">
        <f t="shared" si="11"/>
        <v>11</v>
      </c>
      <c r="M20" s="85">
        <v>11</v>
      </c>
      <c r="N20" s="128">
        <f t="shared" ref="N20:S20" si="12">SUM(N18:N19)</f>
        <v>9</v>
      </c>
      <c r="O20" s="129">
        <f t="shared" si="12"/>
        <v>12</v>
      </c>
      <c r="P20" s="129">
        <f t="shared" si="12"/>
        <v>7</v>
      </c>
      <c r="Q20" s="137">
        <f t="shared" si="12"/>
        <v>5</v>
      </c>
      <c r="R20" s="161">
        <f t="shared" si="12"/>
        <v>8</v>
      </c>
      <c r="S20" s="161">
        <f t="shared" si="12"/>
        <v>8</v>
      </c>
      <c r="T20" s="161">
        <f t="shared" ref="T20:W20" si="13">SUM(T18:T19)</f>
        <v>11</v>
      </c>
      <c r="U20" s="161">
        <f t="shared" si="13"/>
        <v>4</v>
      </c>
      <c r="V20" s="161">
        <f t="shared" si="13"/>
        <v>9</v>
      </c>
      <c r="W20" s="161">
        <f t="shared" si="13"/>
        <v>8</v>
      </c>
      <c r="X20" s="161">
        <v>17</v>
      </c>
      <c r="Y20" s="161">
        <v>4</v>
      </c>
      <c r="Z20" s="161">
        <v>0</v>
      </c>
      <c r="AA20" s="161">
        <v>0</v>
      </c>
      <c r="AB20" s="161">
        <v>0</v>
      </c>
      <c r="AC20" s="160">
        <f>SUM(AC18:AC19)</f>
        <v>0</v>
      </c>
    </row>
    <row r="21" spans="1:29" ht="15.75" x14ac:dyDescent="0.25">
      <c r="A21" s="113" t="s">
        <v>26</v>
      </c>
      <c r="B21" s="91" t="s">
        <v>37</v>
      </c>
      <c r="C21" s="81">
        <v>3</v>
      </c>
      <c r="D21" s="65">
        <v>5</v>
      </c>
      <c r="E21" s="65">
        <v>9</v>
      </c>
      <c r="F21" s="65">
        <v>8</v>
      </c>
      <c r="G21" s="65">
        <v>14</v>
      </c>
      <c r="H21" s="65">
        <v>21</v>
      </c>
      <c r="I21" s="65">
        <v>12</v>
      </c>
      <c r="J21" s="98">
        <v>12</v>
      </c>
      <c r="K21" s="86">
        <v>8</v>
      </c>
      <c r="L21" s="86">
        <v>9</v>
      </c>
      <c r="M21" s="126">
        <v>6</v>
      </c>
      <c r="N21" s="126">
        <v>7</v>
      </c>
      <c r="O21" s="127">
        <v>4</v>
      </c>
      <c r="P21" s="127">
        <v>6</v>
      </c>
      <c r="Q21" s="136">
        <v>4</v>
      </c>
      <c r="R21" s="86">
        <f>5+1</f>
        <v>6</v>
      </c>
      <c r="S21" s="86">
        <v>4</v>
      </c>
      <c r="T21" s="86">
        <v>5</v>
      </c>
      <c r="U21" s="86">
        <v>6</v>
      </c>
      <c r="V21" s="86">
        <v>5</v>
      </c>
      <c r="W21" s="86">
        <v>7</v>
      </c>
      <c r="X21" s="86">
        <v>2</v>
      </c>
      <c r="Y21" s="86">
        <v>0</v>
      </c>
      <c r="Z21" s="86">
        <v>0</v>
      </c>
      <c r="AA21" s="86">
        <v>0</v>
      </c>
      <c r="AB21" s="86">
        <v>0</v>
      </c>
      <c r="AC21" s="159">
        <v>0</v>
      </c>
    </row>
    <row r="22" spans="1:29" ht="15" x14ac:dyDescent="0.2">
      <c r="A22" s="111"/>
      <c r="B22" s="89" t="s">
        <v>38</v>
      </c>
      <c r="C22" s="79">
        <v>0</v>
      </c>
      <c r="D22" s="63">
        <v>2</v>
      </c>
      <c r="E22" s="63">
        <v>1</v>
      </c>
      <c r="F22" s="63">
        <v>1</v>
      </c>
      <c r="G22" s="63">
        <v>8</v>
      </c>
      <c r="H22" s="63">
        <v>2</v>
      </c>
      <c r="I22" s="63">
        <v>3</v>
      </c>
      <c r="J22" s="96">
        <v>0</v>
      </c>
      <c r="K22" s="84">
        <v>0</v>
      </c>
      <c r="L22" s="84">
        <v>2</v>
      </c>
      <c r="M22" s="125">
        <v>1</v>
      </c>
      <c r="N22" s="126">
        <v>1</v>
      </c>
      <c r="O22" s="127">
        <v>0</v>
      </c>
      <c r="P22" s="127">
        <v>0</v>
      </c>
      <c r="Q22" s="136">
        <v>2</v>
      </c>
      <c r="R22" s="86">
        <v>2</v>
      </c>
      <c r="S22" s="86">
        <v>1</v>
      </c>
      <c r="T22" s="86">
        <v>2</v>
      </c>
      <c r="U22" s="86">
        <v>0</v>
      </c>
      <c r="V22" s="86">
        <v>1</v>
      </c>
      <c r="W22" s="86">
        <v>1</v>
      </c>
      <c r="X22" s="86">
        <v>0</v>
      </c>
      <c r="Y22" s="86">
        <v>0</v>
      </c>
      <c r="Z22" s="86">
        <v>0</v>
      </c>
      <c r="AA22" s="86">
        <v>0</v>
      </c>
      <c r="AB22" s="86">
        <v>0</v>
      </c>
      <c r="AC22" s="159">
        <v>0</v>
      </c>
    </row>
    <row r="23" spans="1:29" ht="15.75" thickBot="1" x14ac:dyDescent="0.25">
      <c r="A23" s="112"/>
      <c r="B23" s="90" t="s">
        <v>23</v>
      </c>
      <c r="C23" s="80">
        <f t="shared" ref="C23:L23" si="14">SUM(C21:C22)</f>
        <v>3</v>
      </c>
      <c r="D23" s="66">
        <f t="shared" si="14"/>
        <v>7</v>
      </c>
      <c r="E23" s="66">
        <f t="shared" si="14"/>
        <v>10</v>
      </c>
      <c r="F23" s="66">
        <f t="shared" si="14"/>
        <v>9</v>
      </c>
      <c r="G23" s="66">
        <f t="shared" si="14"/>
        <v>22</v>
      </c>
      <c r="H23" s="66">
        <f t="shared" si="14"/>
        <v>23</v>
      </c>
      <c r="I23" s="66">
        <f t="shared" si="14"/>
        <v>15</v>
      </c>
      <c r="J23" s="97">
        <f t="shared" si="14"/>
        <v>12</v>
      </c>
      <c r="K23" s="85">
        <f t="shared" si="14"/>
        <v>8</v>
      </c>
      <c r="L23" s="85">
        <f t="shared" si="14"/>
        <v>11</v>
      </c>
      <c r="M23" s="85">
        <v>7</v>
      </c>
      <c r="N23" s="128">
        <f t="shared" ref="N23:S23" si="15">SUM(N21:N22)</f>
        <v>8</v>
      </c>
      <c r="O23" s="129">
        <f t="shared" si="15"/>
        <v>4</v>
      </c>
      <c r="P23" s="129">
        <f t="shared" si="15"/>
        <v>6</v>
      </c>
      <c r="Q23" s="137">
        <f t="shared" si="15"/>
        <v>6</v>
      </c>
      <c r="R23" s="161">
        <f t="shared" si="15"/>
        <v>8</v>
      </c>
      <c r="S23" s="161">
        <f t="shared" si="15"/>
        <v>5</v>
      </c>
      <c r="T23" s="161">
        <f t="shared" ref="T23:W23" si="16">SUM(T21:T22)</f>
        <v>7</v>
      </c>
      <c r="U23" s="161">
        <f t="shared" si="16"/>
        <v>6</v>
      </c>
      <c r="V23" s="161">
        <f t="shared" si="16"/>
        <v>6</v>
      </c>
      <c r="W23" s="161">
        <f t="shared" si="16"/>
        <v>8</v>
      </c>
      <c r="X23" s="161">
        <v>2</v>
      </c>
      <c r="Y23" s="161">
        <v>0</v>
      </c>
      <c r="Z23" s="161">
        <v>0</v>
      </c>
      <c r="AA23" s="161">
        <v>0</v>
      </c>
      <c r="AB23" s="160">
        <v>0</v>
      </c>
      <c r="AC23" s="160">
        <f>SUM(AC21:AC22)</f>
        <v>0</v>
      </c>
    </row>
    <row r="24" spans="1:29" ht="15.75" x14ac:dyDescent="0.25">
      <c r="A24" s="206" t="s">
        <v>57</v>
      </c>
      <c r="B24" s="91" t="s">
        <v>37</v>
      </c>
      <c r="C24" s="8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1</v>
      </c>
      <c r="I24" s="65">
        <v>0</v>
      </c>
      <c r="J24" s="98">
        <v>0</v>
      </c>
      <c r="K24" s="86">
        <v>0</v>
      </c>
      <c r="L24" s="86">
        <v>2</v>
      </c>
      <c r="M24" s="126">
        <v>1</v>
      </c>
      <c r="N24" s="126">
        <v>0</v>
      </c>
      <c r="O24" s="127">
        <v>2</v>
      </c>
      <c r="P24" s="127">
        <v>0</v>
      </c>
      <c r="Q24" s="136">
        <v>0</v>
      </c>
      <c r="R24" s="86">
        <v>1</v>
      </c>
      <c r="S24" s="86">
        <v>4</v>
      </c>
      <c r="T24" s="86">
        <v>9</v>
      </c>
      <c r="U24" s="86">
        <v>3</v>
      </c>
      <c r="V24" s="86">
        <v>6</v>
      </c>
      <c r="W24" s="86">
        <v>8</v>
      </c>
      <c r="X24" s="87">
        <v>1</v>
      </c>
      <c r="Y24" s="87">
        <v>0</v>
      </c>
      <c r="Z24" s="86">
        <v>0</v>
      </c>
      <c r="AA24" s="86">
        <v>0</v>
      </c>
      <c r="AB24" s="86">
        <v>0</v>
      </c>
      <c r="AC24" s="159">
        <v>0</v>
      </c>
    </row>
    <row r="25" spans="1:29" ht="15" x14ac:dyDescent="0.2">
      <c r="A25" s="111"/>
      <c r="B25" s="89" t="s">
        <v>38</v>
      </c>
      <c r="C25" s="79">
        <v>3</v>
      </c>
      <c r="D25" s="63">
        <v>2</v>
      </c>
      <c r="E25" s="63">
        <v>7</v>
      </c>
      <c r="F25" s="63">
        <v>1</v>
      </c>
      <c r="G25" s="63">
        <v>2</v>
      </c>
      <c r="H25" s="63">
        <v>6</v>
      </c>
      <c r="I25" s="63">
        <v>4</v>
      </c>
      <c r="J25" s="96">
        <v>5</v>
      </c>
      <c r="K25" s="84">
        <v>5</v>
      </c>
      <c r="L25" s="84">
        <v>6</v>
      </c>
      <c r="M25" s="125">
        <v>5</v>
      </c>
      <c r="N25" s="126">
        <v>7</v>
      </c>
      <c r="O25" s="127">
        <v>11</v>
      </c>
      <c r="P25" s="127">
        <v>7</v>
      </c>
      <c r="Q25" s="136">
        <v>0</v>
      </c>
      <c r="R25" s="86">
        <v>5</v>
      </c>
      <c r="S25" s="86">
        <v>21</v>
      </c>
      <c r="T25" s="86">
        <v>34</v>
      </c>
      <c r="U25" s="86">
        <v>42</v>
      </c>
      <c r="V25" s="86">
        <v>50</v>
      </c>
      <c r="W25" s="86">
        <v>38</v>
      </c>
      <c r="X25" s="86">
        <v>4</v>
      </c>
      <c r="Y25" s="86">
        <v>0</v>
      </c>
      <c r="Z25" s="86">
        <v>0</v>
      </c>
      <c r="AA25" s="86">
        <v>0</v>
      </c>
      <c r="AB25" s="86">
        <v>0</v>
      </c>
      <c r="AC25" s="159">
        <v>0</v>
      </c>
    </row>
    <row r="26" spans="1:29" ht="15.75" thickBot="1" x14ac:dyDescent="0.25">
      <c r="A26" s="112"/>
      <c r="B26" s="90" t="s">
        <v>23</v>
      </c>
      <c r="C26" s="80">
        <f t="shared" ref="C26:L26" si="17">SUM(C24:C25)</f>
        <v>3</v>
      </c>
      <c r="D26" s="66">
        <f t="shared" si="17"/>
        <v>2</v>
      </c>
      <c r="E26" s="66">
        <f t="shared" si="17"/>
        <v>7</v>
      </c>
      <c r="F26" s="66">
        <f t="shared" si="17"/>
        <v>1</v>
      </c>
      <c r="G26" s="66">
        <f t="shared" si="17"/>
        <v>2</v>
      </c>
      <c r="H26" s="66">
        <f t="shared" si="17"/>
        <v>7</v>
      </c>
      <c r="I26" s="66">
        <f t="shared" si="17"/>
        <v>4</v>
      </c>
      <c r="J26" s="97">
        <f t="shared" si="17"/>
        <v>5</v>
      </c>
      <c r="K26" s="85">
        <f t="shared" si="17"/>
        <v>5</v>
      </c>
      <c r="L26" s="85">
        <f t="shared" si="17"/>
        <v>8</v>
      </c>
      <c r="M26" s="85">
        <v>6</v>
      </c>
      <c r="N26" s="128">
        <f t="shared" ref="N26:S26" si="18">SUM(N24:N25)</f>
        <v>7</v>
      </c>
      <c r="O26" s="129">
        <f t="shared" si="18"/>
        <v>13</v>
      </c>
      <c r="P26" s="129">
        <f t="shared" si="18"/>
        <v>7</v>
      </c>
      <c r="Q26" s="137">
        <f t="shared" si="18"/>
        <v>0</v>
      </c>
      <c r="R26" s="165">
        <f t="shared" si="18"/>
        <v>6</v>
      </c>
      <c r="S26" s="161">
        <f t="shared" si="18"/>
        <v>25</v>
      </c>
      <c r="T26" s="161">
        <f t="shared" ref="T26:W26" si="19">SUM(T24:T25)</f>
        <v>43</v>
      </c>
      <c r="U26" s="161">
        <f t="shared" si="19"/>
        <v>45</v>
      </c>
      <c r="V26" s="161">
        <f t="shared" si="19"/>
        <v>56</v>
      </c>
      <c r="W26" s="161">
        <f t="shared" si="19"/>
        <v>46</v>
      </c>
      <c r="X26" s="161">
        <v>5</v>
      </c>
      <c r="Y26" s="161">
        <v>0</v>
      </c>
      <c r="Z26" s="161">
        <v>0</v>
      </c>
      <c r="AA26" s="161">
        <v>0</v>
      </c>
      <c r="AB26" s="161">
        <v>0</v>
      </c>
      <c r="AC26" s="160">
        <f>SUM(AC24:AC25)</f>
        <v>0</v>
      </c>
    </row>
    <row r="27" spans="1:29" ht="15.75" x14ac:dyDescent="0.25">
      <c r="A27" s="114" t="s">
        <v>27</v>
      </c>
      <c r="B27" s="92" t="s">
        <v>37</v>
      </c>
      <c r="C27" s="82">
        <v>496</v>
      </c>
      <c r="D27" s="67">
        <v>501</v>
      </c>
      <c r="E27" s="67">
        <v>510</v>
      </c>
      <c r="F27" s="67">
        <v>499</v>
      </c>
      <c r="G27" s="67">
        <v>459</v>
      </c>
      <c r="H27" s="67">
        <v>548</v>
      </c>
      <c r="I27" s="67">
        <v>586</v>
      </c>
      <c r="J27" s="99">
        <v>585</v>
      </c>
      <c r="K27" s="87">
        <v>706</v>
      </c>
      <c r="L27" s="87">
        <v>745</v>
      </c>
      <c r="M27" s="133">
        <v>658</v>
      </c>
      <c r="N27" s="126">
        <v>628</v>
      </c>
      <c r="O27" s="127">
        <v>561</v>
      </c>
      <c r="P27" s="127">
        <v>511</v>
      </c>
      <c r="Q27" s="136">
        <v>506</v>
      </c>
      <c r="R27" s="86">
        <f>419+70</f>
        <v>489</v>
      </c>
      <c r="S27" s="86">
        <v>463</v>
      </c>
      <c r="T27" s="86">
        <v>467</v>
      </c>
      <c r="U27" s="86">
        <v>502</v>
      </c>
      <c r="V27" s="86">
        <v>548</v>
      </c>
      <c r="W27" s="86">
        <v>470</v>
      </c>
      <c r="X27" s="86">
        <v>515</v>
      </c>
      <c r="Y27" s="86">
        <v>624</v>
      </c>
      <c r="Z27" s="86">
        <v>638</v>
      </c>
      <c r="AA27" s="86">
        <v>674</v>
      </c>
      <c r="AB27" s="86">
        <v>584</v>
      </c>
      <c r="AC27" s="159">
        <v>627</v>
      </c>
    </row>
    <row r="28" spans="1:29" ht="15" x14ac:dyDescent="0.2">
      <c r="A28" s="111"/>
      <c r="B28" s="89" t="s">
        <v>38</v>
      </c>
      <c r="C28" s="79">
        <v>205</v>
      </c>
      <c r="D28" s="63">
        <v>211</v>
      </c>
      <c r="E28" s="63">
        <v>224</v>
      </c>
      <c r="F28" s="63">
        <v>197</v>
      </c>
      <c r="G28" s="63">
        <v>142</v>
      </c>
      <c r="H28" s="63">
        <v>190</v>
      </c>
      <c r="I28" s="63">
        <v>187</v>
      </c>
      <c r="J28" s="96">
        <v>205</v>
      </c>
      <c r="K28" s="84">
        <v>223</v>
      </c>
      <c r="L28" s="84">
        <v>252</v>
      </c>
      <c r="M28" s="125">
        <v>227</v>
      </c>
      <c r="N28" s="126">
        <v>194</v>
      </c>
      <c r="O28" s="127">
        <v>193</v>
      </c>
      <c r="P28" s="127">
        <v>186</v>
      </c>
      <c r="Q28" s="136">
        <v>187</v>
      </c>
      <c r="R28" s="86">
        <f>113+62</f>
        <v>175</v>
      </c>
      <c r="S28" s="86">
        <v>137</v>
      </c>
      <c r="T28" s="86">
        <v>148</v>
      </c>
      <c r="U28" s="86">
        <v>121</v>
      </c>
      <c r="V28" s="86">
        <v>89</v>
      </c>
      <c r="W28" s="86">
        <v>88</v>
      </c>
      <c r="X28" s="86">
        <v>78</v>
      </c>
      <c r="Y28" s="86">
        <v>102</v>
      </c>
      <c r="Z28" s="86">
        <v>137</v>
      </c>
      <c r="AA28" s="86">
        <v>171</v>
      </c>
      <c r="AB28" s="86">
        <v>135</v>
      </c>
      <c r="AC28" s="159">
        <v>229</v>
      </c>
    </row>
    <row r="29" spans="1:29" ht="15.75" thickBot="1" x14ac:dyDescent="0.25">
      <c r="A29" s="141"/>
      <c r="B29" s="142" t="s">
        <v>23</v>
      </c>
      <c r="C29" s="143">
        <f t="shared" ref="C29:L29" si="20">SUM(C27:C28)</f>
        <v>701</v>
      </c>
      <c r="D29" s="144">
        <f t="shared" si="20"/>
        <v>712</v>
      </c>
      <c r="E29" s="144">
        <f t="shared" si="20"/>
        <v>734</v>
      </c>
      <c r="F29" s="144">
        <f t="shared" si="20"/>
        <v>696</v>
      </c>
      <c r="G29" s="144">
        <f t="shared" si="20"/>
        <v>601</v>
      </c>
      <c r="H29" s="144">
        <f t="shared" si="20"/>
        <v>738</v>
      </c>
      <c r="I29" s="144">
        <f t="shared" si="20"/>
        <v>773</v>
      </c>
      <c r="J29" s="145">
        <f t="shared" si="20"/>
        <v>790</v>
      </c>
      <c r="K29" s="146">
        <f t="shared" si="20"/>
        <v>929</v>
      </c>
      <c r="L29" s="146">
        <f t="shared" si="20"/>
        <v>997</v>
      </c>
      <c r="M29" s="146">
        <v>885</v>
      </c>
      <c r="N29" s="146">
        <f t="shared" ref="N29:S29" si="21">SUM(N27:N28)</f>
        <v>822</v>
      </c>
      <c r="O29" s="147">
        <f t="shared" si="21"/>
        <v>754</v>
      </c>
      <c r="P29" s="147">
        <f t="shared" si="21"/>
        <v>697</v>
      </c>
      <c r="Q29" s="148">
        <f t="shared" si="21"/>
        <v>693</v>
      </c>
      <c r="R29" s="166">
        <f t="shared" si="21"/>
        <v>664</v>
      </c>
      <c r="S29" s="166">
        <f t="shared" si="21"/>
        <v>600</v>
      </c>
      <c r="T29" s="166">
        <f t="shared" ref="T29:W29" si="22">SUM(T27:T28)</f>
        <v>615</v>
      </c>
      <c r="U29" s="166">
        <f t="shared" si="22"/>
        <v>623</v>
      </c>
      <c r="V29" s="166">
        <f t="shared" si="22"/>
        <v>637</v>
      </c>
      <c r="W29" s="166">
        <f t="shared" si="22"/>
        <v>558</v>
      </c>
      <c r="X29" s="166">
        <v>593</v>
      </c>
      <c r="Y29" s="166">
        <v>726</v>
      </c>
      <c r="Z29" s="166">
        <v>775</v>
      </c>
      <c r="AA29" s="166">
        <v>845</v>
      </c>
      <c r="AB29" s="166">
        <v>719</v>
      </c>
      <c r="AC29" s="166">
        <f>SUM(AC27:AC28)</f>
        <v>856</v>
      </c>
    </row>
    <row r="30" spans="1:29" ht="16.5" thickTop="1" x14ac:dyDescent="0.25">
      <c r="A30" s="113" t="s">
        <v>29</v>
      </c>
      <c r="B30" s="91" t="s">
        <v>37</v>
      </c>
      <c r="C30" s="81">
        <v>0</v>
      </c>
      <c r="D30" s="65">
        <v>0</v>
      </c>
      <c r="E30" s="65">
        <v>0</v>
      </c>
      <c r="F30" s="65">
        <v>0</v>
      </c>
      <c r="G30" s="65">
        <v>0</v>
      </c>
      <c r="H30" s="65">
        <v>1</v>
      </c>
      <c r="I30" s="65">
        <v>0</v>
      </c>
      <c r="J30" s="98">
        <v>0</v>
      </c>
      <c r="K30" s="86">
        <v>0</v>
      </c>
      <c r="L30" s="86">
        <v>2</v>
      </c>
      <c r="M30" s="130" t="s">
        <v>46</v>
      </c>
      <c r="N30" s="130" t="s">
        <v>46</v>
      </c>
      <c r="O30" s="131" t="s">
        <v>46</v>
      </c>
      <c r="P30" s="131" t="s">
        <v>46</v>
      </c>
      <c r="Q30" s="136">
        <v>5</v>
      </c>
      <c r="R30" s="86">
        <v>7</v>
      </c>
      <c r="S30" s="86">
        <v>6</v>
      </c>
      <c r="T30" s="86">
        <v>1</v>
      </c>
      <c r="U30" s="86">
        <v>10</v>
      </c>
      <c r="V30" s="86">
        <v>20</v>
      </c>
      <c r="W30" s="86">
        <v>12</v>
      </c>
      <c r="X30" s="86">
        <v>0</v>
      </c>
      <c r="Y30" s="86">
        <v>0</v>
      </c>
      <c r="Z30" s="86">
        <v>0</v>
      </c>
      <c r="AA30" s="86">
        <v>0</v>
      </c>
      <c r="AB30" s="86">
        <v>0</v>
      </c>
      <c r="AC30" s="159">
        <v>0</v>
      </c>
    </row>
    <row r="31" spans="1:29" ht="15" x14ac:dyDescent="0.2">
      <c r="A31" s="111"/>
      <c r="B31" s="89" t="s">
        <v>38</v>
      </c>
      <c r="C31" s="79">
        <v>3</v>
      </c>
      <c r="D31" s="63">
        <v>2</v>
      </c>
      <c r="E31" s="63">
        <v>7</v>
      </c>
      <c r="F31" s="63">
        <v>1</v>
      </c>
      <c r="G31" s="63">
        <v>2</v>
      </c>
      <c r="H31" s="63">
        <v>6</v>
      </c>
      <c r="I31" s="63">
        <v>4</v>
      </c>
      <c r="J31" s="96">
        <v>5</v>
      </c>
      <c r="K31" s="84">
        <v>5</v>
      </c>
      <c r="L31" s="84">
        <v>6</v>
      </c>
      <c r="M31" s="132" t="s">
        <v>46</v>
      </c>
      <c r="N31" s="130" t="s">
        <v>46</v>
      </c>
      <c r="O31" s="131" t="s">
        <v>46</v>
      </c>
      <c r="P31" s="131" t="s">
        <v>46</v>
      </c>
      <c r="Q31" s="136">
        <v>28</v>
      </c>
      <c r="R31" s="86">
        <v>43</v>
      </c>
      <c r="S31" s="86">
        <v>35</v>
      </c>
      <c r="T31" s="86">
        <v>0</v>
      </c>
      <c r="U31" s="86">
        <v>21</v>
      </c>
      <c r="V31" s="86">
        <v>26</v>
      </c>
      <c r="W31" s="86">
        <v>8</v>
      </c>
      <c r="X31" s="86">
        <v>0</v>
      </c>
      <c r="Y31" s="86">
        <v>0</v>
      </c>
      <c r="Z31" s="86">
        <v>0</v>
      </c>
      <c r="AA31" s="86">
        <v>0</v>
      </c>
      <c r="AB31" s="86">
        <v>0</v>
      </c>
      <c r="AC31" s="159">
        <v>0</v>
      </c>
    </row>
    <row r="32" spans="1:29" ht="15.75" thickBot="1" x14ac:dyDescent="0.25">
      <c r="A32" s="141"/>
      <c r="B32" s="142" t="s">
        <v>23</v>
      </c>
      <c r="C32" s="143">
        <f t="shared" ref="C32:L32" si="23">SUM(C30:C31)</f>
        <v>3</v>
      </c>
      <c r="D32" s="144">
        <f t="shared" si="23"/>
        <v>2</v>
      </c>
      <c r="E32" s="144">
        <f t="shared" si="23"/>
        <v>7</v>
      </c>
      <c r="F32" s="144">
        <f t="shared" si="23"/>
        <v>1</v>
      </c>
      <c r="G32" s="144">
        <f t="shared" si="23"/>
        <v>2</v>
      </c>
      <c r="H32" s="144">
        <f t="shared" si="23"/>
        <v>7</v>
      </c>
      <c r="I32" s="144">
        <f t="shared" si="23"/>
        <v>4</v>
      </c>
      <c r="J32" s="145">
        <f t="shared" si="23"/>
        <v>5</v>
      </c>
      <c r="K32" s="146">
        <f t="shared" si="23"/>
        <v>5</v>
      </c>
      <c r="L32" s="146">
        <f t="shared" si="23"/>
        <v>8</v>
      </c>
      <c r="M32" s="146">
        <v>0</v>
      </c>
      <c r="N32" s="146">
        <f t="shared" ref="N32:S32" si="24">SUM(N30:N31)</f>
        <v>0</v>
      </c>
      <c r="O32" s="147">
        <f t="shared" si="24"/>
        <v>0</v>
      </c>
      <c r="P32" s="147">
        <f t="shared" si="24"/>
        <v>0</v>
      </c>
      <c r="Q32" s="148">
        <f t="shared" si="24"/>
        <v>33</v>
      </c>
      <c r="R32" s="166">
        <f t="shared" si="24"/>
        <v>50</v>
      </c>
      <c r="S32" s="166">
        <f t="shared" si="24"/>
        <v>41</v>
      </c>
      <c r="T32" s="166">
        <f t="shared" ref="T32:W32" si="25">SUM(T30:T31)</f>
        <v>1</v>
      </c>
      <c r="U32" s="166">
        <f t="shared" si="25"/>
        <v>31</v>
      </c>
      <c r="V32" s="166">
        <f t="shared" si="25"/>
        <v>46</v>
      </c>
      <c r="W32" s="166">
        <f t="shared" si="25"/>
        <v>20</v>
      </c>
      <c r="X32" s="166">
        <v>0</v>
      </c>
      <c r="Y32" s="166">
        <v>0</v>
      </c>
      <c r="Z32" s="166">
        <v>0</v>
      </c>
      <c r="AA32" s="166">
        <v>0</v>
      </c>
      <c r="AB32" s="166">
        <v>0</v>
      </c>
      <c r="AC32" s="160">
        <f>SUM(AC30:AC31)</f>
        <v>0</v>
      </c>
    </row>
    <row r="33" spans="1:29" ht="16.5" thickTop="1" x14ac:dyDescent="0.25">
      <c r="A33" s="113" t="s">
        <v>47</v>
      </c>
      <c r="B33" s="149" t="s">
        <v>37</v>
      </c>
      <c r="C33" s="150">
        <f t="shared" ref="C33:O33" si="26">+C6+C9+C12+C15+C18+C21+C24+C27</f>
        <v>503</v>
      </c>
      <c r="D33" s="151">
        <f t="shared" si="26"/>
        <v>522</v>
      </c>
      <c r="E33" s="151">
        <f t="shared" si="26"/>
        <v>535</v>
      </c>
      <c r="F33" s="151">
        <f t="shared" si="26"/>
        <v>530</v>
      </c>
      <c r="G33" s="151">
        <f t="shared" si="26"/>
        <v>504</v>
      </c>
      <c r="H33" s="151">
        <f t="shared" si="26"/>
        <v>610</v>
      </c>
      <c r="I33" s="151">
        <f t="shared" si="26"/>
        <v>639</v>
      </c>
      <c r="J33" s="152">
        <f t="shared" si="26"/>
        <v>634</v>
      </c>
      <c r="K33" s="153">
        <f t="shared" si="26"/>
        <v>748</v>
      </c>
      <c r="L33" s="153">
        <f t="shared" si="26"/>
        <v>790</v>
      </c>
      <c r="M33" s="153">
        <f t="shared" si="26"/>
        <v>690</v>
      </c>
      <c r="N33" s="154">
        <f t="shared" si="26"/>
        <v>662</v>
      </c>
      <c r="O33" s="155">
        <f t="shared" si="26"/>
        <v>599</v>
      </c>
      <c r="P33" s="155">
        <f>P6+P9+P12+P15+P18+P21+P24+P27</f>
        <v>546</v>
      </c>
      <c r="Q33" s="155">
        <f t="shared" ref="Q33:W34" si="27">Q6+Q9+Q12+Q15+Q18+Q21+Q24+Q27+Q30</f>
        <v>571</v>
      </c>
      <c r="R33" s="154">
        <f t="shared" si="27"/>
        <v>559</v>
      </c>
      <c r="S33" s="154">
        <f t="shared" si="27"/>
        <v>524</v>
      </c>
      <c r="T33" s="154">
        <f t="shared" si="27"/>
        <v>531</v>
      </c>
      <c r="U33" s="154">
        <f t="shared" si="27"/>
        <v>572</v>
      </c>
      <c r="V33" s="154">
        <f t="shared" si="27"/>
        <v>626</v>
      </c>
      <c r="W33" s="154">
        <f t="shared" si="27"/>
        <v>545</v>
      </c>
      <c r="X33" s="154">
        <v>538</v>
      </c>
      <c r="Y33" s="154">
        <v>632</v>
      </c>
      <c r="Z33" s="154">
        <v>641</v>
      </c>
      <c r="AA33" s="154">
        <v>677</v>
      </c>
      <c r="AB33" s="154">
        <v>590</v>
      </c>
      <c r="AC33" s="162">
        <f>SUM(AC30,AC27,AC24,AC21,AC18,AC15,AC12,AC9,AC6)</f>
        <v>629</v>
      </c>
    </row>
    <row r="34" spans="1:29" ht="15.75" x14ac:dyDescent="0.25">
      <c r="A34" s="111"/>
      <c r="B34" s="103" t="s">
        <v>38</v>
      </c>
      <c r="C34" s="104">
        <f t="shared" ref="C34:O34" si="28">+C7+C10+C13+C16+C19+C22+C25+C28</f>
        <v>222</v>
      </c>
      <c r="D34" s="105">
        <f t="shared" si="28"/>
        <v>236</v>
      </c>
      <c r="E34" s="105">
        <f t="shared" si="28"/>
        <v>260</v>
      </c>
      <c r="F34" s="105">
        <f t="shared" si="28"/>
        <v>237</v>
      </c>
      <c r="G34" s="105">
        <f t="shared" si="28"/>
        <v>216</v>
      </c>
      <c r="H34" s="105">
        <f t="shared" si="28"/>
        <v>268</v>
      </c>
      <c r="I34" s="105">
        <f t="shared" si="28"/>
        <v>284</v>
      </c>
      <c r="J34" s="106">
        <f t="shared" si="28"/>
        <v>292</v>
      </c>
      <c r="K34" s="107">
        <f t="shared" si="28"/>
        <v>291</v>
      </c>
      <c r="L34" s="107">
        <f t="shared" si="28"/>
        <v>309</v>
      </c>
      <c r="M34" s="107">
        <f t="shared" si="28"/>
        <v>287</v>
      </c>
      <c r="N34" s="108">
        <f t="shared" si="28"/>
        <v>252</v>
      </c>
      <c r="O34" s="123">
        <f t="shared" si="28"/>
        <v>279</v>
      </c>
      <c r="P34" s="123">
        <f>P7+P10+P13+P16+P19+P22+P25+P28</f>
        <v>232</v>
      </c>
      <c r="Q34" s="123">
        <f t="shared" si="27"/>
        <v>293</v>
      </c>
      <c r="R34" s="108">
        <f t="shared" si="27"/>
        <v>305</v>
      </c>
      <c r="S34" s="108">
        <f t="shared" si="27"/>
        <v>272</v>
      </c>
      <c r="T34" s="108">
        <f t="shared" si="27"/>
        <v>261</v>
      </c>
      <c r="U34" s="108">
        <f t="shared" si="27"/>
        <v>263</v>
      </c>
      <c r="V34" s="108">
        <f t="shared" si="27"/>
        <v>256</v>
      </c>
      <c r="W34" s="108">
        <f t="shared" si="27"/>
        <v>224</v>
      </c>
      <c r="X34" s="108">
        <v>111</v>
      </c>
      <c r="Y34" s="108">
        <v>113</v>
      </c>
      <c r="Z34" s="108">
        <v>154</v>
      </c>
      <c r="AA34" s="108">
        <v>186</v>
      </c>
      <c r="AB34" s="108">
        <v>149</v>
      </c>
      <c r="AC34" s="163">
        <f>SUM(AC31,AC28,AC25,AC22,AC19,AC16,AC13,AC10,AC7)</f>
        <v>239</v>
      </c>
    </row>
    <row r="35" spans="1:29" ht="16.5" thickBot="1" x14ac:dyDescent="0.3">
      <c r="A35" s="115"/>
      <c r="B35" s="93" t="s">
        <v>23</v>
      </c>
      <c r="C35" s="83">
        <f t="shared" ref="C35:O35" si="29">+C8+C11+C14+C17+C20+C23+C26+C29</f>
        <v>725</v>
      </c>
      <c r="D35" s="68">
        <f t="shared" si="29"/>
        <v>758</v>
      </c>
      <c r="E35" s="68">
        <f t="shared" si="29"/>
        <v>795</v>
      </c>
      <c r="F35" s="68">
        <f t="shared" si="29"/>
        <v>767</v>
      </c>
      <c r="G35" s="68">
        <f t="shared" si="29"/>
        <v>720</v>
      </c>
      <c r="H35" s="68">
        <f t="shared" si="29"/>
        <v>878</v>
      </c>
      <c r="I35" s="68">
        <f t="shared" si="29"/>
        <v>923</v>
      </c>
      <c r="J35" s="100">
        <f t="shared" si="29"/>
        <v>926</v>
      </c>
      <c r="K35" s="101">
        <f t="shared" si="29"/>
        <v>1039</v>
      </c>
      <c r="L35" s="101">
        <f t="shared" si="29"/>
        <v>1099</v>
      </c>
      <c r="M35" s="101">
        <f t="shared" si="29"/>
        <v>977</v>
      </c>
      <c r="N35" s="102">
        <f t="shared" si="29"/>
        <v>914</v>
      </c>
      <c r="O35" s="124">
        <f t="shared" si="29"/>
        <v>878</v>
      </c>
      <c r="P35" s="124">
        <f>+P8+P11+P14+P17+P20+P23+P26+P29</f>
        <v>778</v>
      </c>
      <c r="Q35" s="124">
        <f t="shared" ref="Q35:W35" si="30">+Q8+Q11+Q14+Q17+Q20+Q23+Q26+Q29+Q32</f>
        <v>864</v>
      </c>
      <c r="R35" s="102">
        <f t="shared" si="30"/>
        <v>864</v>
      </c>
      <c r="S35" s="102">
        <f t="shared" si="30"/>
        <v>796</v>
      </c>
      <c r="T35" s="102">
        <f t="shared" si="30"/>
        <v>792</v>
      </c>
      <c r="U35" s="102">
        <f t="shared" si="30"/>
        <v>835</v>
      </c>
      <c r="V35" s="102">
        <f t="shared" si="30"/>
        <v>882</v>
      </c>
      <c r="W35" s="102">
        <f t="shared" si="30"/>
        <v>769</v>
      </c>
      <c r="X35" s="102">
        <v>649</v>
      </c>
      <c r="Y35" s="102">
        <v>745</v>
      </c>
      <c r="Z35" s="102">
        <v>795</v>
      </c>
      <c r="AA35" s="102">
        <v>863</v>
      </c>
      <c r="AB35" s="102">
        <v>739</v>
      </c>
      <c r="AC35" s="164">
        <f>SUM(AC33:AC34)</f>
        <v>868</v>
      </c>
    </row>
    <row r="36" spans="1:29" ht="105" customHeight="1" thickTop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42" spans="1:29" ht="86.25" customHeight="1" x14ac:dyDescent="0.2"/>
    <row r="43" spans="1:29" ht="86.25" customHeight="1" x14ac:dyDescent="0.2"/>
    <row r="47" spans="1:29" ht="33.75" customHeight="1" x14ac:dyDescent="0.2"/>
  </sheetData>
  <mergeCells count="1">
    <mergeCell ref="A2:Q2"/>
  </mergeCells>
  <phoneticPr fontId="0" type="noConversion"/>
  <printOptions horizontalCentered="1"/>
  <pageMargins left="0.65" right="0.75" top="0.75" bottom="0.75" header="0.5" footer="0.5"/>
  <pageSetup scale="97" orientation="portrait" r:id="rId1"/>
  <headerFooter alignWithMargins="0"/>
  <ignoredErrors>
    <ignoredError sqref="Q8:U32 V8:W8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5"/>
    <pageSetUpPr fitToPage="1"/>
  </sheetPr>
  <dimension ref="A1:J50"/>
  <sheetViews>
    <sheetView tabSelected="1" view="pageBreakPreview" topLeftCell="A13" zoomScaleNormal="100" zoomScaleSheetLayoutView="100" workbookViewId="0">
      <selection activeCell="L25" sqref="L25"/>
    </sheetView>
  </sheetViews>
  <sheetFormatPr defaultRowHeight="12.75" x14ac:dyDescent="0.2"/>
  <cols>
    <col min="1" max="1" width="28.5703125" bestFit="1" customWidth="1"/>
    <col min="2" max="2" width="9.140625" customWidth="1"/>
    <col min="3" max="4" width="9.140625" hidden="1" customWidth="1"/>
    <col min="5" max="5" width="0" hidden="1" customWidth="1"/>
  </cols>
  <sheetData>
    <row r="1" spans="1:10" x14ac:dyDescent="0.2">
      <c r="A1" s="167"/>
      <c r="B1" s="167"/>
      <c r="C1" s="167"/>
      <c r="D1" s="167"/>
      <c r="E1" s="167"/>
      <c r="F1" s="167"/>
      <c r="G1" s="167"/>
      <c r="H1" s="167"/>
      <c r="I1" s="167"/>
    </row>
    <row r="2" spans="1:10" ht="12" customHeight="1" thickBot="1" x14ac:dyDescent="0.25">
      <c r="A2" s="227"/>
      <c r="B2" s="227"/>
      <c r="C2" s="27"/>
      <c r="D2" s="27"/>
      <c r="E2" s="27"/>
      <c r="F2" s="27"/>
      <c r="G2" s="27"/>
      <c r="H2" s="27"/>
      <c r="I2" s="27"/>
    </row>
    <row r="3" spans="1:10" ht="18.75" thickTop="1" x14ac:dyDescent="0.25">
      <c r="A3" s="177" t="s">
        <v>53</v>
      </c>
      <c r="B3" s="174"/>
      <c r="C3" s="168"/>
      <c r="D3" s="168"/>
      <c r="E3" s="168"/>
      <c r="F3" s="168"/>
      <c r="G3" s="168"/>
      <c r="H3" s="168"/>
      <c r="I3" s="168"/>
      <c r="J3" s="168"/>
    </row>
    <row r="4" spans="1:10" ht="18" x14ac:dyDescent="0.25">
      <c r="A4" s="182" t="s">
        <v>52</v>
      </c>
      <c r="B4" s="175"/>
      <c r="C4" s="176"/>
      <c r="D4" s="176"/>
      <c r="E4" s="176"/>
      <c r="F4" s="176"/>
      <c r="G4" s="176"/>
      <c r="H4" s="176"/>
      <c r="I4" s="176"/>
      <c r="J4" s="176"/>
    </row>
    <row r="5" spans="1:10" ht="16.5" thickBot="1" x14ac:dyDescent="0.3">
      <c r="A5" s="109" t="s">
        <v>45</v>
      </c>
      <c r="B5" s="184" t="s">
        <v>28</v>
      </c>
      <c r="C5" s="95">
        <v>2012</v>
      </c>
      <c r="D5" s="95">
        <v>2013</v>
      </c>
      <c r="E5" s="95">
        <v>2015</v>
      </c>
      <c r="F5" s="95">
        <v>2021</v>
      </c>
      <c r="G5" s="95">
        <v>2022</v>
      </c>
      <c r="H5" s="95">
        <v>2023</v>
      </c>
      <c r="I5" s="95">
        <v>2024</v>
      </c>
      <c r="J5" s="158">
        <v>2025</v>
      </c>
    </row>
    <row r="6" spans="1:10" ht="18" customHeight="1" x14ac:dyDescent="0.25">
      <c r="A6" s="110" t="s">
        <v>22</v>
      </c>
      <c r="B6" s="89" t="s">
        <v>37</v>
      </c>
      <c r="C6" s="86">
        <v>0</v>
      </c>
      <c r="D6" s="86">
        <v>1</v>
      </c>
      <c r="E6" s="86">
        <v>1</v>
      </c>
      <c r="F6" s="86">
        <v>0</v>
      </c>
      <c r="G6" s="86">
        <v>1</v>
      </c>
      <c r="H6" s="86">
        <v>5</v>
      </c>
      <c r="I6" s="86">
        <v>11</v>
      </c>
      <c r="J6" s="159">
        <v>12</v>
      </c>
    </row>
    <row r="7" spans="1:10" ht="15" x14ac:dyDescent="0.2">
      <c r="A7" s="111"/>
      <c r="B7" s="89" t="s">
        <v>38</v>
      </c>
      <c r="C7" s="86">
        <v>0</v>
      </c>
      <c r="D7" s="86">
        <v>1</v>
      </c>
      <c r="E7" s="86">
        <v>3</v>
      </c>
      <c r="F7" s="86">
        <v>7</v>
      </c>
      <c r="G7" s="86">
        <v>5</v>
      </c>
      <c r="H7" s="86">
        <v>11</v>
      </c>
      <c r="I7" s="86">
        <v>17</v>
      </c>
      <c r="J7" s="159">
        <v>21</v>
      </c>
    </row>
    <row r="8" spans="1:10" ht="15.75" thickBot="1" x14ac:dyDescent="0.25">
      <c r="A8" s="112"/>
      <c r="B8" s="90" t="s">
        <v>23</v>
      </c>
      <c r="C8" s="161">
        <f>SUM(C6:C7)</f>
        <v>0</v>
      </c>
      <c r="D8" s="161">
        <f t="shared" ref="D8" si="0">SUM(D6:D7)</f>
        <v>2</v>
      </c>
      <c r="E8" s="161">
        <v>4</v>
      </c>
      <c r="F8" s="161">
        <v>7</v>
      </c>
      <c r="G8" s="161">
        <v>6</v>
      </c>
      <c r="H8" s="161">
        <v>16</v>
      </c>
      <c r="I8" s="161">
        <v>28</v>
      </c>
      <c r="J8" s="160">
        <f>SUM(J6:J7)</f>
        <v>33</v>
      </c>
    </row>
    <row r="9" spans="1:10" ht="15.75" x14ac:dyDescent="0.25">
      <c r="A9" s="185" t="s">
        <v>58</v>
      </c>
      <c r="B9" s="91" t="s">
        <v>37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159">
        <v>0</v>
      </c>
    </row>
    <row r="10" spans="1:10" ht="15" x14ac:dyDescent="0.2">
      <c r="A10" s="111"/>
      <c r="B10" s="89" t="s">
        <v>38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159">
        <v>0</v>
      </c>
    </row>
    <row r="11" spans="1:10" ht="15.75" thickBot="1" x14ac:dyDescent="0.25">
      <c r="A11" s="112"/>
      <c r="B11" s="90" t="s">
        <v>23</v>
      </c>
      <c r="C11" s="161">
        <f t="shared" ref="C11:D11" si="1">SUM(C9:C10)</f>
        <v>0</v>
      </c>
      <c r="D11" s="161">
        <f t="shared" si="1"/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0">
        <f>SUM(J9:J10)</f>
        <v>0</v>
      </c>
    </row>
    <row r="12" spans="1:10" ht="15.75" x14ac:dyDescent="0.25">
      <c r="A12" s="113" t="s">
        <v>24</v>
      </c>
      <c r="B12" s="91" t="s">
        <v>37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159">
        <v>0</v>
      </c>
    </row>
    <row r="13" spans="1:10" ht="15" x14ac:dyDescent="0.2">
      <c r="A13" s="111"/>
      <c r="B13" s="89" t="s">
        <v>38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159">
        <v>0</v>
      </c>
    </row>
    <row r="14" spans="1:10" ht="15.75" thickBot="1" x14ac:dyDescent="0.25">
      <c r="A14" s="112"/>
      <c r="B14" s="90" t="s">
        <v>23</v>
      </c>
      <c r="C14" s="161">
        <f t="shared" ref="C14:D14" si="2">SUM(C12:C13)</f>
        <v>0</v>
      </c>
      <c r="D14" s="161">
        <f t="shared" si="2"/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0">
        <f>SUM(J12:J13)</f>
        <v>0</v>
      </c>
    </row>
    <row r="15" spans="1:10" ht="15.75" x14ac:dyDescent="0.25">
      <c r="A15" s="113" t="s">
        <v>30</v>
      </c>
      <c r="B15" s="91" t="s">
        <v>37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159">
        <v>0</v>
      </c>
    </row>
    <row r="16" spans="1:10" ht="15" x14ac:dyDescent="0.2">
      <c r="A16" s="111"/>
      <c r="B16" s="89" t="s">
        <v>38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159">
        <v>0</v>
      </c>
    </row>
    <row r="17" spans="1:10" ht="15.75" thickBot="1" x14ac:dyDescent="0.25">
      <c r="A17" s="112"/>
      <c r="B17" s="90" t="s">
        <v>23</v>
      </c>
      <c r="C17" s="161">
        <f t="shared" ref="C17:D17" si="3">SUM(C15:C16)</f>
        <v>0</v>
      </c>
      <c r="D17" s="161">
        <f t="shared" si="3"/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0">
        <f>SUM(J15:J16)</f>
        <v>0</v>
      </c>
    </row>
    <row r="18" spans="1:10" ht="15.75" x14ac:dyDescent="0.25">
      <c r="A18" s="113" t="s">
        <v>25</v>
      </c>
      <c r="B18" s="91" t="s">
        <v>37</v>
      </c>
      <c r="C18" s="86">
        <v>13</v>
      </c>
      <c r="D18" s="86">
        <v>20</v>
      </c>
      <c r="E18" s="86">
        <v>13</v>
      </c>
      <c r="F18" s="86">
        <v>16</v>
      </c>
      <c r="G18" s="86">
        <v>19</v>
      </c>
      <c r="H18" s="86">
        <v>14</v>
      </c>
      <c r="I18" s="86">
        <v>8</v>
      </c>
      <c r="J18" s="159">
        <v>5</v>
      </c>
    </row>
    <row r="19" spans="1:10" ht="15" x14ac:dyDescent="0.2">
      <c r="A19" s="111"/>
      <c r="B19" s="89" t="s">
        <v>38</v>
      </c>
      <c r="C19" s="86">
        <v>4</v>
      </c>
      <c r="D19" s="86">
        <v>9</v>
      </c>
      <c r="E19" s="86">
        <v>14</v>
      </c>
      <c r="F19" s="86">
        <v>43</v>
      </c>
      <c r="G19" s="86">
        <v>44</v>
      </c>
      <c r="H19" s="86">
        <v>34</v>
      </c>
      <c r="I19" s="86">
        <v>17</v>
      </c>
      <c r="J19" s="159">
        <v>7</v>
      </c>
    </row>
    <row r="20" spans="1:10" ht="15.75" thickBot="1" x14ac:dyDescent="0.25">
      <c r="A20" s="112"/>
      <c r="B20" s="90" t="s">
        <v>23</v>
      </c>
      <c r="C20" s="161">
        <f t="shared" ref="C20:D20" si="4">SUM(C18:C19)</f>
        <v>17</v>
      </c>
      <c r="D20" s="161">
        <f t="shared" si="4"/>
        <v>29</v>
      </c>
      <c r="E20" s="161">
        <v>27</v>
      </c>
      <c r="F20" s="161">
        <v>59</v>
      </c>
      <c r="G20" s="161">
        <v>63</v>
      </c>
      <c r="H20" s="161">
        <v>48</v>
      </c>
      <c r="I20" s="161">
        <v>25</v>
      </c>
      <c r="J20" s="160">
        <f>SUM(J18:J19)</f>
        <v>12</v>
      </c>
    </row>
    <row r="21" spans="1:10" ht="15.75" x14ac:dyDescent="0.25">
      <c r="A21" s="113" t="s">
        <v>26</v>
      </c>
      <c r="B21" s="91" t="s">
        <v>37</v>
      </c>
      <c r="C21" s="86">
        <v>0</v>
      </c>
      <c r="D21" s="86">
        <v>0</v>
      </c>
      <c r="E21" s="86">
        <v>1</v>
      </c>
      <c r="F21" s="86">
        <v>0</v>
      </c>
      <c r="G21" s="86">
        <v>0</v>
      </c>
      <c r="H21" s="86">
        <v>0</v>
      </c>
      <c r="I21" s="86">
        <v>0</v>
      </c>
      <c r="J21" s="159">
        <v>0</v>
      </c>
    </row>
    <row r="22" spans="1:10" ht="15" x14ac:dyDescent="0.2">
      <c r="A22" s="111"/>
      <c r="B22" s="89" t="s">
        <v>38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159">
        <v>0</v>
      </c>
    </row>
    <row r="23" spans="1:10" ht="15.75" thickBot="1" x14ac:dyDescent="0.25">
      <c r="A23" s="112"/>
      <c r="B23" s="90" t="s">
        <v>23</v>
      </c>
      <c r="C23" s="161">
        <f t="shared" ref="C23:D23" si="5">SUM(C21:C22)</f>
        <v>0</v>
      </c>
      <c r="D23" s="161">
        <f t="shared" si="5"/>
        <v>0</v>
      </c>
      <c r="E23" s="161">
        <v>1</v>
      </c>
      <c r="F23" s="161">
        <v>0</v>
      </c>
      <c r="G23" s="161">
        <v>0</v>
      </c>
      <c r="H23" s="161">
        <v>0</v>
      </c>
      <c r="I23" s="161">
        <v>0</v>
      </c>
      <c r="J23" s="160">
        <f>SUM(J21:J22)</f>
        <v>0</v>
      </c>
    </row>
    <row r="24" spans="1:10" ht="15.75" x14ac:dyDescent="0.25">
      <c r="A24" s="206" t="s">
        <v>57</v>
      </c>
      <c r="B24" s="91" t="s">
        <v>37</v>
      </c>
      <c r="C24" s="86">
        <v>0</v>
      </c>
      <c r="D24" s="86">
        <v>0</v>
      </c>
      <c r="E24" s="87">
        <v>0</v>
      </c>
      <c r="F24" s="87">
        <v>6</v>
      </c>
      <c r="G24" s="87">
        <v>7</v>
      </c>
      <c r="H24" s="87">
        <v>7</v>
      </c>
      <c r="I24" s="87">
        <v>18</v>
      </c>
      <c r="J24" s="159">
        <v>26</v>
      </c>
    </row>
    <row r="25" spans="1:10" ht="15" x14ac:dyDescent="0.2">
      <c r="A25" s="111"/>
      <c r="B25" s="89" t="s">
        <v>38</v>
      </c>
      <c r="C25" s="86">
        <v>0</v>
      </c>
      <c r="D25" s="86">
        <v>0</v>
      </c>
      <c r="E25" s="86">
        <v>0</v>
      </c>
      <c r="F25" s="86">
        <v>6</v>
      </c>
      <c r="G25" s="86">
        <v>2</v>
      </c>
      <c r="H25" s="86">
        <v>6</v>
      </c>
      <c r="I25" s="86">
        <v>14</v>
      </c>
      <c r="J25" s="159">
        <v>19</v>
      </c>
    </row>
    <row r="26" spans="1:10" ht="15.75" thickBot="1" x14ac:dyDescent="0.25">
      <c r="A26" s="112"/>
      <c r="B26" s="90" t="s">
        <v>23</v>
      </c>
      <c r="C26" s="161">
        <f t="shared" ref="C26:D26" si="6">SUM(C24:C25)</f>
        <v>0</v>
      </c>
      <c r="D26" s="161">
        <f t="shared" si="6"/>
        <v>0</v>
      </c>
      <c r="E26" s="161">
        <v>0</v>
      </c>
      <c r="F26" s="161">
        <v>12</v>
      </c>
      <c r="G26" s="161">
        <v>9</v>
      </c>
      <c r="H26" s="161">
        <v>13</v>
      </c>
      <c r="I26" s="161">
        <v>32</v>
      </c>
      <c r="J26" s="160">
        <f>SUM(J24:J25)</f>
        <v>45</v>
      </c>
    </row>
    <row r="27" spans="1:10" ht="15.75" x14ac:dyDescent="0.25">
      <c r="A27" s="113" t="s">
        <v>27</v>
      </c>
      <c r="B27" s="91" t="s">
        <v>37</v>
      </c>
      <c r="C27" s="86">
        <v>0</v>
      </c>
      <c r="D27" s="86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159">
        <v>0</v>
      </c>
    </row>
    <row r="28" spans="1:10" ht="15" x14ac:dyDescent="0.2">
      <c r="A28" s="111"/>
      <c r="B28" s="89" t="s">
        <v>38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159">
        <v>0</v>
      </c>
    </row>
    <row r="29" spans="1:10" ht="15.75" thickBot="1" x14ac:dyDescent="0.25">
      <c r="A29" s="112"/>
      <c r="B29" s="90" t="s">
        <v>23</v>
      </c>
      <c r="C29" s="161">
        <f t="shared" ref="C29:D29" si="7">SUM(C27:C28)</f>
        <v>0</v>
      </c>
      <c r="D29" s="161">
        <f t="shared" si="7"/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0">
        <f>SUM(J27:J28)</f>
        <v>0</v>
      </c>
    </row>
    <row r="30" spans="1:10" ht="15.75" x14ac:dyDescent="0.25">
      <c r="A30" s="186" t="s">
        <v>20</v>
      </c>
      <c r="B30" s="92" t="s">
        <v>37</v>
      </c>
      <c r="C30" s="86">
        <v>0</v>
      </c>
      <c r="D30" s="86">
        <v>0</v>
      </c>
      <c r="E30" s="86">
        <v>3</v>
      </c>
      <c r="F30" s="86">
        <v>4</v>
      </c>
      <c r="G30" s="86">
        <v>7</v>
      </c>
      <c r="H30" s="86">
        <v>6</v>
      </c>
      <c r="I30" s="86">
        <v>5</v>
      </c>
      <c r="J30" s="159">
        <v>4</v>
      </c>
    </row>
    <row r="31" spans="1:10" ht="15" x14ac:dyDescent="0.2">
      <c r="A31" s="111"/>
      <c r="B31" s="89" t="s">
        <v>38</v>
      </c>
      <c r="C31" s="86">
        <v>0</v>
      </c>
      <c r="D31" s="86">
        <v>0</v>
      </c>
      <c r="E31" s="86">
        <v>11</v>
      </c>
      <c r="F31" s="86">
        <v>18</v>
      </c>
      <c r="G31" s="86">
        <v>21</v>
      </c>
      <c r="H31" s="86">
        <v>25</v>
      </c>
      <c r="I31" s="86">
        <v>26</v>
      </c>
      <c r="J31" s="159">
        <v>27</v>
      </c>
    </row>
    <row r="32" spans="1:10" ht="15.75" thickBot="1" x14ac:dyDescent="0.25">
      <c r="A32" s="112"/>
      <c r="B32" s="90" t="s">
        <v>23</v>
      </c>
      <c r="C32" s="165">
        <v>0</v>
      </c>
      <c r="D32" s="165">
        <v>0</v>
      </c>
      <c r="E32" s="165">
        <v>14</v>
      </c>
      <c r="F32" s="165">
        <v>22</v>
      </c>
      <c r="G32" s="165">
        <v>28</v>
      </c>
      <c r="H32" s="165">
        <v>31</v>
      </c>
      <c r="I32" s="165">
        <v>31</v>
      </c>
      <c r="J32" s="160">
        <f>SUM(J30:J31)</f>
        <v>31</v>
      </c>
    </row>
    <row r="33" spans="1:10" ht="15.75" x14ac:dyDescent="0.25">
      <c r="A33" s="185" t="s">
        <v>56</v>
      </c>
      <c r="B33" s="91" t="s">
        <v>37</v>
      </c>
      <c r="C33" s="188"/>
      <c r="D33" s="188"/>
      <c r="E33" s="188"/>
      <c r="F33" s="86">
        <v>4</v>
      </c>
      <c r="G33" s="86">
        <v>3</v>
      </c>
      <c r="H33" s="86">
        <v>4</v>
      </c>
      <c r="I33" s="86">
        <v>6</v>
      </c>
      <c r="J33" s="159">
        <v>9</v>
      </c>
    </row>
    <row r="34" spans="1:10" ht="15" x14ac:dyDescent="0.2">
      <c r="A34" s="111"/>
      <c r="B34" s="89" t="s">
        <v>38</v>
      </c>
      <c r="C34" s="200"/>
      <c r="D34" s="188"/>
      <c r="E34" s="188"/>
      <c r="F34" s="86">
        <v>19</v>
      </c>
      <c r="G34" s="86">
        <v>17</v>
      </c>
      <c r="H34" s="86">
        <v>12</v>
      </c>
      <c r="I34" s="86">
        <v>23</v>
      </c>
      <c r="J34" s="159">
        <v>27</v>
      </c>
    </row>
    <row r="35" spans="1:10" ht="15.75" thickBot="1" x14ac:dyDescent="0.25">
      <c r="A35" s="112"/>
      <c r="B35" s="90" t="s">
        <v>23</v>
      </c>
      <c r="C35" s="199"/>
      <c r="D35" s="199"/>
      <c r="E35" s="199"/>
      <c r="F35" s="165">
        <v>23</v>
      </c>
      <c r="G35" s="165">
        <v>20</v>
      </c>
      <c r="H35" s="165">
        <v>16</v>
      </c>
      <c r="I35" s="165">
        <v>29</v>
      </c>
      <c r="J35" s="160">
        <f>SUM(J33:J34)</f>
        <v>36</v>
      </c>
    </row>
    <row r="36" spans="1:10" ht="15.75" x14ac:dyDescent="0.25">
      <c r="A36" s="185" t="s">
        <v>54</v>
      </c>
      <c r="B36" s="149" t="s">
        <v>37</v>
      </c>
      <c r="C36" s="154">
        <f>C6+C9+C12+C15+C18+C21+C24+C27+C30</f>
        <v>13</v>
      </c>
      <c r="D36" s="154">
        <f t="shared" ref="D36" si="8">D6+D9+D12+D15+D18+D21+D24+D27+D30</f>
        <v>21</v>
      </c>
      <c r="E36" s="154">
        <v>18</v>
      </c>
      <c r="F36" s="154">
        <v>30</v>
      </c>
      <c r="G36" s="154">
        <v>37</v>
      </c>
      <c r="H36" s="154">
        <v>36</v>
      </c>
      <c r="I36" s="154">
        <v>48</v>
      </c>
      <c r="J36" s="162">
        <f>SUM(J6,J9,J12,J15,J18,J21,J24,J27,J30,J33)</f>
        <v>56</v>
      </c>
    </row>
    <row r="37" spans="1:10" ht="15.75" x14ac:dyDescent="0.25">
      <c r="A37" s="111"/>
      <c r="B37" s="103" t="s">
        <v>38</v>
      </c>
      <c r="C37" s="108">
        <f>C7+C10+C13+C16+C19+C22+C25+C28+C31</f>
        <v>4</v>
      </c>
      <c r="D37" s="108">
        <f t="shared" ref="D37" si="9">D7+D10+D13+D16+D19+D22+D25+D28+D31</f>
        <v>10</v>
      </c>
      <c r="E37" s="108">
        <v>28</v>
      </c>
      <c r="F37" s="108">
        <v>93</v>
      </c>
      <c r="G37" s="108">
        <v>89</v>
      </c>
      <c r="H37" s="108">
        <v>88</v>
      </c>
      <c r="I37" s="108">
        <v>97</v>
      </c>
      <c r="J37" s="163">
        <f>SUM(J7,J10,J13,J16,J19,J22,J25,J28,J31,J34)</f>
        <v>101</v>
      </c>
    </row>
    <row r="38" spans="1:10" ht="16.5" thickBot="1" x14ac:dyDescent="0.3">
      <c r="A38" s="115"/>
      <c r="B38" s="93" t="s">
        <v>23</v>
      </c>
      <c r="C38" s="102">
        <f>+C8+C11+C14+C17+C20+C23+C26+C29+C32</f>
        <v>17</v>
      </c>
      <c r="D38" s="102">
        <f t="shared" ref="D38" si="10">+D8+D11+D14+D17+D20+D23+D26+D29+D32</f>
        <v>31</v>
      </c>
      <c r="E38" s="102">
        <v>46</v>
      </c>
      <c r="F38" s="102">
        <v>123</v>
      </c>
      <c r="G38" s="102">
        <v>126</v>
      </c>
      <c r="H38" s="102">
        <v>124</v>
      </c>
      <c r="I38" s="102">
        <v>145</v>
      </c>
      <c r="J38" s="164">
        <f>SUM(J36:J37)</f>
        <v>157</v>
      </c>
    </row>
    <row r="39" spans="1:10" ht="105" customHeight="1" thickTop="1" x14ac:dyDescent="0.2">
      <c r="A39" s="21"/>
      <c r="B39" s="21"/>
      <c r="C39" s="21"/>
      <c r="D39" s="21"/>
      <c r="E39" s="21"/>
      <c r="F39" s="21"/>
      <c r="G39" s="21"/>
      <c r="H39" s="21"/>
      <c r="I39" s="21"/>
    </row>
    <row r="45" spans="1:10" ht="86.25" customHeight="1" x14ac:dyDescent="0.2"/>
    <row r="46" spans="1:10" ht="86.25" customHeight="1" x14ac:dyDescent="0.2"/>
    <row r="50" ht="33.75" customHeight="1" x14ac:dyDescent="0.2"/>
  </sheetData>
  <mergeCells count="1">
    <mergeCell ref="A2:B2"/>
  </mergeCells>
  <printOptions horizontalCentered="1"/>
  <pageMargins left="0.65" right="0.75" top="0.75" bottom="0.75" header="0.5" footer="0.5"/>
  <pageSetup orientation="portrait" r:id="rId1"/>
  <headerFooter alignWithMargins="0"/>
  <ignoredErrors>
    <ignoredError sqref="C8:D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>
    <tabColor indexed="45"/>
    <pageSetUpPr fitToPage="1"/>
  </sheetPr>
  <dimension ref="A1:AF53"/>
  <sheetViews>
    <sheetView view="pageBreakPreview" zoomScale="95" zoomScaleNormal="100" zoomScaleSheetLayoutView="95" workbookViewId="0">
      <selection activeCell="AF8" sqref="AF8"/>
    </sheetView>
  </sheetViews>
  <sheetFormatPr defaultRowHeight="12.75" x14ac:dyDescent="0.2"/>
  <cols>
    <col min="1" max="1" width="3.7109375" customWidth="1"/>
    <col min="2" max="2" width="20.7109375" customWidth="1"/>
    <col min="3" max="27" width="0" hidden="1" customWidth="1"/>
  </cols>
  <sheetData>
    <row r="1" spans="1:32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22.5" customHeight="1" x14ac:dyDescent="0.35">
      <c r="A2" s="221" t="s">
        <v>40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40"/>
      <c r="V2" s="140"/>
      <c r="W2" s="140"/>
      <c r="X2" s="140"/>
      <c r="Y2" s="140"/>
      <c r="Z2" s="140"/>
      <c r="AA2" s="140"/>
      <c r="AB2" s="140"/>
      <c r="AC2" s="140"/>
      <c r="AD2" s="140"/>
    </row>
    <row r="3" spans="1:32" ht="22.5" customHeight="1" x14ac:dyDescent="0.35">
      <c r="A3" s="139" t="s">
        <v>41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40"/>
      <c r="X3" s="140"/>
      <c r="Y3" s="140"/>
      <c r="Z3" s="140"/>
      <c r="AA3" s="140"/>
      <c r="AB3" s="140"/>
      <c r="AC3" s="140"/>
      <c r="AD3" s="140"/>
      <c r="AE3" s="140"/>
    </row>
    <row r="4" spans="1:32" ht="13.5" thickBot="1" x14ac:dyDescent="0.25"/>
    <row r="5" spans="1:32" ht="13.5" thickTop="1" x14ac:dyDescent="0.2">
      <c r="B5" s="31"/>
      <c r="C5" s="3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33"/>
    </row>
    <row r="6" spans="1:32" ht="13.5" thickBot="1" x14ac:dyDescent="0.25">
      <c r="B6" s="34" t="s">
        <v>31</v>
      </c>
      <c r="C6" s="50" t="s">
        <v>1</v>
      </c>
      <c r="D6" s="51" t="s">
        <v>2</v>
      </c>
      <c r="E6" s="52" t="s">
        <v>3</v>
      </c>
      <c r="F6" s="51" t="s">
        <v>4</v>
      </c>
      <c r="G6" s="52" t="s">
        <v>5</v>
      </c>
      <c r="H6" s="51" t="s">
        <v>6</v>
      </c>
      <c r="I6" s="52" t="s">
        <v>21</v>
      </c>
      <c r="J6" s="51">
        <v>1997</v>
      </c>
      <c r="K6" s="38">
        <v>1998</v>
      </c>
      <c r="L6" s="38">
        <v>1999</v>
      </c>
      <c r="M6" s="38">
        <v>2000</v>
      </c>
      <c r="N6" s="38">
        <v>2001</v>
      </c>
      <c r="O6" s="37">
        <v>2002</v>
      </c>
      <c r="P6" s="37">
        <v>2003</v>
      </c>
      <c r="Q6" s="37">
        <v>2004</v>
      </c>
      <c r="R6" s="36">
        <v>2005</v>
      </c>
      <c r="S6" s="37">
        <v>2006</v>
      </c>
      <c r="T6" s="36">
        <v>2007</v>
      </c>
      <c r="U6" s="37">
        <v>2008</v>
      </c>
      <c r="V6" s="37">
        <v>2009</v>
      </c>
      <c r="W6" s="37">
        <v>2010</v>
      </c>
      <c r="X6" s="37">
        <v>2011</v>
      </c>
      <c r="Y6" s="37">
        <v>2012</v>
      </c>
      <c r="Z6" s="37">
        <v>2013</v>
      </c>
      <c r="AA6" s="37">
        <v>2014</v>
      </c>
      <c r="AB6" s="37">
        <v>2021</v>
      </c>
      <c r="AC6" s="37">
        <v>2022</v>
      </c>
      <c r="AD6" s="37">
        <v>2023</v>
      </c>
      <c r="AE6" s="36">
        <v>2024</v>
      </c>
      <c r="AF6" s="156">
        <v>2025</v>
      </c>
    </row>
    <row r="7" spans="1:32" ht="13.5" thickTop="1" x14ac:dyDescent="0.2">
      <c r="B7" s="31"/>
      <c r="C7" s="53"/>
      <c r="D7" s="54"/>
      <c r="E7" s="55"/>
      <c r="F7" s="54"/>
      <c r="G7" s="55"/>
      <c r="H7" s="54"/>
      <c r="I7" s="55"/>
      <c r="J7" s="56"/>
      <c r="K7" s="56"/>
      <c r="L7" s="56"/>
      <c r="M7" s="41"/>
      <c r="N7" s="56"/>
      <c r="O7" s="55"/>
      <c r="P7" s="25"/>
      <c r="Q7" s="25"/>
      <c r="R7" s="54"/>
      <c r="S7" s="55"/>
      <c r="T7" s="54"/>
      <c r="U7" s="55"/>
      <c r="V7" s="55"/>
      <c r="W7" s="55"/>
      <c r="X7" s="55"/>
      <c r="Y7" s="55"/>
      <c r="Z7" s="55"/>
      <c r="AA7" s="55"/>
      <c r="AB7" s="55"/>
      <c r="AC7" s="55"/>
      <c r="AD7" s="55"/>
      <c r="AF7" s="209"/>
    </row>
    <row r="8" spans="1:32" x14ac:dyDescent="0.2">
      <c r="B8" s="42" t="s">
        <v>7</v>
      </c>
      <c r="C8" s="43">
        <f t="shared" ref="C8:Q8" si="0">SUM(C9:C10)</f>
        <v>870</v>
      </c>
      <c r="D8" s="1">
        <f t="shared" si="0"/>
        <v>810</v>
      </c>
      <c r="E8" s="2">
        <f t="shared" si="0"/>
        <v>715</v>
      </c>
      <c r="F8" s="1">
        <f t="shared" si="0"/>
        <v>705</v>
      </c>
      <c r="G8" s="2">
        <f t="shared" si="0"/>
        <v>717</v>
      </c>
      <c r="H8" s="1">
        <f t="shared" si="0"/>
        <v>705</v>
      </c>
      <c r="I8" s="2">
        <f t="shared" si="0"/>
        <v>717</v>
      </c>
      <c r="J8" s="17">
        <f t="shared" si="0"/>
        <v>751</v>
      </c>
      <c r="K8" s="17">
        <f t="shared" si="0"/>
        <v>726</v>
      </c>
      <c r="L8" s="17">
        <f t="shared" si="0"/>
        <v>721</v>
      </c>
      <c r="M8" s="17">
        <f t="shared" si="0"/>
        <v>737</v>
      </c>
      <c r="N8" s="17">
        <f t="shared" si="0"/>
        <v>743</v>
      </c>
      <c r="O8" s="2">
        <f t="shared" si="0"/>
        <v>745</v>
      </c>
      <c r="P8" s="2">
        <f t="shared" si="0"/>
        <v>747</v>
      </c>
      <c r="Q8" s="2">
        <f t="shared" si="0"/>
        <v>711</v>
      </c>
      <c r="R8" s="1">
        <f t="shared" ref="R8:W8" si="1">SUM(R9:R10)</f>
        <v>718</v>
      </c>
      <c r="S8" s="2">
        <f t="shared" si="1"/>
        <v>641</v>
      </c>
      <c r="T8" s="1">
        <f t="shared" si="1"/>
        <v>545</v>
      </c>
      <c r="U8" s="2">
        <f t="shared" si="1"/>
        <v>490</v>
      </c>
      <c r="V8" s="2">
        <f t="shared" si="1"/>
        <v>574</v>
      </c>
      <c r="W8" s="2">
        <f t="shared" si="1"/>
        <v>663</v>
      </c>
      <c r="X8" s="2">
        <f t="shared" ref="X8:AA8" si="2">SUM(X9:X10)</f>
        <v>535</v>
      </c>
      <c r="Y8" s="2">
        <f t="shared" si="2"/>
        <v>429</v>
      </c>
      <c r="Z8" s="2">
        <f t="shared" si="2"/>
        <v>415</v>
      </c>
      <c r="AA8" s="2">
        <f t="shared" si="2"/>
        <v>460</v>
      </c>
      <c r="AB8" s="2">
        <v>523</v>
      </c>
      <c r="AC8" s="2">
        <v>515</v>
      </c>
      <c r="AD8" s="2">
        <v>501</v>
      </c>
      <c r="AE8" s="1">
        <v>674</v>
      </c>
      <c r="AF8" s="211">
        <f>SUM(AF9:AF10)</f>
        <v>686</v>
      </c>
    </row>
    <row r="9" spans="1:32" x14ac:dyDescent="0.2">
      <c r="B9" s="44" t="s">
        <v>8</v>
      </c>
      <c r="C9" s="45">
        <v>824</v>
      </c>
      <c r="D9" s="3">
        <v>770</v>
      </c>
      <c r="E9" s="4">
        <v>674</v>
      </c>
      <c r="F9" s="3">
        <v>680</v>
      </c>
      <c r="G9" s="4">
        <v>680</v>
      </c>
      <c r="H9" s="3">
        <v>670</v>
      </c>
      <c r="I9" s="4">
        <v>678</v>
      </c>
      <c r="J9" s="14">
        <v>702</v>
      </c>
      <c r="K9" s="14">
        <v>659</v>
      </c>
      <c r="L9" s="14">
        <v>677</v>
      </c>
      <c r="M9" s="11">
        <v>685</v>
      </c>
      <c r="N9" s="15">
        <v>692</v>
      </c>
      <c r="O9" s="25">
        <v>708</v>
      </c>
      <c r="P9" s="25">
        <v>703</v>
      </c>
      <c r="Q9" s="23">
        <v>686</v>
      </c>
      <c r="R9" s="69">
        <v>700</v>
      </c>
      <c r="S9" s="23">
        <v>628</v>
      </c>
      <c r="T9" s="69">
        <v>528</v>
      </c>
      <c r="U9" s="23">
        <v>482</v>
      </c>
      <c r="V9" s="23">
        <v>558</v>
      </c>
      <c r="W9" s="23">
        <v>647</v>
      </c>
      <c r="X9" s="23">
        <v>491</v>
      </c>
      <c r="Y9" s="23">
        <v>417</v>
      </c>
      <c r="Z9" s="23">
        <v>403</v>
      </c>
      <c r="AA9" s="23">
        <v>444</v>
      </c>
      <c r="AB9" s="23">
        <v>515</v>
      </c>
      <c r="AC9" s="23">
        <v>509</v>
      </c>
      <c r="AD9" s="23">
        <v>493</v>
      </c>
      <c r="AE9">
        <v>659</v>
      </c>
      <c r="AF9" s="207">
        <v>678</v>
      </c>
    </row>
    <row r="10" spans="1:32" x14ac:dyDescent="0.2">
      <c r="B10" s="44" t="s">
        <v>9</v>
      </c>
      <c r="C10" s="45">
        <v>46</v>
      </c>
      <c r="D10" s="3">
        <v>40</v>
      </c>
      <c r="E10" s="4">
        <v>41</v>
      </c>
      <c r="F10" s="3">
        <v>25</v>
      </c>
      <c r="G10" s="4">
        <v>37</v>
      </c>
      <c r="H10" s="3">
        <v>35</v>
      </c>
      <c r="I10" s="4">
        <v>39</v>
      </c>
      <c r="J10" s="14">
        <v>49</v>
      </c>
      <c r="K10" s="14">
        <v>67</v>
      </c>
      <c r="L10" s="14">
        <v>44</v>
      </c>
      <c r="M10" s="11">
        <v>52</v>
      </c>
      <c r="N10" s="15">
        <v>51</v>
      </c>
      <c r="O10" s="25">
        <v>37</v>
      </c>
      <c r="P10" s="25">
        <v>44</v>
      </c>
      <c r="Q10" s="9">
        <v>25</v>
      </c>
      <c r="R10" s="8">
        <v>18</v>
      </c>
      <c r="S10" s="9">
        <v>13</v>
      </c>
      <c r="T10" s="8">
        <v>17</v>
      </c>
      <c r="U10" s="9">
        <v>8</v>
      </c>
      <c r="V10" s="9">
        <v>16</v>
      </c>
      <c r="W10" s="9">
        <v>16</v>
      </c>
      <c r="X10" s="9">
        <v>44</v>
      </c>
      <c r="Y10" s="9">
        <v>12</v>
      </c>
      <c r="Z10" s="9">
        <v>12</v>
      </c>
      <c r="AA10" s="9">
        <v>16</v>
      </c>
      <c r="AB10" s="9">
        <v>8</v>
      </c>
      <c r="AC10" s="9">
        <v>6</v>
      </c>
      <c r="AD10" s="9">
        <v>8</v>
      </c>
      <c r="AE10">
        <v>15</v>
      </c>
      <c r="AF10" s="207">
        <v>8</v>
      </c>
    </row>
    <row r="11" spans="1:32" x14ac:dyDescent="0.2">
      <c r="B11" s="44" t="s">
        <v>10</v>
      </c>
      <c r="C11" s="45">
        <v>377</v>
      </c>
      <c r="D11" s="3">
        <v>368</v>
      </c>
      <c r="E11" s="4">
        <v>340</v>
      </c>
      <c r="F11" s="3">
        <v>326</v>
      </c>
      <c r="G11" s="4">
        <v>344</v>
      </c>
      <c r="H11" s="3">
        <v>360</v>
      </c>
      <c r="I11" s="4">
        <v>394</v>
      </c>
      <c r="J11" s="14">
        <v>420</v>
      </c>
      <c r="K11" s="14">
        <v>404</v>
      </c>
      <c r="L11" s="14">
        <v>402</v>
      </c>
      <c r="M11" s="11">
        <v>401</v>
      </c>
      <c r="N11" s="15">
        <v>405</v>
      </c>
      <c r="O11" s="25">
        <v>387</v>
      </c>
      <c r="P11" s="25">
        <v>380</v>
      </c>
      <c r="Q11" s="9">
        <v>372</v>
      </c>
      <c r="R11" s="8">
        <v>379</v>
      </c>
      <c r="S11" s="9">
        <v>312</v>
      </c>
      <c r="T11" s="8">
        <v>254</v>
      </c>
      <c r="U11" s="9">
        <v>225</v>
      </c>
      <c r="V11" s="9">
        <v>259</v>
      </c>
      <c r="W11" s="9">
        <v>288</v>
      </c>
      <c r="X11" s="9">
        <v>230</v>
      </c>
      <c r="Y11" s="9">
        <v>184</v>
      </c>
      <c r="Z11" s="9">
        <v>183</v>
      </c>
      <c r="AA11" s="9">
        <v>200</v>
      </c>
      <c r="AB11" s="9">
        <v>270</v>
      </c>
      <c r="AC11" s="9">
        <v>274</v>
      </c>
      <c r="AD11" s="9">
        <v>289</v>
      </c>
      <c r="AE11">
        <v>379</v>
      </c>
      <c r="AF11" s="207">
        <v>370</v>
      </c>
    </row>
    <row r="12" spans="1:32" x14ac:dyDescent="0.2">
      <c r="B12" s="44" t="s">
        <v>11</v>
      </c>
      <c r="C12" s="45">
        <v>493</v>
      </c>
      <c r="D12" s="3">
        <v>442</v>
      </c>
      <c r="E12" s="4">
        <v>375</v>
      </c>
      <c r="F12" s="3">
        <v>379</v>
      </c>
      <c r="G12" s="4">
        <v>373</v>
      </c>
      <c r="H12" s="3">
        <v>345</v>
      </c>
      <c r="I12" s="4">
        <v>323</v>
      </c>
      <c r="J12" s="14">
        <v>331</v>
      </c>
      <c r="K12" s="14">
        <v>322</v>
      </c>
      <c r="L12" s="14">
        <v>319</v>
      </c>
      <c r="M12" s="11">
        <v>336</v>
      </c>
      <c r="N12" s="15">
        <v>338</v>
      </c>
      <c r="O12" s="25">
        <v>358</v>
      </c>
      <c r="P12" s="25">
        <v>367</v>
      </c>
      <c r="Q12" s="9">
        <v>339</v>
      </c>
      <c r="R12" s="8">
        <v>339</v>
      </c>
      <c r="S12" s="9">
        <v>329</v>
      </c>
      <c r="T12" s="8">
        <v>291</v>
      </c>
      <c r="U12" s="9">
        <v>265</v>
      </c>
      <c r="V12" s="9">
        <v>315</v>
      </c>
      <c r="W12" s="9">
        <v>375</v>
      </c>
      <c r="X12" s="9">
        <v>305</v>
      </c>
      <c r="Y12" s="9">
        <v>245</v>
      </c>
      <c r="Z12" s="9">
        <v>232</v>
      </c>
      <c r="AA12" s="9">
        <v>260</v>
      </c>
      <c r="AB12" s="9">
        <v>253</v>
      </c>
      <c r="AC12" s="9">
        <v>241</v>
      </c>
      <c r="AD12" s="9">
        <v>212</v>
      </c>
      <c r="AE12">
        <v>295</v>
      </c>
      <c r="AF12" s="207">
        <v>316</v>
      </c>
    </row>
    <row r="13" spans="1:32" x14ac:dyDescent="0.2">
      <c r="B13" s="44" t="s">
        <v>12</v>
      </c>
      <c r="C13" s="45">
        <v>640</v>
      </c>
      <c r="D13" s="3">
        <v>605</v>
      </c>
      <c r="E13" s="4">
        <v>522</v>
      </c>
      <c r="F13" s="3">
        <v>511</v>
      </c>
      <c r="G13" s="4">
        <v>514</v>
      </c>
      <c r="H13" s="3">
        <v>500</v>
      </c>
      <c r="I13" s="4">
        <v>508</v>
      </c>
      <c r="J13" s="14">
        <v>518</v>
      </c>
      <c r="K13" s="14">
        <v>493</v>
      </c>
      <c r="L13" s="14">
        <v>489</v>
      </c>
      <c r="M13" s="11">
        <v>477</v>
      </c>
      <c r="N13" s="15">
        <v>460</v>
      </c>
      <c r="O13" s="25">
        <v>439</v>
      </c>
      <c r="P13" s="25">
        <v>428</v>
      </c>
      <c r="Q13" s="9">
        <v>394</v>
      </c>
      <c r="R13" s="8">
        <v>395</v>
      </c>
      <c r="S13" s="9">
        <v>338</v>
      </c>
      <c r="T13" s="8">
        <v>294</v>
      </c>
      <c r="U13" s="9">
        <v>252</v>
      </c>
      <c r="V13" s="9">
        <v>288</v>
      </c>
      <c r="W13" s="9">
        <v>346</v>
      </c>
      <c r="X13" s="9">
        <v>245</v>
      </c>
      <c r="Y13" s="9">
        <v>235</v>
      </c>
      <c r="Z13" s="9">
        <v>225</v>
      </c>
      <c r="AA13" s="9">
        <v>250</v>
      </c>
      <c r="AB13" s="9">
        <v>267</v>
      </c>
      <c r="AC13" s="9">
        <v>256</v>
      </c>
      <c r="AD13" s="9">
        <v>240</v>
      </c>
      <c r="AE13">
        <v>230</v>
      </c>
      <c r="AF13" s="207">
        <v>224</v>
      </c>
    </row>
    <row r="14" spans="1:32" x14ac:dyDescent="0.2">
      <c r="B14" s="44" t="s">
        <v>13</v>
      </c>
      <c r="C14" s="45">
        <v>230</v>
      </c>
      <c r="D14" s="3">
        <v>205</v>
      </c>
      <c r="E14" s="4">
        <v>193</v>
      </c>
      <c r="F14" s="3">
        <v>194</v>
      </c>
      <c r="G14" s="4">
        <v>203</v>
      </c>
      <c r="H14" s="3">
        <v>205</v>
      </c>
      <c r="I14" s="4">
        <v>209</v>
      </c>
      <c r="J14" s="14">
        <v>233</v>
      </c>
      <c r="K14" s="14">
        <v>233</v>
      </c>
      <c r="L14" s="14">
        <v>232</v>
      </c>
      <c r="M14" s="11">
        <v>260</v>
      </c>
      <c r="N14" s="15">
        <v>283</v>
      </c>
      <c r="O14" s="25">
        <v>306</v>
      </c>
      <c r="P14" s="25">
        <v>319</v>
      </c>
      <c r="Q14" s="9">
        <v>317</v>
      </c>
      <c r="R14" s="8">
        <v>323</v>
      </c>
      <c r="S14" s="9">
        <v>303</v>
      </c>
      <c r="T14" s="8">
        <v>251</v>
      </c>
      <c r="U14" s="9">
        <v>238</v>
      </c>
      <c r="V14" s="9">
        <v>286</v>
      </c>
      <c r="W14" s="9">
        <v>317</v>
      </c>
      <c r="X14" s="9">
        <v>290</v>
      </c>
      <c r="Y14" s="9">
        <v>194</v>
      </c>
      <c r="Z14" s="9">
        <v>190</v>
      </c>
      <c r="AA14" s="9">
        <v>210</v>
      </c>
      <c r="AB14" s="9">
        <v>256</v>
      </c>
      <c r="AC14" s="9">
        <v>259</v>
      </c>
      <c r="AD14" s="9">
        <v>261</v>
      </c>
      <c r="AE14">
        <v>444</v>
      </c>
      <c r="AF14" s="207">
        <v>462</v>
      </c>
    </row>
    <row r="15" spans="1:32" x14ac:dyDescent="0.2">
      <c r="B15" s="44" t="s">
        <v>14</v>
      </c>
      <c r="C15" s="45">
        <v>22</v>
      </c>
      <c r="D15" s="3">
        <v>16</v>
      </c>
      <c r="E15" s="4">
        <v>20</v>
      </c>
      <c r="F15" s="3">
        <v>19</v>
      </c>
      <c r="G15" s="4">
        <v>16</v>
      </c>
      <c r="H15" s="3">
        <v>17</v>
      </c>
      <c r="I15" s="4">
        <v>16</v>
      </c>
      <c r="J15" s="14">
        <v>14</v>
      </c>
      <c r="K15" s="14">
        <v>13</v>
      </c>
      <c r="L15" s="14">
        <v>12</v>
      </c>
      <c r="M15" s="11">
        <v>16</v>
      </c>
      <c r="N15" s="15">
        <v>9</v>
      </c>
      <c r="O15" s="25">
        <v>15</v>
      </c>
      <c r="P15" s="25">
        <v>20</v>
      </c>
      <c r="Q15" s="9">
        <v>16</v>
      </c>
      <c r="R15" s="8">
        <v>11</v>
      </c>
      <c r="S15" s="9">
        <v>11</v>
      </c>
      <c r="T15" s="8">
        <v>13</v>
      </c>
      <c r="U15" s="9">
        <v>11</v>
      </c>
      <c r="V15" s="9">
        <v>19</v>
      </c>
      <c r="W15" s="9">
        <v>31</v>
      </c>
      <c r="X15" s="9">
        <v>26</v>
      </c>
      <c r="Y15" s="9">
        <v>26</v>
      </c>
      <c r="Z15" s="9">
        <v>36</v>
      </c>
      <c r="AA15" s="9">
        <v>57</v>
      </c>
      <c r="AB15" s="9">
        <v>11</v>
      </c>
      <c r="AC15" s="9">
        <v>9</v>
      </c>
      <c r="AD15" s="9">
        <v>5</v>
      </c>
      <c r="AE15" s="69">
        <v>6</v>
      </c>
      <c r="AF15" s="207">
        <v>11</v>
      </c>
    </row>
    <row r="16" spans="1:32" x14ac:dyDescent="0.2">
      <c r="B16" s="44" t="s">
        <v>16</v>
      </c>
      <c r="C16" s="45">
        <v>2</v>
      </c>
      <c r="D16" s="3">
        <v>1</v>
      </c>
      <c r="E16" s="4">
        <v>4</v>
      </c>
      <c r="F16" s="3">
        <v>5</v>
      </c>
      <c r="G16" s="4">
        <v>1</v>
      </c>
      <c r="H16" s="3">
        <v>6</v>
      </c>
      <c r="I16" s="4">
        <v>5</v>
      </c>
      <c r="J16" s="14">
        <v>5</v>
      </c>
      <c r="K16" s="14">
        <v>4</v>
      </c>
      <c r="L16" s="14">
        <v>4</v>
      </c>
      <c r="M16" s="11">
        <v>2</v>
      </c>
      <c r="N16" s="15">
        <v>1</v>
      </c>
      <c r="O16" s="25">
        <v>0</v>
      </c>
      <c r="P16" s="25">
        <v>1</v>
      </c>
      <c r="Q16" s="9">
        <v>2</v>
      </c>
      <c r="R16" s="8">
        <v>3</v>
      </c>
      <c r="S16" s="9">
        <v>1</v>
      </c>
      <c r="T16" s="8">
        <v>1</v>
      </c>
      <c r="U16" s="9">
        <v>1</v>
      </c>
      <c r="V16" s="9">
        <v>0</v>
      </c>
      <c r="W16" s="9">
        <v>1</v>
      </c>
      <c r="X16" s="9">
        <v>0</v>
      </c>
      <c r="Y16" s="9">
        <v>1</v>
      </c>
      <c r="Z16" s="9">
        <v>2</v>
      </c>
      <c r="AA16" s="9">
        <v>2</v>
      </c>
      <c r="AB16" s="9">
        <v>1</v>
      </c>
      <c r="AC16" s="9">
        <v>1</v>
      </c>
      <c r="AD16" s="9">
        <v>1</v>
      </c>
      <c r="AE16" s="8">
        <v>1</v>
      </c>
      <c r="AF16" s="207">
        <v>0</v>
      </c>
    </row>
    <row r="17" spans="2:32" x14ac:dyDescent="0.2">
      <c r="B17" s="44" t="s">
        <v>17</v>
      </c>
      <c r="C17" s="45">
        <v>9</v>
      </c>
      <c r="D17" s="3">
        <v>13</v>
      </c>
      <c r="E17" s="4">
        <v>13</v>
      </c>
      <c r="F17" s="3">
        <v>14</v>
      </c>
      <c r="G17" s="4">
        <v>14</v>
      </c>
      <c r="H17" s="3">
        <v>11</v>
      </c>
      <c r="I17" s="4">
        <v>14</v>
      </c>
      <c r="J17" s="14">
        <v>13</v>
      </c>
      <c r="K17" s="14">
        <v>10</v>
      </c>
      <c r="L17" s="14">
        <v>12</v>
      </c>
      <c r="M17" s="11">
        <v>10</v>
      </c>
      <c r="N17" s="15">
        <v>7</v>
      </c>
      <c r="O17" s="25">
        <v>6</v>
      </c>
      <c r="P17" s="15">
        <v>4</v>
      </c>
      <c r="Q17" s="170">
        <v>6</v>
      </c>
      <c r="R17" s="8">
        <v>6</v>
      </c>
      <c r="S17" s="9">
        <v>7</v>
      </c>
      <c r="T17" s="8">
        <v>10</v>
      </c>
      <c r="U17" s="9">
        <v>15</v>
      </c>
      <c r="V17" s="9">
        <v>21</v>
      </c>
      <c r="W17" s="9">
        <v>19</v>
      </c>
      <c r="X17" s="9">
        <v>20</v>
      </c>
      <c r="Y17" s="9">
        <v>16</v>
      </c>
      <c r="Z17" s="9">
        <v>13</v>
      </c>
      <c r="AA17" s="9">
        <v>15</v>
      </c>
      <c r="AB17" s="9">
        <v>15</v>
      </c>
      <c r="AC17" s="9">
        <v>19</v>
      </c>
      <c r="AD17" s="9">
        <v>18</v>
      </c>
      <c r="AE17" s="8">
        <v>20</v>
      </c>
      <c r="AF17" s="207">
        <v>13</v>
      </c>
    </row>
    <row r="18" spans="2:32" x14ac:dyDescent="0.2">
      <c r="B18" s="44" t="s">
        <v>15</v>
      </c>
      <c r="C18" s="45">
        <v>10</v>
      </c>
      <c r="D18" s="3">
        <v>10</v>
      </c>
      <c r="E18" s="4">
        <v>10</v>
      </c>
      <c r="F18" s="3">
        <v>11</v>
      </c>
      <c r="G18" s="4">
        <v>15</v>
      </c>
      <c r="H18" s="3">
        <v>11</v>
      </c>
      <c r="I18" s="4">
        <v>8</v>
      </c>
      <c r="J18" s="14">
        <v>6</v>
      </c>
      <c r="K18" s="14">
        <v>8</v>
      </c>
      <c r="L18" s="14">
        <v>13</v>
      </c>
      <c r="M18" s="11">
        <v>13</v>
      </c>
      <c r="N18" s="15">
        <v>15</v>
      </c>
      <c r="O18" s="25">
        <v>17</v>
      </c>
      <c r="P18" s="25">
        <v>16</v>
      </c>
      <c r="Q18" s="9">
        <v>15</v>
      </c>
      <c r="R18" s="8">
        <v>17</v>
      </c>
      <c r="S18" s="9">
        <v>13</v>
      </c>
      <c r="T18" s="8">
        <v>8</v>
      </c>
      <c r="U18" s="9">
        <v>5</v>
      </c>
      <c r="V18" s="9">
        <v>10</v>
      </c>
      <c r="W18" s="9">
        <v>11</v>
      </c>
      <c r="X18" s="9">
        <v>8</v>
      </c>
      <c r="Y18" s="9">
        <v>10</v>
      </c>
      <c r="Z18" s="9">
        <v>10</v>
      </c>
      <c r="AA18" s="9">
        <v>12</v>
      </c>
      <c r="AB18" s="9">
        <v>7</v>
      </c>
      <c r="AC18" s="9">
        <v>15</v>
      </c>
      <c r="AD18" s="9">
        <v>11</v>
      </c>
      <c r="AE18" s="69">
        <v>23</v>
      </c>
      <c r="AF18" s="207">
        <v>21</v>
      </c>
    </row>
    <row r="19" spans="2:32" x14ac:dyDescent="0.2">
      <c r="B19" s="44" t="s">
        <v>49</v>
      </c>
      <c r="C19" s="45"/>
      <c r="D19" s="3"/>
      <c r="E19" s="4"/>
      <c r="F19" s="3"/>
      <c r="G19" s="4"/>
      <c r="H19" s="3"/>
      <c r="I19" s="4"/>
      <c r="J19" s="14"/>
      <c r="K19" s="14"/>
      <c r="L19" s="14"/>
      <c r="M19" s="11"/>
      <c r="N19" s="15"/>
      <c r="O19" s="25"/>
      <c r="P19" s="15"/>
      <c r="Q19" s="30"/>
      <c r="R19" s="8"/>
      <c r="S19" s="9"/>
      <c r="T19" s="179"/>
      <c r="U19" s="9">
        <v>2</v>
      </c>
      <c r="V19" s="9">
        <v>2</v>
      </c>
      <c r="W19" s="9">
        <v>3</v>
      </c>
      <c r="X19" s="9">
        <v>1</v>
      </c>
      <c r="Y19" s="9">
        <v>0</v>
      </c>
      <c r="Z19" s="9">
        <v>0</v>
      </c>
      <c r="AA19" s="9">
        <v>0</v>
      </c>
      <c r="AB19" s="9">
        <v>1</v>
      </c>
      <c r="AC19" s="9">
        <v>0</v>
      </c>
      <c r="AD19" s="9">
        <v>0</v>
      </c>
      <c r="AE19" s="8">
        <v>0</v>
      </c>
      <c r="AF19" s="207">
        <v>0</v>
      </c>
    </row>
    <row r="20" spans="2:32" x14ac:dyDescent="0.2">
      <c r="B20" s="44" t="s">
        <v>18</v>
      </c>
      <c r="C20" s="45">
        <f>10+5</f>
        <v>15</v>
      </c>
      <c r="D20" s="3">
        <f>6+3</f>
        <v>9</v>
      </c>
      <c r="E20" s="4">
        <f>4+2</f>
        <v>6</v>
      </c>
      <c r="F20" s="3">
        <f>7+3</f>
        <v>10</v>
      </c>
      <c r="G20" s="4">
        <f>8+6</f>
        <v>14</v>
      </c>
      <c r="H20" s="3">
        <f>6+6</f>
        <v>12</v>
      </c>
      <c r="I20" s="4">
        <f>12+9</f>
        <v>21</v>
      </c>
      <c r="J20" s="14">
        <v>17</v>
      </c>
      <c r="K20" s="14">
        <f>9+7</f>
        <v>16</v>
      </c>
      <c r="L20" s="14">
        <f>7+9</f>
        <v>16</v>
      </c>
      <c r="M20" s="11">
        <f>10+14</f>
        <v>24</v>
      </c>
      <c r="N20" s="15">
        <v>15</v>
      </c>
      <c r="O20" s="25">
        <v>18</v>
      </c>
      <c r="P20" s="25">
        <v>5</v>
      </c>
      <c r="Q20" s="9">
        <f>5+11</f>
        <v>16</v>
      </c>
      <c r="R20" s="8">
        <v>19</v>
      </c>
      <c r="S20" s="9">
        <v>3</v>
      </c>
      <c r="T20" s="8">
        <v>1</v>
      </c>
      <c r="U20" s="9">
        <f>6+5</f>
        <v>11</v>
      </c>
      <c r="V20" s="9">
        <v>17</v>
      </c>
      <c r="W20" s="9">
        <v>22</v>
      </c>
      <c r="X20" s="9">
        <v>31</v>
      </c>
      <c r="Y20" s="9">
        <v>29</v>
      </c>
      <c r="Z20" s="9">
        <v>30</v>
      </c>
      <c r="AA20" s="9">
        <v>32</v>
      </c>
      <c r="AB20" s="9">
        <v>52</v>
      </c>
      <c r="AC20" s="9">
        <v>66</v>
      </c>
      <c r="AD20" s="9">
        <v>69</v>
      </c>
      <c r="AE20" s="8">
        <v>84</v>
      </c>
      <c r="AF20" s="207">
        <v>82</v>
      </c>
    </row>
    <row r="21" spans="2:32" x14ac:dyDescent="0.2">
      <c r="B21" s="44" t="s">
        <v>50</v>
      </c>
      <c r="C21" s="45"/>
      <c r="D21" s="3"/>
      <c r="E21" s="4"/>
      <c r="F21" s="3"/>
      <c r="G21" s="4"/>
      <c r="H21" s="3"/>
      <c r="I21" s="4"/>
      <c r="J21" s="14">
        <v>6</v>
      </c>
      <c r="K21" s="14">
        <f>2+4</f>
        <v>6</v>
      </c>
      <c r="L21" s="14">
        <f>2+11+1</f>
        <v>14</v>
      </c>
      <c r="M21" s="11">
        <f>3+13+2</f>
        <v>18</v>
      </c>
      <c r="N21" s="15">
        <v>21</v>
      </c>
      <c r="O21" s="25">
        <v>25</v>
      </c>
      <c r="P21" s="25">
        <v>43</v>
      </c>
      <c r="Q21" s="9">
        <v>26</v>
      </c>
      <c r="R21" s="8">
        <v>29</v>
      </c>
      <c r="S21" s="9">
        <v>37</v>
      </c>
      <c r="T21" s="179"/>
      <c r="U21" s="9">
        <v>6</v>
      </c>
      <c r="V21" s="9">
        <v>6</v>
      </c>
      <c r="W21" s="9">
        <v>12</v>
      </c>
      <c r="X21" s="9">
        <v>13</v>
      </c>
      <c r="Y21" s="9">
        <v>15</v>
      </c>
      <c r="Z21" s="9">
        <v>15</v>
      </c>
      <c r="AA21" s="9">
        <v>14</v>
      </c>
      <c r="AB21" s="9">
        <v>17</v>
      </c>
      <c r="AC21" s="9">
        <v>18</v>
      </c>
      <c r="AD21" s="9">
        <v>23</v>
      </c>
      <c r="AE21" s="8">
        <v>23</v>
      </c>
      <c r="AF21" s="207">
        <v>28</v>
      </c>
    </row>
    <row r="22" spans="2:32" x14ac:dyDescent="0.2">
      <c r="B22" s="44" t="s">
        <v>32</v>
      </c>
      <c r="C22" s="45"/>
      <c r="D22" s="3"/>
      <c r="E22" s="4"/>
      <c r="F22" s="3"/>
      <c r="G22" s="4"/>
      <c r="H22" s="3"/>
      <c r="I22" s="4"/>
      <c r="J22" s="14"/>
      <c r="K22" s="14"/>
      <c r="L22" s="14"/>
      <c r="M22" s="11"/>
      <c r="N22" s="15"/>
      <c r="O22" s="25"/>
      <c r="P22" s="25"/>
      <c r="Q22" s="9"/>
      <c r="R22" s="8"/>
      <c r="S22" s="9"/>
      <c r="T22" s="8">
        <f>10+5+11+2</f>
        <v>28</v>
      </c>
      <c r="U22" s="9">
        <v>11</v>
      </c>
      <c r="V22" s="9">
        <v>11</v>
      </c>
      <c r="W22" s="9">
        <v>3</v>
      </c>
      <c r="X22" s="9">
        <v>14</v>
      </c>
      <c r="Y22" s="9">
        <v>17</v>
      </c>
      <c r="Z22" s="9">
        <v>10</v>
      </c>
      <c r="AA22" s="9">
        <v>6</v>
      </c>
      <c r="AB22" s="9">
        <v>5</v>
      </c>
      <c r="AC22" s="9">
        <v>5</v>
      </c>
      <c r="AD22" s="9">
        <v>7</v>
      </c>
      <c r="AE22" s="8">
        <v>8</v>
      </c>
      <c r="AF22" s="207">
        <v>3</v>
      </c>
    </row>
    <row r="23" spans="2:32" ht="13.5" thickBot="1" x14ac:dyDescent="0.25">
      <c r="B23" s="46" t="s">
        <v>19</v>
      </c>
      <c r="C23" s="47">
        <v>812</v>
      </c>
      <c r="D23" s="6">
        <v>761</v>
      </c>
      <c r="E23" s="7">
        <v>662</v>
      </c>
      <c r="F23" s="6">
        <v>646</v>
      </c>
      <c r="G23" s="7">
        <v>657</v>
      </c>
      <c r="H23" s="6">
        <v>648</v>
      </c>
      <c r="I23" s="7">
        <v>653</v>
      </c>
      <c r="J23" s="48">
        <v>690</v>
      </c>
      <c r="K23" s="48">
        <v>669</v>
      </c>
      <c r="L23" s="48">
        <v>650</v>
      </c>
      <c r="M23" s="57">
        <v>654</v>
      </c>
      <c r="N23" s="49">
        <v>675</v>
      </c>
      <c r="O23" s="73">
        <v>664</v>
      </c>
      <c r="P23" s="73">
        <v>658</v>
      </c>
      <c r="Q23" s="10">
        <v>630</v>
      </c>
      <c r="R23" s="116">
        <v>633</v>
      </c>
      <c r="S23" s="10">
        <v>569</v>
      </c>
      <c r="T23" s="116">
        <v>485</v>
      </c>
      <c r="U23" s="10">
        <v>428</v>
      </c>
      <c r="V23" s="10">
        <v>488</v>
      </c>
      <c r="W23" s="10">
        <v>561</v>
      </c>
      <c r="X23" s="10">
        <v>422</v>
      </c>
      <c r="Y23" s="10">
        <v>315</v>
      </c>
      <c r="Z23" s="10">
        <v>299</v>
      </c>
      <c r="AA23" s="10">
        <v>322</v>
      </c>
      <c r="AB23" s="10">
        <v>414</v>
      </c>
      <c r="AC23" s="10">
        <v>382</v>
      </c>
      <c r="AD23" s="10">
        <v>367</v>
      </c>
      <c r="AE23" s="116">
        <v>509</v>
      </c>
      <c r="AF23" s="208">
        <v>528</v>
      </c>
    </row>
    <row r="24" spans="2:32" ht="14.25" hidden="1" thickTop="1" thickBot="1" x14ac:dyDescent="0.25">
      <c r="O24" s="13"/>
      <c r="P24" s="12"/>
      <c r="Q24" s="12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57"/>
    </row>
    <row r="25" spans="2:32" ht="12.75" hidden="1" customHeight="1" x14ac:dyDescent="0.2">
      <c r="B25" s="28" t="s">
        <v>36</v>
      </c>
      <c r="O25" s="13"/>
      <c r="P25" s="12"/>
      <c r="Q25" s="12"/>
    </row>
    <row r="26" spans="2:32" ht="14.25" hidden="1" thickTop="1" thickBot="1" x14ac:dyDescent="0.25">
      <c r="O26" s="13"/>
      <c r="P26" s="12"/>
      <c r="Q26" s="12"/>
    </row>
    <row r="27" spans="2:32" ht="13.5" thickTop="1" x14ac:dyDescent="0.2">
      <c r="O27" s="21"/>
      <c r="P27" s="21"/>
      <c r="Q27" s="54"/>
    </row>
    <row r="47" ht="21" customHeight="1" x14ac:dyDescent="0.2"/>
    <row r="48" ht="21.75" customHeight="1" x14ac:dyDescent="0.2"/>
    <row r="50" ht="74.25" customHeight="1" x14ac:dyDescent="0.2"/>
    <row r="51" ht="16.5" customHeight="1" x14ac:dyDescent="0.2"/>
    <row r="52" ht="16.5" customHeight="1" x14ac:dyDescent="0.2"/>
    <row r="53" ht="16.5" customHeight="1" x14ac:dyDescent="0.2"/>
  </sheetData>
  <phoneticPr fontId="0" type="noConversion"/>
  <printOptions horizontalCentered="1"/>
  <pageMargins left="0.75" right="0.75" top="0.75" bottom="0.75" header="0.5" footer="0.5"/>
  <pageSetup orientation="portrait" r:id="rId1"/>
  <headerFooter alignWithMargins="0"/>
  <ignoredErrors>
    <ignoredError sqref="Q8:AA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indexed="45"/>
    <pageSetUpPr fitToPage="1"/>
  </sheetPr>
  <dimension ref="A1:AF61"/>
  <sheetViews>
    <sheetView view="pageBreakPreview" topLeftCell="A5" zoomScale="106" zoomScaleNormal="110" zoomScaleSheetLayoutView="106" workbookViewId="0">
      <selection activeCell="B16" sqref="B16"/>
    </sheetView>
  </sheetViews>
  <sheetFormatPr defaultRowHeight="12.75" x14ac:dyDescent="0.2"/>
  <cols>
    <col min="1" max="1" width="0.42578125" customWidth="1"/>
    <col min="2" max="2" width="20.28515625" customWidth="1"/>
    <col min="3" max="3" width="9.42578125" hidden="1" customWidth="1"/>
    <col min="4" max="4" width="9.28515625" hidden="1" customWidth="1"/>
    <col min="5" max="5" width="9.140625" hidden="1" customWidth="1"/>
    <col min="6" max="9" width="0" hidden="1" customWidth="1"/>
    <col min="10" max="10" width="9.42578125" hidden="1" customWidth="1"/>
    <col min="11" max="11" width="0" hidden="1" customWidth="1"/>
    <col min="12" max="12" width="9.28515625" hidden="1" customWidth="1"/>
    <col min="13" max="16" width="0" hidden="1" customWidth="1"/>
    <col min="17" max="17" width="9" hidden="1" customWidth="1"/>
    <col min="18" max="27" width="0" hidden="1" customWidth="1"/>
  </cols>
  <sheetData>
    <row r="1" spans="1:32" ht="13.5" customHeight="1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13.5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32" ht="21.75" customHeight="1" x14ac:dyDescent="0.35">
      <c r="A3" s="139" t="s">
        <v>42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40"/>
      <c r="X3" s="140"/>
      <c r="Y3" s="140"/>
      <c r="Z3" s="140"/>
      <c r="AA3" s="140"/>
      <c r="AB3" s="140"/>
      <c r="AC3" s="140"/>
      <c r="AD3" s="140"/>
      <c r="AE3" s="140"/>
    </row>
    <row r="4" spans="1:32" ht="21.75" customHeight="1" x14ac:dyDescent="0.35">
      <c r="A4" s="221" t="s">
        <v>41</v>
      </c>
      <c r="B4" s="222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40"/>
      <c r="X4" s="140"/>
      <c r="Y4" s="140"/>
      <c r="Z4" s="140"/>
      <c r="AA4" s="140"/>
      <c r="AB4" s="140"/>
      <c r="AC4" s="140"/>
      <c r="AD4" s="140"/>
      <c r="AE4" s="140"/>
    </row>
    <row r="5" spans="1:32" ht="10.5" customHeight="1" thickBot="1" x14ac:dyDescent="0.35">
      <c r="A5" s="29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32" ht="13.5" thickTop="1" x14ac:dyDescent="0.2">
      <c r="B6" s="31"/>
      <c r="C6" s="3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33"/>
    </row>
    <row r="7" spans="1:32" ht="13.5" thickBot="1" x14ac:dyDescent="0.25">
      <c r="B7" s="34" t="s">
        <v>31</v>
      </c>
      <c r="C7" s="50" t="s">
        <v>1</v>
      </c>
      <c r="D7" s="51" t="s">
        <v>2</v>
      </c>
      <c r="E7" s="52" t="s">
        <v>3</v>
      </c>
      <c r="F7" s="51" t="s">
        <v>4</v>
      </c>
      <c r="G7" s="52" t="s">
        <v>5</v>
      </c>
      <c r="H7" s="51" t="s">
        <v>6</v>
      </c>
      <c r="I7" s="52" t="s">
        <v>21</v>
      </c>
      <c r="J7" s="51">
        <v>1997</v>
      </c>
      <c r="K7" s="58">
        <v>1998</v>
      </c>
      <c r="L7" s="58">
        <v>1999</v>
      </c>
      <c r="M7" s="38">
        <v>2000</v>
      </c>
      <c r="N7" s="38">
        <v>2001</v>
      </c>
      <c r="O7" s="37">
        <v>2002</v>
      </c>
      <c r="P7" s="37">
        <v>2003</v>
      </c>
      <c r="Q7" s="37">
        <v>2004</v>
      </c>
      <c r="R7" s="36">
        <v>2005</v>
      </c>
      <c r="S7" s="36">
        <v>2006</v>
      </c>
      <c r="T7" s="36">
        <v>2007</v>
      </c>
      <c r="U7" s="37">
        <v>2008</v>
      </c>
      <c r="V7" s="37">
        <v>2009</v>
      </c>
      <c r="W7" s="37">
        <v>2010</v>
      </c>
      <c r="X7" s="37">
        <v>2011</v>
      </c>
      <c r="Y7" s="37">
        <v>2012</v>
      </c>
      <c r="Z7" s="37">
        <v>2013</v>
      </c>
      <c r="AA7" s="37">
        <v>2014</v>
      </c>
      <c r="AB7" s="37">
        <v>2021</v>
      </c>
      <c r="AC7" s="37">
        <v>2022</v>
      </c>
      <c r="AD7" s="37">
        <v>2023</v>
      </c>
      <c r="AE7" s="37">
        <v>2024</v>
      </c>
      <c r="AF7" s="201">
        <v>2025</v>
      </c>
    </row>
    <row r="8" spans="1:32" ht="13.5" thickTop="1" x14ac:dyDescent="0.2">
      <c r="B8" s="31"/>
      <c r="C8" s="53"/>
      <c r="D8" s="54"/>
      <c r="E8" s="55"/>
      <c r="F8" s="54"/>
      <c r="G8" s="55"/>
      <c r="H8" s="54"/>
      <c r="I8" s="55"/>
      <c r="J8" s="54"/>
      <c r="K8" s="56"/>
      <c r="L8" s="56"/>
      <c r="M8" s="41"/>
      <c r="N8" s="41"/>
      <c r="O8" s="71"/>
      <c r="P8" s="12"/>
      <c r="Q8" s="12"/>
      <c r="S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26"/>
    </row>
    <row r="9" spans="1:32" x14ac:dyDescent="0.2">
      <c r="B9" s="42" t="s">
        <v>7</v>
      </c>
      <c r="C9" s="43">
        <f t="shared" ref="C9:J9" si="0">SUM(C10:C11)</f>
        <v>6469</v>
      </c>
      <c r="D9" s="1">
        <f t="shared" si="0"/>
        <v>6454</v>
      </c>
      <c r="E9" s="2">
        <f t="shared" si="0"/>
        <v>6737</v>
      </c>
      <c r="F9" s="1">
        <f t="shared" si="0"/>
        <v>6254</v>
      </c>
      <c r="G9" s="2">
        <f t="shared" si="0"/>
        <v>6084</v>
      </c>
      <c r="H9" s="1">
        <f t="shared" si="0"/>
        <v>6105</v>
      </c>
      <c r="I9" s="2">
        <f t="shared" si="0"/>
        <v>5939</v>
      </c>
      <c r="J9" s="1">
        <f t="shared" si="0"/>
        <v>5684</v>
      </c>
      <c r="K9" s="17">
        <f>SUM(K10:K11)</f>
        <v>5890</v>
      </c>
      <c r="L9" s="17">
        <f>SUM(L10:L11)</f>
        <v>6048</v>
      </c>
      <c r="M9" s="17">
        <f>SUM(M10:M11)</f>
        <v>5990</v>
      </c>
      <c r="N9" s="17">
        <f t="shared" ref="N9:S9" si="1">SUM(N10:N11)</f>
        <v>6104</v>
      </c>
      <c r="O9" s="2">
        <f t="shared" si="1"/>
        <v>6308</v>
      </c>
      <c r="P9" s="2">
        <f t="shared" si="1"/>
        <v>6490</v>
      </c>
      <c r="Q9" s="2">
        <f t="shared" si="1"/>
        <v>6735</v>
      </c>
      <c r="R9" s="1">
        <f t="shared" si="1"/>
        <v>6768</v>
      </c>
      <c r="S9" s="2">
        <f t="shared" si="1"/>
        <v>6596</v>
      </c>
      <c r="T9" s="1">
        <f t="shared" ref="T9:Y9" si="2">SUM(T10:T11)</f>
        <v>6522</v>
      </c>
      <c r="U9" s="2">
        <f t="shared" si="2"/>
        <v>6497</v>
      </c>
      <c r="V9" s="2">
        <f t="shared" si="2"/>
        <v>6502</v>
      </c>
      <c r="W9" s="2">
        <f t="shared" si="2"/>
        <v>6687</v>
      </c>
      <c r="X9" s="2">
        <f t="shared" si="2"/>
        <v>6828</v>
      </c>
      <c r="Y9" s="2">
        <f t="shared" si="2"/>
        <v>7063</v>
      </c>
      <c r="Z9" s="2">
        <f t="shared" ref="Z9:AA9" si="3">SUM(Z10:Z11)</f>
        <v>6804</v>
      </c>
      <c r="AA9" s="2">
        <f t="shared" si="3"/>
        <v>6166</v>
      </c>
      <c r="AB9" s="2">
        <v>3669</v>
      </c>
      <c r="AC9" s="2">
        <v>3393</v>
      </c>
      <c r="AD9" s="2">
        <v>3310</v>
      </c>
      <c r="AE9" s="2">
        <v>3209</v>
      </c>
      <c r="AF9" s="202">
        <f>SUM(AF10:AF11)</f>
        <v>3187</v>
      </c>
    </row>
    <row r="10" spans="1:32" x14ac:dyDescent="0.2">
      <c r="B10" s="44" t="s">
        <v>8</v>
      </c>
      <c r="C10" s="45">
        <v>5000</v>
      </c>
      <c r="D10" s="3">
        <v>5131</v>
      </c>
      <c r="E10" s="4">
        <f>5433+4</f>
        <v>5437</v>
      </c>
      <c r="F10" s="3">
        <f>5168+2</f>
        <v>5170</v>
      </c>
      <c r="G10" s="4">
        <v>4951</v>
      </c>
      <c r="H10" s="3">
        <v>5023</v>
      </c>
      <c r="I10" s="4">
        <v>4637</v>
      </c>
      <c r="J10" s="3">
        <v>4567</v>
      </c>
      <c r="K10" s="14">
        <v>4506</v>
      </c>
      <c r="L10" s="14">
        <v>4943</v>
      </c>
      <c r="M10" s="15">
        <v>4981</v>
      </c>
      <c r="N10" s="15">
        <v>4992</v>
      </c>
      <c r="O10" s="25">
        <v>5278</v>
      </c>
      <c r="P10" s="25">
        <v>5466</v>
      </c>
      <c r="Q10" s="9">
        <v>5758</v>
      </c>
      <c r="R10" s="8">
        <v>5849</v>
      </c>
      <c r="S10" s="9">
        <v>5797</v>
      </c>
      <c r="T10" s="8">
        <v>5706</v>
      </c>
      <c r="U10" s="9">
        <v>5603</v>
      </c>
      <c r="V10" s="9">
        <v>5583</v>
      </c>
      <c r="W10" s="9">
        <v>5819</v>
      </c>
      <c r="X10" s="9">
        <v>6035</v>
      </c>
      <c r="Y10" s="9">
        <v>6276</v>
      </c>
      <c r="Z10" s="9">
        <v>6047</v>
      </c>
      <c r="AA10" s="9">
        <v>5453</v>
      </c>
      <c r="AB10" s="9">
        <v>3264</v>
      </c>
      <c r="AC10" s="9">
        <v>3041</v>
      </c>
      <c r="AD10" s="9">
        <v>3010</v>
      </c>
      <c r="AE10" s="9">
        <v>2933</v>
      </c>
      <c r="AF10" s="203">
        <v>2959</v>
      </c>
    </row>
    <row r="11" spans="1:32" x14ac:dyDescent="0.2">
      <c r="B11" s="44" t="s">
        <v>9</v>
      </c>
      <c r="C11" s="45">
        <v>1469</v>
      </c>
      <c r="D11" s="3">
        <v>1323</v>
      </c>
      <c r="E11" s="4">
        <f>1289+11</f>
        <v>1300</v>
      </c>
      <c r="F11" s="3">
        <f>1080+4</f>
        <v>1084</v>
      </c>
      <c r="G11" s="4">
        <v>1133</v>
      </c>
      <c r="H11" s="3">
        <v>1082</v>
      </c>
      <c r="I11" s="4">
        <v>1302</v>
      </c>
      <c r="J11" s="3">
        <v>1117</v>
      </c>
      <c r="K11" s="14">
        <v>1384</v>
      </c>
      <c r="L11" s="14">
        <v>1105</v>
      </c>
      <c r="M11" s="15">
        <v>1009</v>
      </c>
      <c r="N11" s="15">
        <v>1112</v>
      </c>
      <c r="O11" s="25">
        <v>1030</v>
      </c>
      <c r="P11" s="25">
        <v>1024</v>
      </c>
      <c r="Q11" s="23">
        <v>977</v>
      </c>
      <c r="R11" s="69">
        <v>919</v>
      </c>
      <c r="S11" s="23">
        <v>799</v>
      </c>
      <c r="T11" s="69">
        <v>816</v>
      </c>
      <c r="U11" s="23">
        <v>894</v>
      </c>
      <c r="V11" s="23">
        <v>919</v>
      </c>
      <c r="W11" s="23">
        <v>868</v>
      </c>
      <c r="X11" s="23">
        <v>793</v>
      </c>
      <c r="Y11" s="23">
        <v>787</v>
      </c>
      <c r="Z11" s="23">
        <v>757</v>
      </c>
      <c r="AA11" s="23">
        <v>713</v>
      </c>
      <c r="AB11" s="23">
        <v>405</v>
      </c>
      <c r="AC11" s="23">
        <v>352</v>
      </c>
      <c r="AD11" s="23">
        <v>300</v>
      </c>
      <c r="AE11" s="23">
        <v>276</v>
      </c>
      <c r="AF11" s="203">
        <v>228</v>
      </c>
    </row>
    <row r="12" spans="1:32" x14ac:dyDescent="0.2">
      <c r="B12" s="44" t="s">
        <v>10</v>
      </c>
      <c r="C12" s="45">
        <v>5548</v>
      </c>
      <c r="D12" s="3">
        <v>5597</v>
      </c>
      <c r="E12" s="4">
        <f>5912+15</f>
        <v>5927</v>
      </c>
      <c r="F12" s="3">
        <f>5391+5</f>
        <v>5396</v>
      </c>
      <c r="G12" s="4">
        <v>5336</v>
      </c>
      <c r="H12" s="3">
        <v>5434</v>
      </c>
      <c r="I12" s="4">
        <v>5337</v>
      </c>
      <c r="J12" s="3">
        <v>5135</v>
      </c>
      <c r="K12" s="14">
        <v>5285</v>
      </c>
      <c r="L12" s="14">
        <v>5481</v>
      </c>
      <c r="M12" s="15">
        <v>5427</v>
      </c>
      <c r="N12" s="15">
        <v>5402</v>
      </c>
      <c r="O12" s="25">
        <v>5599</v>
      </c>
      <c r="P12" s="25">
        <v>5725</v>
      </c>
      <c r="Q12" s="9">
        <v>5918</v>
      </c>
      <c r="R12" s="8">
        <v>5899</v>
      </c>
      <c r="S12" s="9">
        <v>5693</v>
      </c>
      <c r="T12" s="8">
        <v>5583</v>
      </c>
      <c r="U12" s="9">
        <v>5429</v>
      </c>
      <c r="V12" s="9">
        <v>5361</v>
      </c>
      <c r="W12" s="9">
        <v>5549</v>
      </c>
      <c r="X12" s="9">
        <v>5665</v>
      </c>
      <c r="Y12" s="9">
        <v>5742</v>
      </c>
      <c r="Z12" s="9">
        <v>5430</v>
      </c>
      <c r="AA12" s="9">
        <v>4928</v>
      </c>
      <c r="AB12" s="9">
        <v>2936</v>
      </c>
      <c r="AC12" s="9">
        <v>2677</v>
      </c>
      <c r="AD12" s="9">
        <v>2641</v>
      </c>
      <c r="AE12" s="9">
        <v>2499</v>
      </c>
      <c r="AF12" s="203">
        <v>2479</v>
      </c>
    </row>
    <row r="13" spans="1:32" x14ac:dyDescent="0.2">
      <c r="B13" s="44" t="s">
        <v>11</v>
      </c>
      <c r="C13" s="45">
        <v>921</v>
      </c>
      <c r="D13" s="3">
        <v>857</v>
      </c>
      <c r="E13" s="4">
        <v>810</v>
      </c>
      <c r="F13" s="3">
        <f>857+1</f>
        <v>858</v>
      </c>
      <c r="G13" s="4">
        <v>748</v>
      </c>
      <c r="H13" s="3">
        <v>671</v>
      </c>
      <c r="I13" s="4">
        <v>602</v>
      </c>
      <c r="J13" s="3">
        <v>549</v>
      </c>
      <c r="K13" s="14">
        <v>605</v>
      </c>
      <c r="L13" s="14">
        <v>567</v>
      </c>
      <c r="M13" s="15">
        <v>563</v>
      </c>
      <c r="N13" s="15">
        <v>702</v>
      </c>
      <c r="O13" s="25">
        <v>709</v>
      </c>
      <c r="P13" s="25">
        <v>765</v>
      </c>
      <c r="Q13" s="23">
        <v>817</v>
      </c>
      <c r="R13" s="69">
        <v>869</v>
      </c>
      <c r="S13" s="23">
        <v>903</v>
      </c>
      <c r="T13" s="69">
        <v>939</v>
      </c>
      <c r="U13" s="9">
        <v>1068</v>
      </c>
      <c r="V13" s="9">
        <v>1141</v>
      </c>
      <c r="W13" s="9">
        <v>1138</v>
      </c>
      <c r="X13" s="9">
        <v>1163</v>
      </c>
      <c r="Y13" s="9">
        <v>1321</v>
      </c>
      <c r="Z13" s="9">
        <v>1374</v>
      </c>
      <c r="AA13" s="9">
        <v>1238</v>
      </c>
      <c r="AB13" s="9">
        <v>733</v>
      </c>
      <c r="AC13" s="9">
        <v>716</v>
      </c>
      <c r="AD13" s="9">
        <v>669</v>
      </c>
      <c r="AE13" s="9">
        <v>710</v>
      </c>
      <c r="AF13" s="203">
        <v>708</v>
      </c>
    </row>
    <row r="14" spans="1:32" x14ac:dyDescent="0.2">
      <c r="B14" s="44" t="s">
        <v>12</v>
      </c>
      <c r="C14" s="45">
        <v>3060</v>
      </c>
      <c r="D14" s="3">
        <v>3137</v>
      </c>
      <c r="E14" s="4">
        <f>3276+7</f>
        <v>3283</v>
      </c>
      <c r="F14" s="3">
        <v>2905</v>
      </c>
      <c r="G14" s="4">
        <v>2876</v>
      </c>
      <c r="H14" s="3">
        <v>2866</v>
      </c>
      <c r="I14" s="4">
        <v>2775</v>
      </c>
      <c r="J14" s="3">
        <v>2621</v>
      </c>
      <c r="K14" s="14">
        <v>2704</v>
      </c>
      <c r="L14" s="14">
        <v>2670</v>
      </c>
      <c r="M14" s="15">
        <v>2676</v>
      </c>
      <c r="N14" s="15">
        <v>2651</v>
      </c>
      <c r="O14" s="25">
        <v>2803</v>
      </c>
      <c r="P14" s="25">
        <v>2915</v>
      </c>
      <c r="Q14" s="9">
        <v>2999</v>
      </c>
      <c r="R14" s="8">
        <v>3000</v>
      </c>
      <c r="S14" s="9">
        <v>3056</v>
      </c>
      <c r="T14" s="8">
        <v>3022</v>
      </c>
      <c r="U14" s="9">
        <v>3008</v>
      </c>
      <c r="V14" s="9">
        <v>3057</v>
      </c>
      <c r="W14" s="9">
        <v>3164</v>
      </c>
      <c r="X14" s="9">
        <v>3198</v>
      </c>
      <c r="Y14" s="9">
        <v>3314</v>
      </c>
      <c r="Z14" s="9">
        <v>3164</v>
      </c>
      <c r="AA14" s="9">
        <v>2787</v>
      </c>
      <c r="AB14" s="9">
        <v>1568</v>
      </c>
      <c r="AC14" s="9">
        <v>1344</v>
      </c>
      <c r="AD14" s="9">
        <v>1271</v>
      </c>
      <c r="AE14" s="9">
        <v>1182</v>
      </c>
      <c r="AF14" s="203">
        <v>1093</v>
      </c>
    </row>
    <row r="15" spans="1:32" x14ac:dyDescent="0.2">
      <c r="B15" s="44" t="s">
        <v>13</v>
      </c>
      <c r="C15" s="45">
        <v>3409</v>
      </c>
      <c r="D15" s="3">
        <v>3317</v>
      </c>
      <c r="E15" s="4">
        <f>3446+8</f>
        <v>3454</v>
      </c>
      <c r="F15" s="3">
        <f>3343+6</f>
        <v>3349</v>
      </c>
      <c r="G15" s="4">
        <v>3208</v>
      </c>
      <c r="H15" s="3">
        <v>3239</v>
      </c>
      <c r="I15" s="4">
        <v>3164</v>
      </c>
      <c r="J15" s="3">
        <v>3063</v>
      </c>
      <c r="K15" s="14">
        <v>3186</v>
      </c>
      <c r="L15" s="14">
        <v>3378</v>
      </c>
      <c r="M15" s="15">
        <v>3314</v>
      </c>
      <c r="N15" s="15">
        <v>3453</v>
      </c>
      <c r="O15" s="25">
        <v>3505</v>
      </c>
      <c r="P15" s="25">
        <v>3575</v>
      </c>
      <c r="Q15" s="9">
        <v>3736</v>
      </c>
      <c r="R15" s="8">
        <v>3768</v>
      </c>
      <c r="S15" s="9">
        <v>3540</v>
      </c>
      <c r="T15" s="8">
        <v>3500</v>
      </c>
      <c r="U15" s="9">
        <v>3489</v>
      </c>
      <c r="V15" s="9">
        <v>3445</v>
      </c>
      <c r="W15" s="9">
        <v>3523</v>
      </c>
      <c r="X15" s="9">
        <v>3630</v>
      </c>
      <c r="Y15" s="9">
        <v>3749</v>
      </c>
      <c r="Z15" s="9">
        <v>3640</v>
      </c>
      <c r="AA15" s="9">
        <v>3379</v>
      </c>
      <c r="AB15" s="9">
        <v>2101</v>
      </c>
      <c r="AC15" s="9">
        <v>2049</v>
      </c>
      <c r="AD15" s="9">
        <v>2039</v>
      </c>
      <c r="AE15" s="9">
        <v>2026</v>
      </c>
      <c r="AF15" s="203">
        <v>2092</v>
      </c>
    </row>
    <row r="16" spans="1:32" x14ac:dyDescent="0.2">
      <c r="B16" s="44" t="s">
        <v>59</v>
      </c>
      <c r="C16" s="45"/>
      <c r="D16" s="3"/>
      <c r="E16" s="4"/>
      <c r="F16" s="3"/>
      <c r="G16" s="4"/>
      <c r="H16" s="3"/>
      <c r="I16" s="4"/>
      <c r="J16" s="3"/>
      <c r="K16" s="14"/>
      <c r="L16" s="14"/>
      <c r="M16" s="15"/>
      <c r="N16" s="15"/>
      <c r="O16" s="25"/>
      <c r="P16" s="25"/>
      <c r="Q16" s="9"/>
      <c r="R16" s="8"/>
      <c r="S16" s="9"/>
      <c r="T16" s="8"/>
      <c r="U16" s="9"/>
      <c r="V16" s="9"/>
      <c r="W16" s="9"/>
      <c r="X16" s="9"/>
      <c r="Y16" s="9"/>
      <c r="Z16" s="9"/>
      <c r="AA16" s="9"/>
      <c r="AB16" s="9">
        <v>0</v>
      </c>
      <c r="AC16" s="9">
        <v>0</v>
      </c>
      <c r="AD16" s="9">
        <v>0</v>
      </c>
      <c r="AE16" s="9">
        <v>0</v>
      </c>
      <c r="AF16" s="203">
        <v>2</v>
      </c>
    </row>
    <row r="17" spans="1:32" ht="12.75" customHeight="1" x14ac:dyDescent="0.2">
      <c r="B17" s="44" t="s">
        <v>14</v>
      </c>
      <c r="C17" s="45">
        <v>114</v>
      </c>
      <c r="D17" s="3">
        <v>81</v>
      </c>
      <c r="E17" s="4">
        <v>95</v>
      </c>
      <c r="F17" s="3">
        <v>101</v>
      </c>
      <c r="G17" s="4">
        <v>74</v>
      </c>
      <c r="H17" s="3">
        <v>85</v>
      </c>
      <c r="I17" s="4">
        <v>94</v>
      </c>
      <c r="J17" s="3">
        <v>59</v>
      </c>
      <c r="K17" s="14">
        <v>81</v>
      </c>
      <c r="L17" s="14">
        <v>67</v>
      </c>
      <c r="M17" s="15">
        <v>81</v>
      </c>
      <c r="N17" s="15">
        <v>117</v>
      </c>
      <c r="O17" s="25">
        <v>80</v>
      </c>
      <c r="P17" s="25">
        <v>83</v>
      </c>
      <c r="Q17" s="9">
        <v>81</v>
      </c>
      <c r="R17" s="8">
        <v>95</v>
      </c>
      <c r="S17" s="9">
        <v>115</v>
      </c>
      <c r="T17" s="8">
        <v>128</v>
      </c>
      <c r="U17" s="9">
        <v>160</v>
      </c>
      <c r="V17" s="9">
        <v>223</v>
      </c>
      <c r="W17" s="9">
        <v>213</v>
      </c>
      <c r="X17" s="9">
        <v>212</v>
      </c>
      <c r="Y17" s="9">
        <v>337</v>
      </c>
      <c r="Z17" s="9">
        <v>382</v>
      </c>
      <c r="AA17" s="9">
        <v>319</v>
      </c>
      <c r="AB17" s="9">
        <v>89</v>
      </c>
      <c r="AC17" s="9">
        <v>86</v>
      </c>
      <c r="AD17" s="9">
        <v>73</v>
      </c>
      <c r="AE17" s="9">
        <v>70</v>
      </c>
      <c r="AF17" s="203">
        <v>57</v>
      </c>
    </row>
    <row r="18" spans="1:32" x14ac:dyDescent="0.2">
      <c r="B18" s="44" t="s">
        <v>16</v>
      </c>
      <c r="C18" s="45">
        <v>30</v>
      </c>
      <c r="D18" s="3">
        <v>28</v>
      </c>
      <c r="E18" s="4">
        <v>36</v>
      </c>
      <c r="F18" s="3">
        <v>31</v>
      </c>
      <c r="G18" s="4">
        <v>48</v>
      </c>
      <c r="H18" s="3">
        <v>49</v>
      </c>
      <c r="I18" s="4">
        <v>60</v>
      </c>
      <c r="J18" s="3">
        <v>60</v>
      </c>
      <c r="K18" s="14">
        <v>51</v>
      </c>
      <c r="L18" s="14">
        <v>53</v>
      </c>
      <c r="M18" s="15">
        <v>43</v>
      </c>
      <c r="N18" s="15">
        <v>48</v>
      </c>
      <c r="O18" s="25">
        <v>46</v>
      </c>
      <c r="P18" s="25">
        <v>39</v>
      </c>
      <c r="Q18" s="9">
        <v>41</v>
      </c>
      <c r="R18" s="8">
        <v>42</v>
      </c>
      <c r="S18" s="9">
        <v>42</v>
      </c>
      <c r="T18" s="8">
        <v>44</v>
      </c>
      <c r="U18" s="9">
        <v>57</v>
      </c>
      <c r="V18" s="9">
        <v>45</v>
      </c>
      <c r="W18" s="9">
        <v>40</v>
      </c>
      <c r="X18" s="9">
        <v>36</v>
      </c>
      <c r="Y18" s="9">
        <v>36</v>
      </c>
      <c r="Z18" s="9">
        <v>34</v>
      </c>
      <c r="AA18" s="9">
        <v>25</v>
      </c>
      <c r="AB18" s="9">
        <v>14</v>
      </c>
      <c r="AC18" s="9">
        <v>13</v>
      </c>
      <c r="AD18" s="9">
        <v>15</v>
      </c>
      <c r="AE18" s="9">
        <v>12</v>
      </c>
      <c r="AF18" s="203">
        <v>14</v>
      </c>
    </row>
    <row r="19" spans="1:32" x14ac:dyDescent="0.2">
      <c r="B19" s="44" t="s">
        <v>17</v>
      </c>
      <c r="C19" s="45">
        <v>101</v>
      </c>
      <c r="D19" s="3">
        <v>88</v>
      </c>
      <c r="E19" s="4">
        <v>120</v>
      </c>
      <c r="F19" s="3">
        <f>103+1</f>
        <v>104</v>
      </c>
      <c r="G19" s="4">
        <v>108</v>
      </c>
      <c r="H19" s="3">
        <v>118</v>
      </c>
      <c r="I19" s="4">
        <v>114</v>
      </c>
      <c r="J19" s="3">
        <v>99</v>
      </c>
      <c r="K19" s="14">
        <v>93</v>
      </c>
      <c r="L19" s="14">
        <v>99</v>
      </c>
      <c r="M19" s="15">
        <v>86</v>
      </c>
      <c r="N19" s="15">
        <v>84</v>
      </c>
      <c r="O19" s="25">
        <v>94</v>
      </c>
      <c r="P19" s="25">
        <v>110</v>
      </c>
      <c r="Q19" s="16">
        <v>112</v>
      </c>
      <c r="R19" s="170">
        <v>116</v>
      </c>
      <c r="S19" s="9">
        <v>121</v>
      </c>
      <c r="T19" s="8">
        <v>112</v>
      </c>
      <c r="U19" s="9">
        <v>94</v>
      </c>
      <c r="V19" s="9">
        <v>86</v>
      </c>
      <c r="W19" s="9">
        <v>69</v>
      </c>
      <c r="X19" s="9">
        <v>88</v>
      </c>
      <c r="Y19" s="9">
        <v>81</v>
      </c>
      <c r="Z19" s="9">
        <v>98</v>
      </c>
      <c r="AA19" s="9">
        <v>85</v>
      </c>
      <c r="AB19" s="9">
        <v>53</v>
      </c>
      <c r="AC19" s="9">
        <v>50</v>
      </c>
      <c r="AD19" s="9">
        <v>47</v>
      </c>
      <c r="AE19" s="9">
        <v>64</v>
      </c>
      <c r="AF19" s="203">
        <v>55</v>
      </c>
    </row>
    <row r="20" spans="1:32" x14ac:dyDescent="0.2">
      <c r="B20" s="44" t="s">
        <v>15</v>
      </c>
      <c r="C20" s="45">
        <v>408</v>
      </c>
      <c r="D20" s="3">
        <v>372</v>
      </c>
      <c r="E20" s="4">
        <f>398+1</f>
        <v>399</v>
      </c>
      <c r="F20" s="3">
        <f>368+1</f>
        <v>369</v>
      </c>
      <c r="G20" s="4">
        <v>341</v>
      </c>
      <c r="H20" s="3">
        <v>382</v>
      </c>
      <c r="I20" s="4">
        <v>341</v>
      </c>
      <c r="J20" s="3">
        <v>312</v>
      </c>
      <c r="K20" s="14">
        <v>298</v>
      </c>
      <c r="L20" s="14">
        <v>269</v>
      </c>
      <c r="M20" s="15">
        <v>273</v>
      </c>
      <c r="N20" s="15">
        <v>292</v>
      </c>
      <c r="O20" s="25">
        <v>293</v>
      </c>
      <c r="P20" s="25">
        <v>302</v>
      </c>
      <c r="Q20" s="9">
        <v>305</v>
      </c>
      <c r="R20" s="8">
        <v>309</v>
      </c>
      <c r="S20" s="9">
        <v>294</v>
      </c>
      <c r="T20" s="8">
        <v>330</v>
      </c>
      <c r="U20" s="9">
        <v>351</v>
      </c>
      <c r="V20" s="9">
        <v>375</v>
      </c>
      <c r="W20" s="9">
        <v>437</v>
      </c>
      <c r="X20" s="9">
        <v>442</v>
      </c>
      <c r="Y20" s="9">
        <v>451</v>
      </c>
      <c r="Z20" s="9">
        <v>402</v>
      </c>
      <c r="AA20" s="9">
        <v>359</v>
      </c>
      <c r="AB20" s="9">
        <v>155</v>
      </c>
      <c r="AC20" s="9">
        <v>133</v>
      </c>
      <c r="AD20" s="9">
        <v>120</v>
      </c>
      <c r="AE20" s="9">
        <v>114</v>
      </c>
      <c r="AF20" s="203">
        <v>114</v>
      </c>
    </row>
    <row r="21" spans="1:32" x14ac:dyDescent="0.2">
      <c r="B21" s="44" t="s">
        <v>49</v>
      </c>
      <c r="C21" s="45"/>
      <c r="D21" s="3"/>
      <c r="E21" s="4"/>
      <c r="F21" s="3"/>
      <c r="G21" s="4"/>
      <c r="H21" s="3"/>
      <c r="I21" s="4"/>
      <c r="J21" s="3"/>
      <c r="K21" s="14"/>
      <c r="L21" s="14"/>
      <c r="M21" s="15"/>
      <c r="N21" s="15"/>
      <c r="O21" s="25"/>
      <c r="P21" s="25"/>
      <c r="Q21" s="16"/>
      <c r="R21" s="8"/>
      <c r="S21" s="9"/>
      <c r="T21" s="179"/>
      <c r="U21" s="9">
        <v>14</v>
      </c>
      <c r="V21" s="9">
        <v>14</v>
      </c>
      <c r="W21" s="9">
        <v>15</v>
      </c>
      <c r="X21" s="9">
        <v>18</v>
      </c>
      <c r="Y21" s="9">
        <v>14</v>
      </c>
      <c r="Z21" s="9">
        <v>43</v>
      </c>
      <c r="AA21" s="9">
        <v>11</v>
      </c>
      <c r="AB21" s="9">
        <v>5</v>
      </c>
      <c r="AC21" s="9">
        <v>2</v>
      </c>
      <c r="AD21" s="9">
        <v>4</v>
      </c>
      <c r="AE21" s="9">
        <v>6</v>
      </c>
      <c r="AF21" s="203">
        <v>8</v>
      </c>
    </row>
    <row r="22" spans="1:32" x14ac:dyDescent="0.2">
      <c r="A22" s="26"/>
      <c r="B22" s="44" t="s">
        <v>18</v>
      </c>
      <c r="C22" s="45">
        <f>129+58</f>
        <v>187</v>
      </c>
      <c r="D22" s="3">
        <f>120+60</f>
        <v>180</v>
      </c>
      <c r="E22" s="4">
        <f>125+72</f>
        <v>197</v>
      </c>
      <c r="F22" s="3">
        <f>128+50</f>
        <v>178</v>
      </c>
      <c r="G22" s="4">
        <f>126+56</f>
        <v>182</v>
      </c>
      <c r="H22" s="3">
        <f>142+52</f>
        <v>194</v>
      </c>
      <c r="I22" s="4">
        <f>138+40</f>
        <v>178</v>
      </c>
      <c r="J22" s="3">
        <v>172</v>
      </c>
      <c r="K22" s="14">
        <f>124+65</f>
        <v>189</v>
      </c>
      <c r="L22" s="14">
        <f>96+77</f>
        <v>173</v>
      </c>
      <c r="M22" s="15">
        <f>83+80</f>
        <v>163</v>
      </c>
      <c r="N22" s="15">
        <v>159</v>
      </c>
      <c r="O22" s="25">
        <v>178</v>
      </c>
      <c r="P22" s="25">
        <v>64</v>
      </c>
      <c r="Q22" s="9">
        <f>70+106</f>
        <v>176</v>
      </c>
      <c r="R22" s="8">
        <v>202</v>
      </c>
      <c r="S22" s="9">
        <v>104</v>
      </c>
      <c r="T22" s="8">
        <v>102</v>
      </c>
      <c r="U22" s="9">
        <f>129+137</f>
        <v>266</v>
      </c>
      <c r="V22" s="9">
        <v>287</v>
      </c>
      <c r="W22" s="9">
        <v>399</v>
      </c>
      <c r="X22" s="9">
        <v>439</v>
      </c>
      <c r="Y22" s="9">
        <v>459</v>
      </c>
      <c r="Z22" s="9">
        <v>452</v>
      </c>
      <c r="AA22" s="9">
        <v>478</v>
      </c>
      <c r="AB22" s="9">
        <v>368</v>
      </c>
      <c r="AC22" s="9">
        <v>347</v>
      </c>
      <c r="AD22" s="9">
        <v>365</v>
      </c>
      <c r="AE22" s="9">
        <v>357</v>
      </c>
      <c r="AF22" s="203">
        <v>364</v>
      </c>
    </row>
    <row r="23" spans="1:32" x14ac:dyDescent="0.2">
      <c r="A23" s="26"/>
      <c r="B23" s="44" t="s">
        <v>50</v>
      </c>
      <c r="C23" s="45"/>
      <c r="D23" s="3"/>
      <c r="E23" s="4"/>
      <c r="F23" s="3"/>
      <c r="G23" s="4"/>
      <c r="H23" s="3"/>
      <c r="I23" s="4"/>
      <c r="J23" s="3">
        <v>40</v>
      </c>
      <c r="K23" s="14">
        <f>38+63+21</f>
        <v>122</v>
      </c>
      <c r="L23" s="14">
        <f>50+85+25</f>
        <v>160</v>
      </c>
      <c r="M23" s="15">
        <f>61+106+31</f>
        <v>198</v>
      </c>
      <c r="N23" s="15">
        <v>238</v>
      </c>
      <c r="O23" s="25">
        <v>244</v>
      </c>
      <c r="P23" s="25">
        <v>359</v>
      </c>
      <c r="Q23" s="9">
        <f>83+146+42</f>
        <v>271</v>
      </c>
      <c r="R23" s="8">
        <v>287</v>
      </c>
      <c r="S23" s="9">
        <v>423</v>
      </c>
      <c r="T23" s="179"/>
      <c r="U23" s="9">
        <v>76</v>
      </c>
      <c r="V23" s="9">
        <v>127</v>
      </c>
      <c r="W23" s="9">
        <v>161</v>
      </c>
      <c r="X23" s="9">
        <v>230</v>
      </c>
      <c r="Y23" s="9">
        <v>249</v>
      </c>
      <c r="Z23" s="9">
        <v>246</v>
      </c>
      <c r="AA23" s="9">
        <v>235</v>
      </c>
      <c r="AB23" s="9">
        <v>179</v>
      </c>
      <c r="AC23" s="9">
        <v>157</v>
      </c>
      <c r="AD23" s="9">
        <v>155</v>
      </c>
      <c r="AE23" s="9">
        <v>166</v>
      </c>
      <c r="AF23" s="203">
        <v>154</v>
      </c>
    </row>
    <row r="24" spans="1:32" x14ac:dyDescent="0.2">
      <c r="B24" s="44" t="s">
        <v>32</v>
      </c>
      <c r="C24" s="45"/>
      <c r="D24" s="3"/>
      <c r="E24" s="4"/>
      <c r="F24" s="3"/>
      <c r="G24" s="4"/>
      <c r="H24" s="3"/>
      <c r="I24" s="4"/>
      <c r="J24" s="3"/>
      <c r="K24" s="14"/>
      <c r="L24" s="14"/>
      <c r="M24" s="15"/>
      <c r="N24" s="15"/>
      <c r="O24" s="25"/>
      <c r="P24" s="25"/>
      <c r="Q24" s="9"/>
      <c r="R24" s="8"/>
      <c r="S24" s="9"/>
      <c r="T24" s="8">
        <f>142+106+140+51</f>
        <v>439</v>
      </c>
      <c r="U24" s="9">
        <v>160</v>
      </c>
      <c r="V24" s="9">
        <v>176</v>
      </c>
      <c r="W24" s="9">
        <v>29</v>
      </c>
      <c r="X24" s="4">
        <v>76</v>
      </c>
      <c r="Y24" s="4">
        <v>114</v>
      </c>
      <c r="Z24" s="4">
        <v>103</v>
      </c>
      <c r="AA24" s="4">
        <v>92</v>
      </c>
      <c r="AB24" s="4">
        <v>42</v>
      </c>
      <c r="AC24" s="4">
        <v>37</v>
      </c>
      <c r="AD24" s="4">
        <v>29</v>
      </c>
      <c r="AE24" s="4">
        <v>17</v>
      </c>
      <c r="AF24" s="203">
        <v>11</v>
      </c>
    </row>
    <row r="25" spans="1:32" ht="13.5" thickBot="1" x14ac:dyDescent="0.25">
      <c r="B25" s="46" t="s">
        <v>19</v>
      </c>
      <c r="C25" s="47">
        <v>5629</v>
      </c>
      <c r="D25" s="6">
        <v>5705</v>
      </c>
      <c r="E25" s="7">
        <f>5876+14</f>
        <v>5890</v>
      </c>
      <c r="F25" s="6">
        <f>5467+4</f>
        <v>5471</v>
      </c>
      <c r="G25" s="7">
        <v>5331</v>
      </c>
      <c r="H25" s="6">
        <v>5277</v>
      </c>
      <c r="I25" s="7">
        <v>5152</v>
      </c>
      <c r="J25" s="6">
        <v>4942</v>
      </c>
      <c r="K25" s="48">
        <v>5056</v>
      </c>
      <c r="L25" s="48">
        <v>5227</v>
      </c>
      <c r="M25" s="49">
        <v>5146</v>
      </c>
      <c r="N25" s="49">
        <v>5166</v>
      </c>
      <c r="O25" s="73">
        <v>5373</v>
      </c>
      <c r="P25" s="73">
        <v>5533</v>
      </c>
      <c r="Q25" s="10">
        <v>5749</v>
      </c>
      <c r="R25" s="116">
        <v>5717</v>
      </c>
      <c r="S25" s="10">
        <v>5497</v>
      </c>
      <c r="T25" s="116">
        <v>5367</v>
      </c>
      <c r="U25" s="10">
        <v>5319</v>
      </c>
      <c r="V25" s="10">
        <v>5169</v>
      </c>
      <c r="W25" s="10">
        <v>5324</v>
      </c>
      <c r="X25" s="10">
        <v>5287</v>
      </c>
      <c r="Y25" s="10">
        <v>5322</v>
      </c>
      <c r="Z25" s="10">
        <v>5074</v>
      </c>
      <c r="AA25" s="10">
        <v>4562</v>
      </c>
      <c r="AB25" s="10">
        <v>2764</v>
      </c>
      <c r="AC25" s="10">
        <v>2568</v>
      </c>
      <c r="AD25" s="10">
        <v>2502</v>
      </c>
      <c r="AE25" s="10">
        <v>2403</v>
      </c>
      <c r="AF25" s="205">
        <v>2410</v>
      </c>
    </row>
    <row r="26" spans="1:32" ht="14.25" hidden="1" thickTop="1" thickBot="1" x14ac:dyDescent="0.25">
      <c r="B26" s="44" t="s">
        <v>33</v>
      </c>
      <c r="C26" s="45"/>
      <c r="D26" s="3"/>
      <c r="E26" s="4"/>
      <c r="F26" s="3"/>
      <c r="G26" s="4"/>
      <c r="H26" s="3"/>
      <c r="I26" s="4"/>
      <c r="J26" s="3"/>
      <c r="K26" s="14">
        <v>3</v>
      </c>
      <c r="L26" s="4">
        <v>7</v>
      </c>
      <c r="M26" s="11">
        <v>2</v>
      </c>
      <c r="N26" s="15">
        <v>3</v>
      </c>
      <c r="O26" s="25">
        <v>3</v>
      </c>
      <c r="P26" s="25">
        <v>3</v>
      </c>
      <c r="Q26" s="12"/>
    </row>
    <row r="27" spans="1:32" ht="14.25" hidden="1" thickTop="1" thickBot="1" x14ac:dyDescent="0.25">
      <c r="B27" s="44" t="s">
        <v>34</v>
      </c>
      <c r="C27" s="45"/>
      <c r="D27" s="3"/>
      <c r="E27" s="4"/>
      <c r="F27" s="3"/>
      <c r="G27" s="4"/>
      <c r="H27" s="3"/>
      <c r="I27" s="4"/>
      <c r="J27" s="3"/>
      <c r="K27" s="14">
        <v>5</v>
      </c>
      <c r="L27" s="4">
        <v>9</v>
      </c>
      <c r="M27" s="11">
        <v>14</v>
      </c>
      <c r="N27" s="15">
        <v>18</v>
      </c>
      <c r="O27" s="25">
        <v>23</v>
      </c>
      <c r="P27" s="25">
        <v>23</v>
      </c>
      <c r="Q27" s="12"/>
    </row>
    <row r="28" spans="1:32" ht="14.25" hidden="1" thickTop="1" thickBot="1" x14ac:dyDescent="0.25">
      <c r="B28" s="44" t="s">
        <v>35</v>
      </c>
      <c r="C28" s="45"/>
      <c r="D28" s="3"/>
      <c r="E28" s="4"/>
      <c r="F28" s="3"/>
      <c r="G28" s="4"/>
      <c r="H28" s="3"/>
      <c r="I28" s="4"/>
      <c r="J28" s="3"/>
      <c r="K28" s="14">
        <v>1</v>
      </c>
      <c r="L28" s="4">
        <v>4</v>
      </c>
      <c r="M28" s="11">
        <v>9</v>
      </c>
      <c r="N28" s="15">
        <v>8</v>
      </c>
      <c r="O28" s="55">
        <v>12</v>
      </c>
      <c r="P28" s="74">
        <v>12</v>
      </c>
      <c r="Q28" s="76"/>
      <c r="R28" s="26"/>
      <c r="S28" s="26"/>
      <c r="T28" s="26"/>
    </row>
    <row r="29" spans="1:32" ht="13.5" thickTop="1" x14ac:dyDescent="0.2">
      <c r="P29" s="21"/>
      <c r="Q29" s="54"/>
    </row>
    <row r="30" spans="1:32" x14ac:dyDescent="0.2">
      <c r="B30" s="28"/>
    </row>
    <row r="31" spans="1:32" hidden="1" x14ac:dyDescent="0.2"/>
    <row r="55" ht="57.75" customHeight="1" x14ac:dyDescent="0.2"/>
    <row r="56" ht="48.75" customHeight="1" x14ac:dyDescent="0.2"/>
    <row r="57" ht="17.25" customHeight="1" x14ac:dyDescent="0.2"/>
    <row r="58" ht="48.75" customHeight="1" x14ac:dyDescent="0.2"/>
    <row r="61" ht="19.5" customHeight="1" x14ac:dyDescent="0.2"/>
  </sheetData>
  <mergeCells count="1">
    <mergeCell ref="A2:Q2"/>
  </mergeCells>
  <phoneticPr fontId="0" type="noConversion"/>
  <printOptions horizontalCentered="1"/>
  <pageMargins left="0.69" right="0.75" top="0.75" bottom="0.75" header="0.5" footer="0.5"/>
  <pageSetup scale="96" orientation="portrait" r:id="rId1"/>
  <headerFooter alignWithMargins="0"/>
  <ignoredErrors>
    <ignoredError sqref="R9:AA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>
    <tabColor indexed="45"/>
    <pageSetUpPr fitToPage="1"/>
  </sheetPr>
  <dimension ref="A1:AF51"/>
  <sheetViews>
    <sheetView view="pageBreakPreview" zoomScale="95" zoomScaleNormal="100" zoomScaleSheetLayoutView="95" workbookViewId="0">
      <selection activeCell="AE10" sqref="AE10"/>
    </sheetView>
  </sheetViews>
  <sheetFormatPr defaultRowHeight="12.75" x14ac:dyDescent="0.2"/>
  <cols>
    <col min="1" max="1" width="1.7109375" customWidth="1"/>
    <col min="2" max="2" width="20.7109375" customWidth="1"/>
    <col min="3" max="16" width="0" hidden="1" customWidth="1"/>
    <col min="17" max="17" width="8.42578125" hidden="1" customWidth="1"/>
    <col min="18" max="27" width="0" hidden="1" customWidth="1"/>
  </cols>
  <sheetData>
    <row r="1" spans="1:32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22.5" customHeight="1" x14ac:dyDescent="0.35">
      <c r="A2" s="139" t="s">
        <v>30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40"/>
      <c r="V2" s="140"/>
      <c r="W2" s="140"/>
      <c r="X2" s="140"/>
      <c r="Y2" s="140"/>
      <c r="Z2" s="140"/>
      <c r="AA2" s="140"/>
      <c r="AB2" s="140"/>
      <c r="AC2" s="193"/>
      <c r="AD2" s="140"/>
      <c r="AE2" s="140"/>
    </row>
    <row r="3" spans="1:32" ht="22.5" customHeight="1" x14ac:dyDescent="0.35">
      <c r="A3" s="221" t="s">
        <v>41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40"/>
      <c r="X3" s="140"/>
      <c r="Y3" s="140"/>
      <c r="Z3" s="140"/>
      <c r="AA3" s="140"/>
      <c r="AB3" s="140"/>
      <c r="AC3" s="193"/>
      <c r="AD3" s="140"/>
      <c r="AE3" s="140"/>
    </row>
    <row r="4" spans="1:32" ht="13.5" thickBot="1" x14ac:dyDescent="0.25"/>
    <row r="5" spans="1:32" ht="13.5" thickTop="1" x14ac:dyDescent="0.2">
      <c r="B5" s="31"/>
      <c r="C5" s="32" t="s">
        <v>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 t="s">
        <v>0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33"/>
    </row>
    <row r="6" spans="1:32" ht="13.5" thickBot="1" x14ac:dyDescent="0.25">
      <c r="B6" s="34" t="s">
        <v>31</v>
      </c>
      <c r="C6" s="50" t="s">
        <v>1</v>
      </c>
      <c r="D6" s="51" t="s">
        <v>2</v>
      </c>
      <c r="E6" s="52" t="s">
        <v>3</v>
      </c>
      <c r="F6" s="51" t="s">
        <v>4</v>
      </c>
      <c r="G6" s="52" t="s">
        <v>5</v>
      </c>
      <c r="H6" s="51" t="s">
        <v>6</v>
      </c>
      <c r="I6" s="52" t="s">
        <v>21</v>
      </c>
      <c r="J6" s="51">
        <v>1997</v>
      </c>
      <c r="K6" s="58">
        <v>1998</v>
      </c>
      <c r="L6" s="58">
        <v>1999</v>
      </c>
      <c r="M6" s="38">
        <v>2000</v>
      </c>
      <c r="N6" s="38">
        <v>2001</v>
      </c>
      <c r="O6" s="37">
        <v>2002</v>
      </c>
      <c r="P6" s="37">
        <v>2003</v>
      </c>
      <c r="Q6" s="37">
        <v>2004</v>
      </c>
      <c r="R6" s="36">
        <v>2005</v>
      </c>
      <c r="S6" s="37">
        <v>2006</v>
      </c>
      <c r="T6" s="36">
        <v>2007</v>
      </c>
      <c r="U6" s="37">
        <v>2008</v>
      </c>
      <c r="V6" s="37">
        <v>2009</v>
      </c>
      <c r="W6" s="37">
        <v>2010</v>
      </c>
      <c r="X6" s="37">
        <v>2011</v>
      </c>
      <c r="Y6" s="37">
        <v>2012</v>
      </c>
      <c r="Z6" s="37">
        <v>2013</v>
      </c>
      <c r="AA6" s="37">
        <v>2014</v>
      </c>
      <c r="AB6" s="37">
        <v>2021</v>
      </c>
      <c r="AC6" s="189">
        <v>2022</v>
      </c>
      <c r="AD6" s="189">
        <v>2023</v>
      </c>
      <c r="AE6" s="189">
        <v>2024</v>
      </c>
      <c r="AF6" s="201">
        <v>2025</v>
      </c>
    </row>
    <row r="7" spans="1:32" ht="13.5" thickTop="1" x14ac:dyDescent="0.2">
      <c r="B7" s="31"/>
      <c r="C7" s="53"/>
      <c r="D7" s="54"/>
      <c r="E7" s="55"/>
      <c r="F7" s="54"/>
      <c r="G7" s="55"/>
      <c r="H7" s="54"/>
      <c r="I7" s="55"/>
      <c r="J7" s="54"/>
      <c r="K7" s="56"/>
      <c r="L7" s="56"/>
      <c r="M7" s="11"/>
      <c r="N7" s="41"/>
      <c r="O7" s="71"/>
      <c r="P7" s="12"/>
      <c r="Q7" s="12"/>
      <c r="S7" s="12"/>
      <c r="U7" s="12"/>
      <c r="V7" s="12"/>
      <c r="W7" s="12"/>
      <c r="X7" s="12"/>
      <c r="Y7" s="12"/>
      <c r="Z7" s="12"/>
      <c r="AA7" s="12"/>
      <c r="AB7" s="12"/>
      <c r="AC7" s="13"/>
      <c r="AD7" s="13"/>
      <c r="AE7" s="13"/>
      <c r="AF7" s="207"/>
    </row>
    <row r="8" spans="1:32" x14ac:dyDescent="0.2">
      <c r="B8" s="42" t="s">
        <v>7</v>
      </c>
      <c r="C8" s="43">
        <f t="shared" ref="C8:J8" si="0">SUM(C9:C10)</f>
        <v>2963</v>
      </c>
      <c r="D8" s="1">
        <f t="shared" si="0"/>
        <v>2752</v>
      </c>
      <c r="E8" s="2">
        <f t="shared" si="0"/>
        <v>2354</v>
      </c>
      <c r="F8" s="1">
        <f t="shared" si="0"/>
        <v>2137</v>
      </c>
      <c r="G8" s="2">
        <f t="shared" si="0"/>
        <v>2097</v>
      </c>
      <c r="H8" s="1">
        <f t="shared" si="0"/>
        <v>2088</v>
      </c>
      <c r="I8" s="2">
        <f t="shared" si="0"/>
        <v>2286</v>
      </c>
      <c r="J8" s="1">
        <f t="shared" si="0"/>
        <v>2477</v>
      </c>
      <c r="K8" s="17">
        <f t="shared" ref="K8:Q8" si="1">SUM(K9:K10)</f>
        <v>2625</v>
      </c>
      <c r="L8" s="17">
        <f t="shared" si="1"/>
        <v>2807</v>
      </c>
      <c r="M8" s="17">
        <f t="shared" si="1"/>
        <v>2948</v>
      </c>
      <c r="N8" s="17">
        <f t="shared" si="1"/>
        <v>3098</v>
      </c>
      <c r="O8" s="2">
        <f t="shared" si="1"/>
        <v>2925</v>
      </c>
      <c r="P8" s="2">
        <f t="shared" si="1"/>
        <v>2761</v>
      </c>
      <c r="Q8" s="2">
        <f t="shared" si="1"/>
        <v>2620</v>
      </c>
      <c r="R8" s="1">
        <f t="shared" ref="R8:W8" si="2">SUM(R9:R10)</f>
        <v>2449</v>
      </c>
      <c r="S8" s="2">
        <f t="shared" si="2"/>
        <v>2534</v>
      </c>
      <c r="T8" s="1">
        <f t="shared" si="2"/>
        <v>2545</v>
      </c>
      <c r="U8" s="2">
        <f t="shared" si="2"/>
        <v>2553</v>
      </c>
      <c r="V8" s="2">
        <f t="shared" si="2"/>
        <v>2522</v>
      </c>
      <c r="W8" s="2">
        <f t="shared" si="2"/>
        <v>2493</v>
      </c>
      <c r="X8" s="2">
        <f t="shared" ref="X8:AA8" si="3">SUM(X9:X10)</f>
        <v>2566</v>
      </c>
      <c r="Y8" s="2">
        <f t="shared" si="3"/>
        <v>2603</v>
      </c>
      <c r="Z8" s="2">
        <f t="shared" si="3"/>
        <v>2675</v>
      </c>
      <c r="AA8" s="2">
        <f t="shared" si="3"/>
        <v>2774</v>
      </c>
      <c r="AB8" s="2">
        <v>2467</v>
      </c>
      <c r="AC8" s="183">
        <v>2480</v>
      </c>
      <c r="AD8" s="183">
        <v>2514</v>
      </c>
      <c r="AE8" s="183">
        <v>2595</v>
      </c>
      <c r="AF8" s="202">
        <f>SUM(AF9:AF10)</f>
        <v>2646</v>
      </c>
    </row>
    <row r="9" spans="1:32" x14ac:dyDescent="0.2">
      <c r="B9" s="44" t="s">
        <v>8</v>
      </c>
      <c r="C9" s="45">
        <v>2710</v>
      </c>
      <c r="D9" s="3">
        <v>2524</v>
      </c>
      <c r="E9" s="4">
        <f>2171+1</f>
        <v>2172</v>
      </c>
      <c r="F9" s="3">
        <f>1927+3</f>
        <v>1930</v>
      </c>
      <c r="G9" s="4">
        <v>1905</v>
      </c>
      <c r="H9" s="3">
        <v>1894</v>
      </c>
      <c r="I9" s="4">
        <v>2032</v>
      </c>
      <c r="J9" s="3">
        <v>2191</v>
      </c>
      <c r="K9" s="14">
        <v>2281</v>
      </c>
      <c r="L9" s="14">
        <v>2502</v>
      </c>
      <c r="M9" s="15">
        <v>2665</v>
      </c>
      <c r="N9" s="15">
        <v>2774</v>
      </c>
      <c r="O9" s="25">
        <v>2640</v>
      </c>
      <c r="P9" s="25">
        <v>2402</v>
      </c>
      <c r="Q9" s="9">
        <v>2325</v>
      </c>
      <c r="R9" s="8">
        <v>2188</v>
      </c>
      <c r="S9" s="9">
        <v>2289</v>
      </c>
      <c r="T9" s="8">
        <v>2310</v>
      </c>
      <c r="U9" s="9">
        <v>2306</v>
      </c>
      <c r="V9" s="9">
        <v>2328</v>
      </c>
      <c r="W9" s="9">
        <v>2294</v>
      </c>
      <c r="X9" s="9">
        <v>2357</v>
      </c>
      <c r="Y9" s="9">
        <v>2387</v>
      </c>
      <c r="Z9" s="9">
        <v>2436</v>
      </c>
      <c r="AA9" s="9">
        <v>2557</v>
      </c>
      <c r="AB9" s="9">
        <v>2310</v>
      </c>
      <c r="AC9" s="30">
        <v>2330</v>
      </c>
      <c r="AD9" s="30">
        <v>2378</v>
      </c>
      <c r="AE9" s="30">
        <v>2475</v>
      </c>
      <c r="AF9" s="203">
        <v>2493</v>
      </c>
    </row>
    <row r="10" spans="1:32" x14ac:dyDescent="0.2">
      <c r="B10" s="44" t="s">
        <v>9</v>
      </c>
      <c r="C10" s="45">
        <v>253</v>
      </c>
      <c r="D10" s="3">
        <v>228</v>
      </c>
      <c r="E10" s="4">
        <f>178+4</f>
        <v>182</v>
      </c>
      <c r="F10" s="3">
        <f>202+5</f>
        <v>207</v>
      </c>
      <c r="G10" s="4">
        <v>192</v>
      </c>
      <c r="H10" s="3">
        <v>194</v>
      </c>
      <c r="I10" s="4">
        <v>254</v>
      </c>
      <c r="J10" s="3">
        <v>286</v>
      </c>
      <c r="K10" s="14">
        <v>344</v>
      </c>
      <c r="L10" s="14">
        <v>305</v>
      </c>
      <c r="M10" s="15">
        <v>283</v>
      </c>
      <c r="N10" s="15">
        <v>324</v>
      </c>
      <c r="O10" s="25">
        <v>285</v>
      </c>
      <c r="P10" s="25">
        <v>359</v>
      </c>
      <c r="Q10" s="23">
        <v>295</v>
      </c>
      <c r="R10" s="69">
        <v>261</v>
      </c>
      <c r="S10" s="23">
        <v>245</v>
      </c>
      <c r="T10" s="69">
        <v>235</v>
      </c>
      <c r="U10" s="23">
        <v>247</v>
      </c>
      <c r="V10" s="23">
        <v>194</v>
      </c>
      <c r="W10" s="23">
        <v>199</v>
      </c>
      <c r="X10" s="23">
        <v>209</v>
      </c>
      <c r="Y10" s="23">
        <v>216</v>
      </c>
      <c r="Z10" s="23">
        <v>239</v>
      </c>
      <c r="AA10" s="23">
        <v>217</v>
      </c>
      <c r="AB10" s="23">
        <v>157</v>
      </c>
      <c r="AC10" s="191">
        <v>150</v>
      </c>
      <c r="AD10" s="191">
        <v>136</v>
      </c>
      <c r="AE10" s="191">
        <v>120</v>
      </c>
      <c r="AF10" s="203">
        <v>153</v>
      </c>
    </row>
    <row r="11" spans="1:32" x14ac:dyDescent="0.2">
      <c r="B11" s="44" t="s">
        <v>10</v>
      </c>
      <c r="C11" s="45">
        <v>2648</v>
      </c>
      <c r="D11" s="3">
        <v>2467</v>
      </c>
      <c r="E11" s="4">
        <f>2105+5</f>
        <v>2110</v>
      </c>
      <c r="F11" s="3">
        <f>1889+8</f>
        <v>1897</v>
      </c>
      <c r="G11" s="4">
        <v>1858</v>
      </c>
      <c r="H11" s="3">
        <v>1876</v>
      </c>
      <c r="I11" s="4">
        <v>2095</v>
      </c>
      <c r="J11" s="3">
        <v>2282</v>
      </c>
      <c r="K11" s="14">
        <v>2410</v>
      </c>
      <c r="L11" s="14">
        <v>2596</v>
      </c>
      <c r="M11" s="15">
        <v>2739</v>
      </c>
      <c r="N11" s="15">
        <v>2845</v>
      </c>
      <c r="O11" s="25">
        <v>2662</v>
      </c>
      <c r="P11" s="25">
        <v>2521</v>
      </c>
      <c r="Q11" s="9">
        <v>2364</v>
      </c>
      <c r="R11" s="8">
        <v>2207</v>
      </c>
      <c r="S11" s="9">
        <v>2251</v>
      </c>
      <c r="T11" s="8">
        <v>2197</v>
      </c>
      <c r="U11" s="9">
        <v>2103</v>
      </c>
      <c r="V11" s="9">
        <v>1943</v>
      </c>
      <c r="W11" s="9">
        <v>1862</v>
      </c>
      <c r="X11" s="9">
        <v>1898</v>
      </c>
      <c r="Y11" s="9">
        <v>1922</v>
      </c>
      <c r="Z11" s="9">
        <v>1979</v>
      </c>
      <c r="AA11" s="9">
        <v>2083</v>
      </c>
      <c r="AB11" s="9">
        <v>1997</v>
      </c>
      <c r="AC11" s="30">
        <v>2009</v>
      </c>
      <c r="AD11" s="30">
        <v>2061</v>
      </c>
      <c r="AE11" s="30">
        <v>2098</v>
      </c>
      <c r="AF11" s="203">
        <v>2125</v>
      </c>
    </row>
    <row r="12" spans="1:32" x14ac:dyDescent="0.2">
      <c r="B12" s="44" t="s">
        <v>11</v>
      </c>
      <c r="C12" s="45">
        <v>315</v>
      </c>
      <c r="D12" s="3">
        <v>285</v>
      </c>
      <c r="E12" s="4">
        <v>244</v>
      </c>
      <c r="F12" s="3">
        <v>240</v>
      </c>
      <c r="G12" s="4">
        <v>239</v>
      </c>
      <c r="H12" s="3">
        <v>212</v>
      </c>
      <c r="I12" s="4">
        <v>191</v>
      </c>
      <c r="J12" s="3">
        <v>195</v>
      </c>
      <c r="K12" s="14">
        <v>215</v>
      </c>
      <c r="L12" s="14">
        <v>211</v>
      </c>
      <c r="M12" s="15">
        <v>209</v>
      </c>
      <c r="N12" s="15">
        <v>253</v>
      </c>
      <c r="O12" s="25">
        <v>263</v>
      </c>
      <c r="P12" s="25">
        <v>240</v>
      </c>
      <c r="Q12" s="23">
        <v>256</v>
      </c>
      <c r="R12" s="69">
        <v>242</v>
      </c>
      <c r="S12" s="23">
        <v>283</v>
      </c>
      <c r="T12" s="69">
        <v>348</v>
      </c>
      <c r="U12" s="23">
        <v>450</v>
      </c>
      <c r="V12" s="23">
        <v>579</v>
      </c>
      <c r="W12" s="23">
        <v>631</v>
      </c>
      <c r="X12" s="23">
        <v>668</v>
      </c>
      <c r="Y12" s="23">
        <v>681</v>
      </c>
      <c r="Z12" s="23">
        <v>696</v>
      </c>
      <c r="AA12" s="23">
        <v>691</v>
      </c>
      <c r="AB12" s="23">
        <v>470</v>
      </c>
      <c r="AC12" s="191">
        <v>471</v>
      </c>
      <c r="AD12" s="191">
        <v>453</v>
      </c>
      <c r="AE12" s="191">
        <v>497</v>
      </c>
      <c r="AF12" s="203">
        <v>521</v>
      </c>
    </row>
    <row r="13" spans="1:32" x14ac:dyDescent="0.2">
      <c r="B13" s="44" t="s">
        <v>12</v>
      </c>
      <c r="C13" s="45">
        <v>1697</v>
      </c>
      <c r="D13" s="3">
        <v>1565</v>
      </c>
      <c r="E13" s="4">
        <f>1324+3</f>
        <v>1327</v>
      </c>
      <c r="F13" s="3">
        <f>1174+2</f>
        <v>1176</v>
      </c>
      <c r="G13" s="4">
        <v>1141</v>
      </c>
      <c r="H13" s="3">
        <v>1117</v>
      </c>
      <c r="I13" s="4">
        <v>1231</v>
      </c>
      <c r="J13" s="3">
        <v>1353</v>
      </c>
      <c r="K13" s="14">
        <v>1432</v>
      </c>
      <c r="L13" s="14">
        <v>1543</v>
      </c>
      <c r="M13" s="15">
        <v>1650</v>
      </c>
      <c r="N13" s="15">
        <v>1777</v>
      </c>
      <c r="O13" s="25">
        <v>1681</v>
      </c>
      <c r="P13" s="25">
        <v>1575</v>
      </c>
      <c r="Q13" s="9">
        <v>1524</v>
      </c>
      <c r="R13" s="8">
        <v>1403</v>
      </c>
      <c r="S13" s="9">
        <v>1448</v>
      </c>
      <c r="T13" s="8">
        <v>1490</v>
      </c>
      <c r="U13" s="9">
        <v>1525</v>
      </c>
      <c r="V13" s="9">
        <v>1507</v>
      </c>
      <c r="W13" s="9">
        <v>1516</v>
      </c>
      <c r="X13" s="9">
        <v>1574</v>
      </c>
      <c r="Y13" s="9">
        <v>1602</v>
      </c>
      <c r="Z13" s="9">
        <v>1638</v>
      </c>
      <c r="AA13" s="9">
        <v>1715</v>
      </c>
      <c r="AB13" s="9">
        <v>1563</v>
      </c>
      <c r="AC13" s="30">
        <v>1574</v>
      </c>
      <c r="AD13" s="30">
        <v>1556</v>
      </c>
      <c r="AE13" s="30">
        <v>1618</v>
      </c>
      <c r="AF13" s="203">
        <v>1634</v>
      </c>
    </row>
    <row r="14" spans="1:32" x14ac:dyDescent="0.2">
      <c r="B14" s="44" t="s">
        <v>13</v>
      </c>
      <c r="C14" s="45">
        <v>1266</v>
      </c>
      <c r="D14" s="3">
        <v>1187</v>
      </c>
      <c r="E14" s="4">
        <f>1025+2</f>
        <v>1027</v>
      </c>
      <c r="F14" s="3">
        <f>955+6</f>
        <v>961</v>
      </c>
      <c r="G14" s="4">
        <v>956</v>
      </c>
      <c r="H14" s="3">
        <v>971</v>
      </c>
      <c r="I14" s="4">
        <v>1055</v>
      </c>
      <c r="J14" s="3">
        <v>1124</v>
      </c>
      <c r="K14" s="14">
        <v>1193</v>
      </c>
      <c r="L14" s="14">
        <v>1264</v>
      </c>
      <c r="M14" s="15">
        <v>1298</v>
      </c>
      <c r="N14" s="15">
        <v>1321</v>
      </c>
      <c r="O14" s="25">
        <v>1244</v>
      </c>
      <c r="P14" s="25">
        <v>1186</v>
      </c>
      <c r="Q14" s="9">
        <v>1096</v>
      </c>
      <c r="R14" s="8">
        <v>1046</v>
      </c>
      <c r="S14" s="9">
        <v>1086</v>
      </c>
      <c r="T14" s="8">
        <v>1055</v>
      </c>
      <c r="U14" s="9">
        <v>1028</v>
      </c>
      <c r="V14" s="9">
        <v>1015</v>
      </c>
      <c r="W14" s="9">
        <v>977</v>
      </c>
      <c r="X14" s="9">
        <v>992</v>
      </c>
      <c r="Y14" s="9">
        <v>1001</v>
      </c>
      <c r="Z14" s="9">
        <v>1037</v>
      </c>
      <c r="AA14" s="9">
        <v>1059</v>
      </c>
      <c r="AB14" s="9">
        <v>904</v>
      </c>
      <c r="AC14" s="30">
        <v>906</v>
      </c>
      <c r="AD14" s="30">
        <v>958</v>
      </c>
      <c r="AE14" s="30">
        <v>977</v>
      </c>
      <c r="AF14" s="203">
        <v>1012</v>
      </c>
    </row>
    <row r="15" spans="1:32" x14ac:dyDescent="0.2">
      <c r="B15" s="44" t="s">
        <v>14</v>
      </c>
      <c r="C15" s="45">
        <v>27</v>
      </c>
      <c r="D15" s="3">
        <v>26</v>
      </c>
      <c r="E15" s="4">
        <v>36</v>
      </c>
      <c r="F15" s="3">
        <v>43</v>
      </c>
      <c r="G15" s="4">
        <v>60</v>
      </c>
      <c r="H15" s="3">
        <v>41</v>
      </c>
      <c r="I15" s="4">
        <v>39</v>
      </c>
      <c r="J15" s="3">
        <v>29</v>
      </c>
      <c r="K15" s="14">
        <v>46</v>
      </c>
      <c r="L15" s="14">
        <v>38</v>
      </c>
      <c r="M15" s="15">
        <v>40</v>
      </c>
      <c r="N15" s="15">
        <v>42</v>
      </c>
      <c r="O15" s="25">
        <v>47</v>
      </c>
      <c r="P15" s="25">
        <v>31</v>
      </c>
      <c r="Q15" s="9">
        <v>34</v>
      </c>
      <c r="R15" s="8">
        <v>36</v>
      </c>
      <c r="S15" s="9">
        <v>45</v>
      </c>
      <c r="T15" s="8">
        <v>81</v>
      </c>
      <c r="U15" s="9">
        <v>188</v>
      </c>
      <c r="V15" s="9">
        <v>322</v>
      </c>
      <c r="W15" s="9">
        <v>390</v>
      </c>
      <c r="X15" s="9">
        <v>417</v>
      </c>
      <c r="Y15" s="9">
        <v>401</v>
      </c>
      <c r="Z15" s="9">
        <v>364</v>
      </c>
      <c r="AA15" s="9">
        <v>338</v>
      </c>
      <c r="AB15" s="9">
        <v>74</v>
      </c>
      <c r="AC15" s="30">
        <v>63</v>
      </c>
      <c r="AD15" s="30">
        <v>40</v>
      </c>
      <c r="AE15" s="30">
        <v>44</v>
      </c>
      <c r="AF15" s="203">
        <v>35</v>
      </c>
    </row>
    <row r="16" spans="1:32" x14ac:dyDescent="0.2">
      <c r="B16" s="44" t="s">
        <v>16</v>
      </c>
      <c r="C16" s="45">
        <v>9</v>
      </c>
      <c r="D16" s="3">
        <v>6</v>
      </c>
      <c r="E16" s="4">
        <v>6</v>
      </c>
      <c r="F16" s="3">
        <v>7</v>
      </c>
      <c r="G16" s="4">
        <v>14</v>
      </c>
      <c r="H16" s="3">
        <v>10</v>
      </c>
      <c r="I16" s="4">
        <v>5</v>
      </c>
      <c r="J16" s="3">
        <v>7</v>
      </c>
      <c r="K16" s="14">
        <v>13</v>
      </c>
      <c r="L16" s="14">
        <v>11</v>
      </c>
      <c r="M16" s="15">
        <v>15</v>
      </c>
      <c r="N16" s="15">
        <v>14</v>
      </c>
      <c r="O16" s="25">
        <v>17</v>
      </c>
      <c r="P16" s="25">
        <v>14</v>
      </c>
      <c r="Q16" s="9">
        <v>9</v>
      </c>
      <c r="R16" s="8">
        <v>9</v>
      </c>
      <c r="S16" s="9">
        <v>10</v>
      </c>
      <c r="T16" s="8">
        <v>13</v>
      </c>
      <c r="U16" s="9">
        <v>14</v>
      </c>
      <c r="V16" s="9">
        <v>10</v>
      </c>
      <c r="W16" s="9">
        <v>9</v>
      </c>
      <c r="X16" s="9">
        <v>7</v>
      </c>
      <c r="Y16" s="9">
        <v>7</v>
      </c>
      <c r="Z16" s="9">
        <v>4</v>
      </c>
      <c r="AA16" s="9">
        <v>3</v>
      </c>
      <c r="AB16" s="9">
        <v>9</v>
      </c>
      <c r="AC16" s="30">
        <v>14</v>
      </c>
      <c r="AD16" s="30">
        <v>12</v>
      </c>
      <c r="AE16" s="30">
        <v>16</v>
      </c>
      <c r="AF16" s="203">
        <v>11</v>
      </c>
    </row>
    <row r="17" spans="2:32" x14ac:dyDescent="0.2">
      <c r="B17" s="44" t="s">
        <v>17</v>
      </c>
      <c r="C17" s="45">
        <v>37</v>
      </c>
      <c r="D17" s="3">
        <v>32</v>
      </c>
      <c r="E17" s="4">
        <v>35</v>
      </c>
      <c r="F17" s="3">
        <v>37</v>
      </c>
      <c r="G17" s="4">
        <v>40</v>
      </c>
      <c r="H17" s="3">
        <v>44</v>
      </c>
      <c r="I17" s="4">
        <v>45</v>
      </c>
      <c r="J17" s="3">
        <v>54</v>
      </c>
      <c r="K17" s="14">
        <v>54</v>
      </c>
      <c r="L17" s="14">
        <v>55</v>
      </c>
      <c r="M17" s="15">
        <v>60</v>
      </c>
      <c r="N17" s="15">
        <v>59</v>
      </c>
      <c r="O17" s="25">
        <v>39</v>
      </c>
      <c r="P17" s="25">
        <v>40</v>
      </c>
      <c r="Q17" s="16">
        <v>29</v>
      </c>
      <c r="R17" s="170">
        <v>30</v>
      </c>
      <c r="S17" s="9">
        <v>37</v>
      </c>
      <c r="T17" s="8">
        <v>35</v>
      </c>
      <c r="U17" s="9">
        <v>36</v>
      </c>
      <c r="V17" s="9">
        <v>29</v>
      </c>
      <c r="W17" s="9">
        <v>29</v>
      </c>
      <c r="X17" s="9">
        <v>35</v>
      </c>
      <c r="Y17" s="9">
        <v>31</v>
      </c>
      <c r="Z17" s="9">
        <v>36</v>
      </c>
      <c r="AA17" s="9">
        <v>38</v>
      </c>
      <c r="AB17" s="9">
        <v>34</v>
      </c>
      <c r="AC17" s="30">
        <v>40</v>
      </c>
      <c r="AD17" s="30">
        <v>50</v>
      </c>
      <c r="AE17" s="30">
        <v>51</v>
      </c>
      <c r="AF17" s="203">
        <v>43</v>
      </c>
    </row>
    <row r="18" spans="2:32" x14ac:dyDescent="0.2">
      <c r="B18" s="44" t="s">
        <v>15</v>
      </c>
      <c r="C18" s="45">
        <v>88</v>
      </c>
      <c r="D18" s="3">
        <v>97</v>
      </c>
      <c r="E18" s="4">
        <v>94</v>
      </c>
      <c r="F18" s="3">
        <v>83</v>
      </c>
      <c r="G18" s="4">
        <v>74</v>
      </c>
      <c r="H18" s="3">
        <v>73</v>
      </c>
      <c r="I18" s="4">
        <v>88</v>
      </c>
      <c r="J18" s="3">
        <v>87</v>
      </c>
      <c r="K18" s="14">
        <v>82</v>
      </c>
      <c r="L18" s="14">
        <v>85</v>
      </c>
      <c r="M18" s="15">
        <v>93</v>
      </c>
      <c r="N18" s="15">
        <v>86</v>
      </c>
      <c r="O18" s="25">
        <v>78</v>
      </c>
      <c r="P18" s="25">
        <v>65</v>
      </c>
      <c r="Q18" s="9">
        <v>56</v>
      </c>
      <c r="R18" s="8">
        <v>61</v>
      </c>
      <c r="S18" s="9">
        <v>79</v>
      </c>
      <c r="T18" s="8">
        <v>77</v>
      </c>
      <c r="U18" s="9">
        <v>82</v>
      </c>
      <c r="V18" s="9">
        <v>89</v>
      </c>
      <c r="W18" s="9">
        <v>80</v>
      </c>
      <c r="X18" s="9">
        <v>97</v>
      </c>
      <c r="Y18" s="9">
        <v>93</v>
      </c>
      <c r="Z18" s="9">
        <v>108</v>
      </c>
      <c r="AA18" s="9">
        <v>109</v>
      </c>
      <c r="AB18" s="9">
        <v>56</v>
      </c>
      <c r="AC18" s="30">
        <v>49</v>
      </c>
      <c r="AD18" s="30">
        <v>48</v>
      </c>
      <c r="AE18" s="30">
        <v>55</v>
      </c>
      <c r="AF18" s="203">
        <v>67</v>
      </c>
    </row>
    <row r="19" spans="2:32" x14ac:dyDescent="0.2">
      <c r="B19" s="44" t="s">
        <v>49</v>
      </c>
      <c r="C19" s="45"/>
      <c r="D19" s="3"/>
      <c r="E19" s="4"/>
      <c r="F19" s="3"/>
      <c r="G19" s="4"/>
      <c r="H19" s="3"/>
      <c r="I19" s="4"/>
      <c r="J19" s="3"/>
      <c r="K19" s="14"/>
      <c r="L19" s="14"/>
      <c r="M19" s="15"/>
      <c r="N19" s="15"/>
      <c r="O19" s="25"/>
      <c r="P19" s="25"/>
      <c r="Q19" s="16"/>
      <c r="R19" s="8"/>
      <c r="S19" s="9"/>
      <c r="T19" s="179"/>
      <c r="U19" s="9">
        <v>2</v>
      </c>
      <c r="V19" s="9">
        <v>7</v>
      </c>
      <c r="W19" s="9">
        <v>1</v>
      </c>
      <c r="X19" s="9">
        <v>3</v>
      </c>
      <c r="Y19" s="9">
        <v>1</v>
      </c>
      <c r="Z19" s="9">
        <v>2</v>
      </c>
      <c r="AA19" s="9">
        <v>4</v>
      </c>
      <c r="AB19" s="9">
        <v>1</v>
      </c>
      <c r="AC19" s="30">
        <v>2</v>
      </c>
      <c r="AD19" s="30">
        <v>2</v>
      </c>
      <c r="AE19" s="30">
        <v>4</v>
      </c>
      <c r="AF19" s="203">
        <v>5</v>
      </c>
    </row>
    <row r="20" spans="2:32" x14ac:dyDescent="0.2">
      <c r="B20" s="44" t="s">
        <v>18</v>
      </c>
      <c r="C20" s="45">
        <f>34+17</f>
        <v>51</v>
      </c>
      <c r="D20" s="3">
        <f>30+19</f>
        <v>49</v>
      </c>
      <c r="E20" s="4">
        <f>25+15</f>
        <v>40</v>
      </c>
      <c r="F20" s="3">
        <f>30+19</f>
        <v>49</v>
      </c>
      <c r="G20" s="4">
        <f>32+17</f>
        <v>49</v>
      </c>
      <c r="H20" s="3">
        <f>29+15</f>
        <v>44</v>
      </c>
      <c r="I20" s="4">
        <f>33+11</f>
        <v>44</v>
      </c>
      <c r="J20" s="3">
        <v>50</v>
      </c>
      <c r="K20" s="14">
        <f>33+22</f>
        <v>55</v>
      </c>
      <c r="L20" s="14">
        <f>33+27</f>
        <v>60</v>
      </c>
      <c r="M20" s="15">
        <f>31+40</f>
        <v>71</v>
      </c>
      <c r="N20" s="15">
        <v>68</v>
      </c>
      <c r="O20" s="25">
        <v>66</v>
      </c>
      <c r="P20" s="25">
        <v>25</v>
      </c>
      <c r="Q20" s="9">
        <f>26+44</f>
        <v>70</v>
      </c>
      <c r="R20" s="8">
        <v>62</v>
      </c>
      <c r="S20" s="9">
        <v>26</v>
      </c>
      <c r="T20" s="8">
        <v>37</v>
      </c>
      <c r="U20" s="9">
        <f>32+43</f>
        <v>75</v>
      </c>
      <c r="V20" s="9">
        <v>82</v>
      </c>
      <c r="W20" s="9">
        <v>109</v>
      </c>
      <c r="X20" s="9">
        <v>117</v>
      </c>
      <c r="Y20" s="9">
        <v>119</v>
      </c>
      <c r="Z20" s="9">
        <v>142</v>
      </c>
      <c r="AA20" s="9">
        <v>141</v>
      </c>
      <c r="AB20" s="9">
        <v>182</v>
      </c>
      <c r="AC20" s="30">
        <v>190</v>
      </c>
      <c r="AD20" s="30">
        <v>202</v>
      </c>
      <c r="AE20" s="30">
        <v>223</v>
      </c>
      <c r="AF20" s="203">
        <v>227</v>
      </c>
    </row>
    <row r="21" spans="2:32" x14ac:dyDescent="0.2">
      <c r="B21" s="44" t="s">
        <v>50</v>
      </c>
      <c r="C21" s="45"/>
      <c r="D21" s="3"/>
      <c r="E21" s="4"/>
      <c r="F21" s="3"/>
      <c r="G21" s="4"/>
      <c r="H21" s="3"/>
      <c r="I21" s="4"/>
      <c r="J21" s="3">
        <v>13</v>
      </c>
      <c r="K21" s="14">
        <f>11+11+7</f>
        <v>29</v>
      </c>
      <c r="L21" s="14">
        <f>12+18+14</f>
        <v>44</v>
      </c>
      <c r="M21" s="15">
        <f>15+23+19</f>
        <v>57</v>
      </c>
      <c r="N21" s="15">
        <v>72</v>
      </c>
      <c r="O21" s="25">
        <v>69</v>
      </c>
      <c r="P21" s="25">
        <v>109</v>
      </c>
      <c r="Q21" s="9">
        <f>27+31+16</f>
        <v>74</v>
      </c>
      <c r="R21" s="8">
        <v>71</v>
      </c>
      <c r="S21" s="9">
        <v>111</v>
      </c>
      <c r="T21" s="179"/>
      <c r="U21" s="9">
        <v>19</v>
      </c>
      <c r="V21" s="9">
        <v>24</v>
      </c>
      <c r="W21" s="9">
        <v>32</v>
      </c>
      <c r="X21" s="9">
        <v>51</v>
      </c>
      <c r="Y21" s="9">
        <v>51</v>
      </c>
      <c r="Z21" s="9">
        <v>71</v>
      </c>
      <c r="AA21" s="9">
        <v>67</v>
      </c>
      <c r="AB21" s="9">
        <v>90</v>
      </c>
      <c r="AC21" s="30">
        <v>100</v>
      </c>
      <c r="AD21" s="30">
        <v>101</v>
      </c>
      <c r="AE21" s="30">
        <v>95</v>
      </c>
      <c r="AF21" s="203">
        <v>97</v>
      </c>
    </row>
    <row r="22" spans="2:32" x14ac:dyDescent="0.2">
      <c r="B22" s="44" t="s">
        <v>32</v>
      </c>
      <c r="C22" s="45"/>
      <c r="D22" s="3"/>
      <c r="E22" s="4"/>
      <c r="F22" s="3"/>
      <c r="G22" s="4"/>
      <c r="H22" s="3"/>
      <c r="I22" s="4"/>
      <c r="J22" s="3"/>
      <c r="K22" s="14"/>
      <c r="L22" s="14"/>
      <c r="M22" s="15"/>
      <c r="N22" s="15"/>
      <c r="O22" s="25"/>
      <c r="P22" s="25"/>
      <c r="Q22" s="9"/>
      <c r="R22" s="8"/>
      <c r="S22" s="9"/>
      <c r="T22" s="8">
        <f>31+26+40+17</f>
        <v>114</v>
      </c>
      <c r="U22" s="9">
        <v>29</v>
      </c>
      <c r="V22" s="9">
        <v>44</v>
      </c>
      <c r="W22" s="9">
        <v>9</v>
      </c>
      <c r="X22" s="9">
        <v>20</v>
      </c>
      <c r="Y22" s="9">
        <v>44</v>
      </c>
      <c r="Z22" s="9">
        <v>36</v>
      </c>
      <c r="AA22" s="9">
        <v>25</v>
      </c>
      <c r="AB22" s="9">
        <v>20</v>
      </c>
      <c r="AC22" s="30">
        <v>20</v>
      </c>
      <c r="AD22" s="30">
        <v>17</v>
      </c>
      <c r="AE22" s="30">
        <v>12</v>
      </c>
      <c r="AF22" s="203">
        <v>11</v>
      </c>
    </row>
    <row r="23" spans="2:32" ht="13.5" thickBot="1" x14ac:dyDescent="0.25">
      <c r="B23" s="46" t="s">
        <v>19</v>
      </c>
      <c r="C23" s="47">
        <v>2751</v>
      </c>
      <c r="D23" s="6">
        <v>2542</v>
      </c>
      <c r="E23" s="7">
        <f>2138+5</f>
        <v>2143</v>
      </c>
      <c r="F23" s="6">
        <f>1910+8</f>
        <v>1918</v>
      </c>
      <c r="G23" s="7">
        <v>1860</v>
      </c>
      <c r="H23" s="6">
        <v>1876</v>
      </c>
      <c r="I23" s="7">
        <v>2065</v>
      </c>
      <c r="J23" s="6">
        <v>2237</v>
      </c>
      <c r="K23" s="48">
        <v>2346</v>
      </c>
      <c r="L23" s="48">
        <v>2514</v>
      </c>
      <c r="M23" s="49">
        <v>2612</v>
      </c>
      <c r="N23" s="49">
        <v>2757</v>
      </c>
      <c r="O23" s="73">
        <v>2609</v>
      </c>
      <c r="P23" s="73">
        <v>2477</v>
      </c>
      <c r="Q23" s="10">
        <v>2348</v>
      </c>
      <c r="R23" s="116">
        <v>2180</v>
      </c>
      <c r="S23" s="10">
        <v>2226</v>
      </c>
      <c r="T23" s="116">
        <v>2188</v>
      </c>
      <c r="U23" s="10">
        <v>2108</v>
      </c>
      <c r="V23" s="10">
        <v>1915</v>
      </c>
      <c r="W23" s="10">
        <v>1834</v>
      </c>
      <c r="X23" s="10">
        <v>1819</v>
      </c>
      <c r="Y23" s="10">
        <v>1856</v>
      </c>
      <c r="Z23" s="10">
        <v>1912</v>
      </c>
      <c r="AA23" s="10">
        <v>2049</v>
      </c>
      <c r="AB23" s="10">
        <v>2001</v>
      </c>
      <c r="AC23" s="192">
        <v>2002</v>
      </c>
      <c r="AD23" s="192">
        <v>2042</v>
      </c>
      <c r="AE23" s="192">
        <v>2095</v>
      </c>
      <c r="AF23" s="205">
        <v>2150</v>
      </c>
    </row>
    <row r="24" spans="2:32" ht="13.5" thickTop="1" x14ac:dyDescent="0.2">
      <c r="P24" s="21"/>
      <c r="Q24" s="54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2:32" hidden="1" x14ac:dyDescent="0.2">
      <c r="B25" s="28" t="s">
        <v>36</v>
      </c>
      <c r="O25" s="13"/>
      <c r="P25" s="12"/>
      <c r="Q25" s="12"/>
    </row>
    <row r="47" ht="21" customHeight="1" x14ac:dyDescent="0.2"/>
    <row r="48" ht="21.75" customHeight="1" x14ac:dyDescent="0.2"/>
    <row r="49" ht="69.75" customHeight="1" x14ac:dyDescent="0.2"/>
    <row r="50" ht="51.75" customHeight="1" x14ac:dyDescent="0.2"/>
    <row r="51" ht="57.75" customHeight="1" x14ac:dyDescent="0.2"/>
  </sheetData>
  <phoneticPr fontId="0" type="noConversion"/>
  <printOptions horizontalCentered="1"/>
  <pageMargins left="0.66" right="0.75" top="0.75" bottom="0.75" header="0.5" footer="0.5"/>
  <pageSetup scale="98" orientation="portrait" r:id="rId1"/>
  <headerFooter alignWithMargins="0"/>
  <ignoredErrors>
    <ignoredError sqref="R8:AA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indexed="45"/>
    <pageSetUpPr fitToPage="1"/>
  </sheetPr>
  <dimension ref="A1:AF59"/>
  <sheetViews>
    <sheetView view="pageBreakPreview" topLeftCell="A3" zoomScale="95" zoomScaleNormal="110" zoomScaleSheetLayoutView="95" workbookViewId="0">
      <selection activeCell="AK13" sqref="AK13"/>
    </sheetView>
  </sheetViews>
  <sheetFormatPr defaultRowHeight="12.75" x14ac:dyDescent="0.2"/>
  <cols>
    <col min="1" max="1" width="1.5703125" customWidth="1"/>
    <col min="2" max="2" width="20.7109375" customWidth="1"/>
    <col min="3" max="3" width="9.42578125" hidden="1" customWidth="1"/>
    <col min="4" max="4" width="9.28515625" hidden="1" customWidth="1"/>
    <col min="5" max="5" width="9.140625" hidden="1" customWidth="1"/>
    <col min="6" max="9" width="0" hidden="1" customWidth="1"/>
    <col min="10" max="10" width="9.42578125" hidden="1" customWidth="1"/>
    <col min="11" max="11" width="0" hidden="1" customWidth="1"/>
    <col min="12" max="12" width="9.28515625" hidden="1" customWidth="1"/>
    <col min="13" max="16" width="0" hidden="1" customWidth="1"/>
    <col min="17" max="17" width="9" hidden="1" customWidth="1"/>
    <col min="18" max="27" width="0" hidden="1" customWidth="1"/>
  </cols>
  <sheetData>
    <row r="1" spans="1:32" ht="13.5" customHeight="1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13.5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32" ht="21.75" customHeight="1" x14ac:dyDescent="0.3">
      <c r="A3" s="223" t="s">
        <v>43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40"/>
      <c r="X3" s="140"/>
      <c r="Y3" s="140"/>
      <c r="Z3" s="140"/>
      <c r="AA3" s="140"/>
      <c r="AB3" s="140"/>
      <c r="AC3" s="140"/>
      <c r="AD3" s="140"/>
      <c r="AE3" s="140"/>
    </row>
    <row r="4" spans="1:32" ht="10.5" customHeight="1" thickBot="1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32" ht="13.5" thickTop="1" x14ac:dyDescent="0.2">
      <c r="B5" s="31"/>
      <c r="C5" s="3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33"/>
    </row>
    <row r="6" spans="1:32" ht="13.5" thickBot="1" x14ac:dyDescent="0.25">
      <c r="B6" s="34" t="s">
        <v>31</v>
      </c>
      <c r="C6" s="50" t="s">
        <v>1</v>
      </c>
      <c r="D6" s="51" t="s">
        <v>2</v>
      </c>
      <c r="E6" s="52" t="s">
        <v>3</v>
      </c>
      <c r="F6" s="51" t="s">
        <v>4</v>
      </c>
      <c r="G6" s="52" t="s">
        <v>5</v>
      </c>
      <c r="H6" s="51" t="s">
        <v>6</v>
      </c>
      <c r="I6" s="52" t="s">
        <v>21</v>
      </c>
      <c r="J6" s="51">
        <v>1997</v>
      </c>
      <c r="K6" s="58">
        <v>1998</v>
      </c>
      <c r="L6" s="37">
        <v>1999</v>
      </c>
      <c r="M6" s="38">
        <v>2000</v>
      </c>
      <c r="N6" s="38">
        <v>2001</v>
      </c>
      <c r="O6" s="37">
        <v>2002</v>
      </c>
      <c r="P6" s="37">
        <v>2003</v>
      </c>
      <c r="Q6" s="37">
        <v>2004</v>
      </c>
      <c r="R6" s="36">
        <v>2005</v>
      </c>
      <c r="S6" s="36">
        <v>2006</v>
      </c>
      <c r="T6" s="38">
        <v>2007</v>
      </c>
      <c r="U6" s="37">
        <v>2008</v>
      </c>
      <c r="V6" s="37">
        <v>2009</v>
      </c>
      <c r="W6" s="37">
        <v>2010</v>
      </c>
      <c r="X6" s="37">
        <v>2011</v>
      </c>
      <c r="Y6" s="37">
        <v>2012</v>
      </c>
      <c r="Z6" s="37">
        <v>2013</v>
      </c>
      <c r="AA6" s="37">
        <v>2014</v>
      </c>
      <c r="AB6" s="37">
        <v>2021</v>
      </c>
      <c r="AC6" s="189">
        <v>2022</v>
      </c>
      <c r="AD6" s="189">
        <v>2023</v>
      </c>
      <c r="AE6" s="36">
        <v>2024</v>
      </c>
      <c r="AF6" s="201">
        <v>2025</v>
      </c>
    </row>
    <row r="7" spans="1:32" ht="13.5" thickTop="1" x14ac:dyDescent="0.2">
      <c r="B7" s="31"/>
      <c r="C7" s="53"/>
      <c r="D7" s="54"/>
      <c r="E7" s="55"/>
      <c r="F7" s="54"/>
      <c r="G7" s="55"/>
      <c r="H7" s="54"/>
      <c r="I7" s="55"/>
      <c r="J7" s="54"/>
      <c r="K7" s="56"/>
      <c r="L7" s="15"/>
      <c r="M7" s="41"/>
      <c r="N7" s="59"/>
      <c r="O7" s="75"/>
      <c r="P7" s="75"/>
      <c r="Q7" s="75"/>
      <c r="R7" s="117"/>
      <c r="S7" s="117"/>
      <c r="T7" s="59"/>
      <c r="U7" s="75"/>
      <c r="V7" s="75"/>
      <c r="W7" s="75"/>
      <c r="X7" s="75"/>
      <c r="Y7" s="75"/>
      <c r="Z7" s="75"/>
      <c r="AA7" s="75"/>
      <c r="AB7" s="75"/>
      <c r="AC7" s="195"/>
      <c r="AD7" s="195"/>
      <c r="AE7" s="117"/>
      <c r="AF7" s="207"/>
    </row>
    <row r="8" spans="1:32" x14ac:dyDescent="0.2">
      <c r="B8" s="42" t="s">
        <v>7</v>
      </c>
      <c r="C8" s="43">
        <f t="shared" ref="C8:J8" si="0">SUM(C9:C10)</f>
        <v>1729</v>
      </c>
      <c r="D8" s="1">
        <f t="shared" si="0"/>
        <v>1756</v>
      </c>
      <c r="E8" s="2">
        <f t="shared" si="0"/>
        <v>1822</v>
      </c>
      <c r="F8" s="1">
        <f t="shared" si="0"/>
        <v>1917</v>
      </c>
      <c r="G8" s="2">
        <f t="shared" si="0"/>
        <v>1916</v>
      </c>
      <c r="H8" s="1">
        <f t="shared" si="0"/>
        <v>1765</v>
      </c>
      <c r="I8" s="2">
        <f t="shared" si="0"/>
        <v>1687</v>
      </c>
      <c r="J8" s="1">
        <f t="shared" si="0"/>
        <v>1591</v>
      </c>
      <c r="K8" s="17">
        <f t="shared" ref="K8:Q8" si="1">SUM(K9:K10)</f>
        <v>1579</v>
      </c>
      <c r="L8" s="17">
        <f t="shared" si="1"/>
        <v>1581</v>
      </c>
      <c r="M8" s="17">
        <f t="shared" si="1"/>
        <v>1688</v>
      </c>
      <c r="N8" s="17">
        <f t="shared" si="1"/>
        <v>1687</v>
      </c>
      <c r="O8" s="2">
        <f t="shared" si="1"/>
        <v>1787</v>
      </c>
      <c r="P8" s="2">
        <f t="shared" si="1"/>
        <v>1753</v>
      </c>
      <c r="Q8" s="2">
        <f t="shared" si="1"/>
        <v>1668</v>
      </c>
      <c r="R8" s="1">
        <f t="shared" ref="R8:W8" si="2">SUM(R9:R10)</f>
        <v>1577</v>
      </c>
      <c r="S8" s="1">
        <f t="shared" si="2"/>
        <v>1573</v>
      </c>
      <c r="T8" s="17">
        <f t="shared" si="2"/>
        <v>1537</v>
      </c>
      <c r="U8" s="2">
        <f t="shared" si="2"/>
        <v>1463</v>
      </c>
      <c r="V8" s="2">
        <f t="shared" si="2"/>
        <v>1523</v>
      </c>
      <c r="W8" s="2">
        <f t="shared" si="2"/>
        <v>1422</v>
      </c>
      <c r="X8" s="2">
        <f t="shared" ref="X8:AA8" si="3">SUM(X9:X10)</f>
        <v>1289</v>
      </c>
      <c r="Y8" s="2">
        <f t="shared" si="3"/>
        <v>1251</v>
      </c>
      <c r="Z8" s="2">
        <f t="shared" si="3"/>
        <v>1203</v>
      </c>
      <c r="AA8" s="2">
        <f t="shared" si="3"/>
        <v>1249</v>
      </c>
      <c r="AB8" s="2">
        <v>1007</v>
      </c>
      <c r="AC8" s="183">
        <v>981</v>
      </c>
      <c r="AD8" s="183">
        <v>896</v>
      </c>
      <c r="AE8" s="1">
        <v>859</v>
      </c>
      <c r="AF8" s="213">
        <f>SUM(AF9,AF10)</f>
        <v>890</v>
      </c>
    </row>
    <row r="9" spans="1:32" x14ac:dyDescent="0.2">
      <c r="B9" s="44" t="s">
        <v>8</v>
      </c>
      <c r="C9" s="45">
        <v>1515</v>
      </c>
      <c r="D9" s="3">
        <v>1567</v>
      </c>
      <c r="E9" s="4">
        <f>1620+1</f>
        <v>1621</v>
      </c>
      <c r="F9" s="3">
        <f>1682+2</f>
        <v>1684</v>
      </c>
      <c r="G9" s="4">
        <v>1684</v>
      </c>
      <c r="H9" s="3">
        <v>1589</v>
      </c>
      <c r="I9" s="4">
        <v>1461</v>
      </c>
      <c r="J9" s="3">
        <v>1374</v>
      </c>
      <c r="K9" s="14">
        <v>1344</v>
      </c>
      <c r="L9" s="14">
        <v>1395</v>
      </c>
      <c r="M9" s="15">
        <v>1492</v>
      </c>
      <c r="N9" s="15">
        <v>1517</v>
      </c>
      <c r="O9" s="25">
        <v>1604</v>
      </c>
      <c r="P9" s="25">
        <v>1569</v>
      </c>
      <c r="Q9" s="9">
        <v>1514</v>
      </c>
      <c r="R9" s="8">
        <v>1416</v>
      </c>
      <c r="S9" s="8">
        <v>1402</v>
      </c>
      <c r="T9" s="16">
        <v>1398</v>
      </c>
      <c r="U9" s="9">
        <v>1331</v>
      </c>
      <c r="V9" s="9">
        <v>1392</v>
      </c>
      <c r="W9" s="9">
        <v>1332</v>
      </c>
      <c r="X9" s="9">
        <v>1222</v>
      </c>
      <c r="Y9" s="9">
        <v>1181</v>
      </c>
      <c r="Z9" s="9">
        <v>1131</v>
      </c>
      <c r="AA9" s="9">
        <v>1180</v>
      </c>
      <c r="AB9" s="9">
        <v>943</v>
      </c>
      <c r="AC9" s="30">
        <v>912</v>
      </c>
      <c r="AD9" s="30">
        <v>842</v>
      </c>
      <c r="AE9" s="8">
        <v>819</v>
      </c>
      <c r="AF9" s="214">
        <v>837</v>
      </c>
    </row>
    <row r="10" spans="1:32" x14ac:dyDescent="0.2">
      <c r="B10" s="44" t="s">
        <v>9</v>
      </c>
      <c r="C10" s="45">
        <v>214</v>
      </c>
      <c r="D10" s="3">
        <v>189</v>
      </c>
      <c r="E10" s="4">
        <f>200+1</f>
        <v>201</v>
      </c>
      <c r="F10" s="3">
        <f>231+2</f>
        <v>233</v>
      </c>
      <c r="G10" s="4">
        <v>232</v>
      </c>
      <c r="H10" s="3">
        <v>176</v>
      </c>
      <c r="I10" s="4">
        <v>226</v>
      </c>
      <c r="J10" s="3">
        <v>217</v>
      </c>
      <c r="K10" s="14">
        <v>235</v>
      </c>
      <c r="L10" s="14">
        <v>186</v>
      </c>
      <c r="M10" s="15">
        <v>196</v>
      </c>
      <c r="N10" s="15">
        <v>170</v>
      </c>
      <c r="O10" s="25">
        <v>183</v>
      </c>
      <c r="P10" s="25">
        <v>184</v>
      </c>
      <c r="Q10" s="23">
        <v>154</v>
      </c>
      <c r="R10" s="69">
        <v>161</v>
      </c>
      <c r="S10" s="69">
        <v>171</v>
      </c>
      <c r="T10" s="22">
        <v>139</v>
      </c>
      <c r="U10" s="23">
        <v>132</v>
      </c>
      <c r="V10" s="23">
        <v>131</v>
      </c>
      <c r="W10" s="23">
        <v>90</v>
      </c>
      <c r="X10" s="23">
        <v>67</v>
      </c>
      <c r="Y10" s="23">
        <v>70</v>
      </c>
      <c r="Z10" s="23">
        <v>72</v>
      </c>
      <c r="AA10" s="23">
        <v>69</v>
      </c>
      <c r="AB10" s="23">
        <v>64</v>
      </c>
      <c r="AC10" s="191">
        <v>69</v>
      </c>
      <c r="AD10" s="191">
        <v>54</v>
      </c>
      <c r="AE10" s="69">
        <v>40</v>
      </c>
      <c r="AF10" s="214">
        <v>53</v>
      </c>
    </row>
    <row r="11" spans="1:32" x14ac:dyDescent="0.2">
      <c r="B11" s="44" t="s">
        <v>10</v>
      </c>
      <c r="C11" s="45">
        <v>1567</v>
      </c>
      <c r="D11" s="3">
        <v>1582</v>
      </c>
      <c r="E11" s="4">
        <f>1655+2</f>
        <v>1657</v>
      </c>
      <c r="F11" s="3">
        <f>1736+3</f>
        <v>1739</v>
      </c>
      <c r="G11" s="4">
        <v>1744</v>
      </c>
      <c r="H11" s="3">
        <v>1624</v>
      </c>
      <c r="I11" s="4">
        <v>1575</v>
      </c>
      <c r="J11" s="3">
        <v>1484</v>
      </c>
      <c r="K11" s="14">
        <v>1471</v>
      </c>
      <c r="L11" s="14">
        <v>1468</v>
      </c>
      <c r="M11" s="15">
        <v>1584</v>
      </c>
      <c r="N11" s="15">
        <v>1586</v>
      </c>
      <c r="O11" s="25">
        <v>1679</v>
      </c>
      <c r="P11" s="25">
        <v>1641</v>
      </c>
      <c r="Q11" s="9">
        <v>1553</v>
      </c>
      <c r="R11" s="8">
        <v>1465</v>
      </c>
      <c r="S11" s="8">
        <v>1450</v>
      </c>
      <c r="T11" s="16">
        <v>1420</v>
      </c>
      <c r="U11" s="9">
        <v>1342</v>
      </c>
      <c r="V11" s="9">
        <v>1392</v>
      </c>
      <c r="W11" s="9">
        <v>1266</v>
      </c>
      <c r="X11" s="9">
        <v>1149</v>
      </c>
      <c r="Y11" s="9">
        <v>1116</v>
      </c>
      <c r="Z11" s="9">
        <v>1086</v>
      </c>
      <c r="AA11" s="9">
        <v>1111</v>
      </c>
      <c r="AB11" s="9">
        <v>850</v>
      </c>
      <c r="AC11" s="30">
        <v>813</v>
      </c>
      <c r="AD11" s="30">
        <v>770</v>
      </c>
      <c r="AE11" s="8">
        <v>714</v>
      </c>
      <c r="AF11" s="214">
        <v>732</v>
      </c>
    </row>
    <row r="12" spans="1:32" x14ac:dyDescent="0.2">
      <c r="B12" s="44" t="s">
        <v>11</v>
      </c>
      <c r="C12" s="45">
        <v>162</v>
      </c>
      <c r="D12" s="3">
        <v>174</v>
      </c>
      <c r="E12" s="4">
        <v>165</v>
      </c>
      <c r="F12" s="3">
        <f>177+1</f>
        <v>178</v>
      </c>
      <c r="G12" s="4">
        <v>172</v>
      </c>
      <c r="H12" s="3">
        <v>141</v>
      </c>
      <c r="I12" s="4">
        <v>112</v>
      </c>
      <c r="J12" s="3">
        <v>107</v>
      </c>
      <c r="K12" s="14">
        <v>108</v>
      </c>
      <c r="L12" s="14">
        <v>113</v>
      </c>
      <c r="M12" s="15">
        <v>104</v>
      </c>
      <c r="N12" s="15">
        <v>101</v>
      </c>
      <c r="O12" s="25">
        <v>108</v>
      </c>
      <c r="P12" s="25">
        <v>112</v>
      </c>
      <c r="Q12" s="23">
        <v>115</v>
      </c>
      <c r="R12" s="69">
        <v>112</v>
      </c>
      <c r="S12" s="69">
        <v>123</v>
      </c>
      <c r="T12" s="22">
        <v>117</v>
      </c>
      <c r="U12" s="23">
        <v>121</v>
      </c>
      <c r="V12" s="23">
        <v>131</v>
      </c>
      <c r="W12" s="23">
        <v>156</v>
      </c>
      <c r="X12" s="23">
        <v>140</v>
      </c>
      <c r="Y12" s="23">
        <v>135</v>
      </c>
      <c r="Z12" s="23">
        <v>117</v>
      </c>
      <c r="AA12" s="23">
        <v>138</v>
      </c>
      <c r="AB12" s="23">
        <v>157</v>
      </c>
      <c r="AC12" s="191">
        <v>168</v>
      </c>
      <c r="AD12" s="191">
        <v>126</v>
      </c>
      <c r="AE12" s="69">
        <v>145</v>
      </c>
      <c r="AF12" s="214">
        <v>158</v>
      </c>
    </row>
    <row r="13" spans="1:32" x14ac:dyDescent="0.2">
      <c r="B13" s="44" t="s">
        <v>12</v>
      </c>
      <c r="C13" s="45">
        <v>362</v>
      </c>
      <c r="D13" s="3">
        <v>393</v>
      </c>
      <c r="E13" s="4">
        <f>440+1</f>
        <v>441</v>
      </c>
      <c r="F13" s="3">
        <f>494+2</f>
        <v>496</v>
      </c>
      <c r="G13" s="4">
        <v>565</v>
      </c>
      <c r="H13" s="3">
        <v>527</v>
      </c>
      <c r="I13" s="4">
        <v>526</v>
      </c>
      <c r="J13" s="3">
        <v>468</v>
      </c>
      <c r="K13" s="14">
        <v>443</v>
      </c>
      <c r="L13" s="14">
        <v>430</v>
      </c>
      <c r="M13" s="15">
        <v>436</v>
      </c>
      <c r="N13" s="15">
        <v>426</v>
      </c>
      <c r="O13" s="25">
        <v>474</v>
      </c>
      <c r="P13" s="25">
        <v>433</v>
      </c>
      <c r="Q13" s="23">
        <v>418</v>
      </c>
      <c r="R13" s="69">
        <v>400</v>
      </c>
      <c r="S13" s="69">
        <v>390</v>
      </c>
      <c r="T13" s="22">
        <v>362</v>
      </c>
      <c r="U13" s="23">
        <v>329</v>
      </c>
      <c r="V13" s="23">
        <v>375</v>
      </c>
      <c r="W13" s="23">
        <v>346</v>
      </c>
      <c r="X13" s="23">
        <v>319</v>
      </c>
      <c r="Y13" s="23">
        <v>287</v>
      </c>
      <c r="Z13" s="23">
        <v>289</v>
      </c>
      <c r="AA13" s="23">
        <v>302</v>
      </c>
      <c r="AB13" s="23">
        <v>224</v>
      </c>
      <c r="AC13" s="191">
        <v>215</v>
      </c>
      <c r="AD13" s="191">
        <v>180</v>
      </c>
      <c r="AE13" s="69">
        <v>178</v>
      </c>
      <c r="AF13" s="214">
        <v>184</v>
      </c>
    </row>
    <row r="14" spans="1:32" ht="13.5" customHeight="1" x14ac:dyDescent="0.2">
      <c r="B14" s="44" t="s">
        <v>13</v>
      </c>
      <c r="C14" s="45">
        <v>1367</v>
      </c>
      <c r="D14" s="3">
        <v>1363</v>
      </c>
      <c r="E14" s="4">
        <f>1380+1</f>
        <v>1381</v>
      </c>
      <c r="F14" s="3">
        <f>1419+2</f>
        <v>1421</v>
      </c>
      <c r="G14" s="4">
        <v>1351</v>
      </c>
      <c r="H14" s="3">
        <v>1238</v>
      </c>
      <c r="I14" s="4">
        <v>1161</v>
      </c>
      <c r="J14" s="3">
        <v>1123</v>
      </c>
      <c r="K14" s="14">
        <v>1136</v>
      </c>
      <c r="L14" s="14">
        <v>1151</v>
      </c>
      <c r="M14" s="15">
        <v>1252</v>
      </c>
      <c r="N14" s="15">
        <v>1261</v>
      </c>
      <c r="O14" s="25">
        <v>1313</v>
      </c>
      <c r="P14" s="25">
        <v>1320</v>
      </c>
      <c r="Q14" s="9">
        <v>1250</v>
      </c>
      <c r="R14" s="8">
        <v>1177</v>
      </c>
      <c r="S14" s="8">
        <f>1179+4</f>
        <v>1183</v>
      </c>
      <c r="T14" s="16">
        <v>1175</v>
      </c>
      <c r="U14" s="9">
        <v>1134</v>
      </c>
      <c r="V14" s="9">
        <v>1148</v>
      </c>
      <c r="W14" s="9">
        <v>1076</v>
      </c>
      <c r="X14" s="9">
        <v>970</v>
      </c>
      <c r="Y14" s="9">
        <v>964</v>
      </c>
      <c r="Z14" s="9">
        <v>914</v>
      </c>
      <c r="AA14" s="9">
        <v>947</v>
      </c>
      <c r="AB14" s="9">
        <v>783</v>
      </c>
      <c r="AC14" s="30">
        <v>766</v>
      </c>
      <c r="AD14" s="30">
        <v>716</v>
      </c>
      <c r="AE14" s="8">
        <v>681</v>
      </c>
      <c r="AF14" s="214">
        <v>705</v>
      </c>
    </row>
    <row r="15" spans="1:32" ht="13.5" customHeight="1" x14ac:dyDescent="0.2">
      <c r="B15" s="44" t="s">
        <v>59</v>
      </c>
      <c r="C15" s="45"/>
      <c r="D15" s="3"/>
      <c r="E15" s="4"/>
      <c r="F15" s="3"/>
      <c r="G15" s="4"/>
      <c r="H15" s="3"/>
      <c r="I15" s="4"/>
      <c r="J15" s="3"/>
      <c r="K15" s="14"/>
      <c r="L15" s="14"/>
      <c r="M15" s="15"/>
      <c r="N15" s="15"/>
      <c r="O15" s="25"/>
      <c r="P15" s="25"/>
      <c r="Q15" s="9"/>
      <c r="R15" s="8"/>
      <c r="S15" s="8"/>
      <c r="T15" s="16"/>
      <c r="U15" s="9"/>
      <c r="V15" s="9"/>
      <c r="W15" s="9"/>
      <c r="X15" s="9"/>
      <c r="Y15" s="9"/>
      <c r="Z15" s="9"/>
      <c r="AA15" s="9"/>
      <c r="AB15" s="9">
        <v>0</v>
      </c>
      <c r="AC15" s="30">
        <v>0</v>
      </c>
      <c r="AD15" s="30">
        <v>0</v>
      </c>
      <c r="AE15" s="8">
        <v>0</v>
      </c>
      <c r="AF15" s="214">
        <v>1</v>
      </c>
    </row>
    <row r="16" spans="1:32" ht="12.75" customHeight="1" x14ac:dyDescent="0.2">
      <c r="B16" s="44" t="s">
        <v>14</v>
      </c>
      <c r="C16" s="45">
        <v>2</v>
      </c>
      <c r="D16" s="3">
        <v>2</v>
      </c>
      <c r="E16" s="4">
        <v>2</v>
      </c>
      <c r="F16" s="3">
        <v>2</v>
      </c>
      <c r="G16" s="4">
        <v>2</v>
      </c>
      <c r="H16" s="3">
        <v>2</v>
      </c>
      <c r="I16" s="4">
        <v>1</v>
      </c>
      <c r="J16" s="3">
        <v>2</v>
      </c>
      <c r="K16" s="14">
        <v>2</v>
      </c>
      <c r="L16" s="14">
        <v>0</v>
      </c>
      <c r="M16" s="15">
        <v>0</v>
      </c>
      <c r="N16" s="15">
        <v>0</v>
      </c>
      <c r="O16" s="25">
        <v>1</v>
      </c>
      <c r="P16" s="25">
        <v>1</v>
      </c>
      <c r="Q16" s="9">
        <v>2</v>
      </c>
      <c r="R16" s="8">
        <v>2</v>
      </c>
      <c r="S16" s="8">
        <v>3</v>
      </c>
      <c r="T16" s="16">
        <v>5</v>
      </c>
      <c r="U16" s="9">
        <v>11</v>
      </c>
      <c r="V16" s="9">
        <v>10</v>
      </c>
      <c r="W16" s="9">
        <v>14</v>
      </c>
      <c r="X16" s="9">
        <v>16</v>
      </c>
      <c r="Y16" s="9">
        <v>17</v>
      </c>
      <c r="Z16" s="9">
        <v>12</v>
      </c>
      <c r="AA16" s="9">
        <v>14</v>
      </c>
      <c r="AB16" s="9">
        <v>2</v>
      </c>
      <c r="AC16" s="30">
        <v>3</v>
      </c>
      <c r="AD16" s="30">
        <v>2</v>
      </c>
      <c r="AE16" s="8">
        <v>2</v>
      </c>
      <c r="AF16" s="214">
        <v>3</v>
      </c>
    </row>
    <row r="17" spans="2:32" x14ac:dyDescent="0.2">
      <c r="B17" s="44" t="s">
        <v>16</v>
      </c>
      <c r="C17" s="45">
        <v>9</v>
      </c>
      <c r="D17" s="3">
        <v>8</v>
      </c>
      <c r="E17" s="4">
        <v>10</v>
      </c>
      <c r="F17" s="3">
        <v>10</v>
      </c>
      <c r="G17" s="4">
        <v>10</v>
      </c>
      <c r="H17" s="3">
        <v>10</v>
      </c>
      <c r="I17" s="4">
        <v>13</v>
      </c>
      <c r="J17" s="3">
        <v>11</v>
      </c>
      <c r="K17" s="14">
        <v>13</v>
      </c>
      <c r="L17" s="14">
        <v>11</v>
      </c>
      <c r="M17" s="15">
        <v>12</v>
      </c>
      <c r="N17" s="15">
        <v>16</v>
      </c>
      <c r="O17" s="25">
        <v>10</v>
      </c>
      <c r="P17" s="25">
        <v>6</v>
      </c>
      <c r="Q17" s="9">
        <v>11</v>
      </c>
      <c r="R17" s="8">
        <v>11</v>
      </c>
      <c r="S17" s="8">
        <v>10</v>
      </c>
      <c r="T17" s="16">
        <v>12</v>
      </c>
      <c r="U17" s="9">
        <v>8</v>
      </c>
      <c r="V17" s="9">
        <v>12</v>
      </c>
      <c r="W17" s="9">
        <v>3</v>
      </c>
      <c r="X17" s="9">
        <v>6</v>
      </c>
      <c r="Y17" s="9">
        <v>3</v>
      </c>
      <c r="Z17" s="9">
        <v>5</v>
      </c>
      <c r="AA17" s="9">
        <v>5</v>
      </c>
      <c r="AB17" s="9">
        <v>4</v>
      </c>
      <c r="AC17" s="30">
        <v>4</v>
      </c>
      <c r="AD17" s="30">
        <v>3</v>
      </c>
      <c r="AE17" s="8">
        <v>3</v>
      </c>
      <c r="AF17" s="214">
        <v>3</v>
      </c>
    </row>
    <row r="18" spans="2:32" x14ac:dyDescent="0.2">
      <c r="B18" s="44" t="s">
        <v>17</v>
      </c>
      <c r="C18" s="45">
        <v>11</v>
      </c>
      <c r="D18" s="3">
        <v>10</v>
      </c>
      <c r="E18" s="4">
        <v>8</v>
      </c>
      <c r="F18" s="3">
        <v>13</v>
      </c>
      <c r="G18" s="4">
        <v>14</v>
      </c>
      <c r="H18" s="3">
        <v>8</v>
      </c>
      <c r="I18" s="4">
        <v>6</v>
      </c>
      <c r="J18" s="3">
        <v>9</v>
      </c>
      <c r="K18" s="14">
        <v>8</v>
      </c>
      <c r="L18" s="14">
        <v>8</v>
      </c>
      <c r="M18" s="15">
        <v>8</v>
      </c>
      <c r="N18" s="15">
        <v>19</v>
      </c>
      <c r="O18" s="25">
        <v>12</v>
      </c>
      <c r="P18" s="25">
        <v>14</v>
      </c>
      <c r="Q18" s="16">
        <v>8</v>
      </c>
      <c r="R18" s="172">
        <v>9</v>
      </c>
      <c r="S18" s="8">
        <v>10</v>
      </c>
      <c r="T18" s="16">
        <v>8</v>
      </c>
      <c r="U18" s="9">
        <f>6</f>
        <v>6</v>
      </c>
      <c r="V18" s="9">
        <v>7</v>
      </c>
      <c r="W18" s="9">
        <v>4</v>
      </c>
      <c r="X18" s="9">
        <v>10</v>
      </c>
      <c r="Y18" s="9">
        <v>6</v>
      </c>
      <c r="Z18" s="9">
        <v>5</v>
      </c>
      <c r="AA18" s="9">
        <v>8</v>
      </c>
      <c r="AB18" s="9">
        <v>10</v>
      </c>
      <c r="AC18" s="30">
        <v>9</v>
      </c>
      <c r="AD18" s="30">
        <v>12</v>
      </c>
      <c r="AE18" s="8">
        <v>11</v>
      </c>
      <c r="AF18" s="214">
        <v>10</v>
      </c>
    </row>
    <row r="19" spans="2:32" x14ac:dyDescent="0.2">
      <c r="B19" s="44" t="s">
        <v>15</v>
      </c>
      <c r="C19" s="45">
        <v>32</v>
      </c>
      <c r="D19" s="3">
        <v>30</v>
      </c>
      <c r="E19" s="4">
        <v>42</v>
      </c>
      <c r="F19" s="3">
        <f>47+1</f>
        <v>48</v>
      </c>
      <c r="G19" s="4">
        <v>50</v>
      </c>
      <c r="H19" s="3">
        <v>45</v>
      </c>
      <c r="I19" s="4">
        <v>36</v>
      </c>
      <c r="J19" s="3">
        <v>29</v>
      </c>
      <c r="K19" s="14">
        <v>28</v>
      </c>
      <c r="L19" s="14">
        <v>28</v>
      </c>
      <c r="M19" s="15">
        <v>35</v>
      </c>
      <c r="N19" s="15">
        <v>25</v>
      </c>
      <c r="O19" s="25">
        <v>34</v>
      </c>
      <c r="P19" s="25">
        <v>37</v>
      </c>
      <c r="Q19" s="9">
        <v>31</v>
      </c>
      <c r="R19" s="8">
        <v>35</v>
      </c>
      <c r="S19" s="8">
        <v>34</v>
      </c>
      <c r="T19" s="16">
        <v>29</v>
      </c>
      <c r="U19" s="9">
        <v>30</v>
      </c>
      <c r="V19" s="9">
        <v>45</v>
      </c>
      <c r="W19" s="9">
        <v>40</v>
      </c>
      <c r="X19" s="9">
        <v>34</v>
      </c>
      <c r="Y19" s="9">
        <v>38</v>
      </c>
      <c r="Z19" s="9">
        <v>31</v>
      </c>
      <c r="AA19" s="9">
        <v>31</v>
      </c>
      <c r="AB19" s="9">
        <v>15</v>
      </c>
      <c r="AC19" s="30">
        <v>13</v>
      </c>
      <c r="AD19" s="30">
        <v>17</v>
      </c>
      <c r="AE19" s="8">
        <v>17</v>
      </c>
      <c r="AF19" s="214">
        <v>24</v>
      </c>
    </row>
    <row r="20" spans="2:32" x14ac:dyDescent="0.2">
      <c r="B20" s="44" t="s">
        <v>49</v>
      </c>
      <c r="C20" s="45"/>
      <c r="D20" s="3"/>
      <c r="E20" s="4"/>
      <c r="F20" s="3"/>
      <c r="G20" s="4"/>
      <c r="H20" s="3"/>
      <c r="I20" s="4"/>
      <c r="J20" s="3"/>
      <c r="K20" s="14"/>
      <c r="L20" s="14"/>
      <c r="M20" s="15"/>
      <c r="N20" s="15"/>
      <c r="O20" s="25"/>
      <c r="P20" s="25"/>
      <c r="Q20" s="16"/>
      <c r="R20" s="8"/>
      <c r="S20" s="8"/>
      <c r="T20" s="180"/>
      <c r="U20" s="9">
        <v>0</v>
      </c>
      <c r="V20" s="9">
        <v>1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1</v>
      </c>
      <c r="AC20" s="30">
        <v>1</v>
      </c>
      <c r="AD20" s="30">
        <v>0</v>
      </c>
      <c r="AE20" s="8">
        <v>0</v>
      </c>
      <c r="AF20" s="214">
        <v>1</v>
      </c>
    </row>
    <row r="21" spans="2:32" x14ac:dyDescent="0.2">
      <c r="B21" s="44" t="s">
        <v>18</v>
      </c>
      <c r="C21" s="45">
        <f>9+5</f>
        <v>14</v>
      </c>
      <c r="D21" s="3">
        <f>13+11</f>
        <v>24</v>
      </c>
      <c r="E21" s="4">
        <f>16+15</f>
        <v>31</v>
      </c>
      <c r="F21" s="3">
        <f>17+25</f>
        <v>42</v>
      </c>
      <c r="G21" s="4">
        <f>19+21</f>
        <v>40</v>
      </c>
      <c r="H21" s="3">
        <f>20+15</f>
        <v>35</v>
      </c>
      <c r="I21" s="4">
        <f>14+20</f>
        <v>34</v>
      </c>
      <c r="J21" s="3">
        <v>37</v>
      </c>
      <c r="K21" s="14">
        <f>24+15</f>
        <v>39</v>
      </c>
      <c r="L21" s="14">
        <f>29+16</f>
        <v>45</v>
      </c>
      <c r="M21" s="15">
        <f>27+28</f>
        <v>55</v>
      </c>
      <c r="N21" s="15">
        <v>54</v>
      </c>
      <c r="O21" s="25">
        <v>49</v>
      </c>
      <c r="P21" s="25">
        <v>23</v>
      </c>
      <c r="Q21" s="9">
        <f>24+33</f>
        <v>57</v>
      </c>
      <c r="R21" s="8">
        <v>85</v>
      </c>
      <c r="S21" s="8">
        <v>39</v>
      </c>
      <c r="T21" s="16">
        <v>44</v>
      </c>
      <c r="U21" s="9">
        <f>39+38</f>
        <v>77</v>
      </c>
      <c r="V21" s="9">
        <v>88</v>
      </c>
      <c r="W21" s="9">
        <v>96</v>
      </c>
      <c r="X21" s="9">
        <v>86</v>
      </c>
      <c r="Y21" s="9">
        <v>83</v>
      </c>
      <c r="Z21" s="9">
        <v>72</v>
      </c>
      <c r="AA21" s="9">
        <v>60</v>
      </c>
      <c r="AB21" s="9">
        <v>62</v>
      </c>
      <c r="AC21" s="30">
        <v>69</v>
      </c>
      <c r="AD21" s="30">
        <v>79</v>
      </c>
      <c r="AE21" s="8">
        <v>97</v>
      </c>
      <c r="AF21" s="214">
        <v>106</v>
      </c>
    </row>
    <row r="22" spans="2:32" x14ac:dyDescent="0.2">
      <c r="B22" s="44" t="s">
        <v>50</v>
      </c>
      <c r="C22" s="45"/>
      <c r="D22" s="3"/>
      <c r="E22" s="4"/>
      <c r="F22" s="3"/>
      <c r="G22" s="4"/>
      <c r="H22" s="3"/>
      <c r="I22" s="4"/>
      <c r="J22" s="3">
        <v>8</v>
      </c>
      <c r="K22" s="14">
        <f>6+9</f>
        <v>15</v>
      </c>
      <c r="L22" s="14">
        <f>6+11+5</f>
        <v>22</v>
      </c>
      <c r="M22" s="15">
        <f>6+14+6</f>
        <v>26</v>
      </c>
      <c r="N22" s="15">
        <v>32</v>
      </c>
      <c r="O22" s="25">
        <v>41</v>
      </c>
      <c r="P22" s="25">
        <v>91</v>
      </c>
      <c r="Q22" s="9">
        <f>15+22+16</f>
        <v>53</v>
      </c>
      <c r="R22" s="8">
        <v>45</v>
      </c>
      <c r="S22" s="8">
        <v>76</v>
      </c>
      <c r="T22" s="180"/>
      <c r="U22" s="9">
        <v>4</v>
      </c>
      <c r="V22" s="9">
        <v>16</v>
      </c>
      <c r="W22" s="9">
        <v>19</v>
      </c>
      <c r="X22" s="9">
        <v>23</v>
      </c>
      <c r="Y22" s="9">
        <v>27</v>
      </c>
      <c r="Z22" s="9">
        <v>27</v>
      </c>
      <c r="AA22" s="9">
        <v>34</v>
      </c>
      <c r="AB22" s="9">
        <v>45</v>
      </c>
      <c r="AC22" s="30">
        <v>37</v>
      </c>
      <c r="AD22" s="30">
        <v>29</v>
      </c>
      <c r="AE22" s="8">
        <v>26</v>
      </c>
      <c r="AF22" s="214">
        <v>36</v>
      </c>
    </row>
    <row r="23" spans="2:32" x14ac:dyDescent="0.2">
      <c r="B23" s="44" t="s">
        <v>32</v>
      </c>
      <c r="C23" s="45"/>
      <c r="D23" s="3"/>
      <c r="E23" s="4"/>
      <c r="F23" s="3"/>
      <c r="G23" s="4"/>
      <c r="H23" s="3"/>
      <c r="I23" s="4"/>
      <c r="J23" s="3"/>
      <c r="K23" s="14"/>
      <c r="L23" s="14"/>
      <c r="M23" s="15"/>
      <c r="N23" s="15"/>
      <c r="O23" s="25"/>
      <c r="P23" s="25"/>
      <c r="Q23" s="9"/>
      <c r="R23" s="8"/>
      <c r="S23" s="8"/>
      <c r="T23" s="16">
        <f>34+17+20+6</f>
        <v>77</v>
      </c>
      <c r="U23" s="9">
        <v>27</v>
      </c>
      <c r="V23" s="9">
        <v>28</v>
      </c>
      <c r="W23" s="9">
        <v>4</v>
      </c>
      <c r="X23" s="9">
        <v>14</v>
      </c>
      <c r="Y23" s="9">
        <v>14</v>
      </c>
      <c r="Z23" s="9">
        <v>6</v>
      </c>
      <c r="AA23" s="9">
        <v>14</v>
      </c>
      <c r="AB23" s="9">
        <v>9</v>
      </c>
      <c r="AC23" s="30">
        <v>6</v>
      </c>
      <c r="AD23" s="30">
        <v>3</v>
      </c>
      <c r="AE23" s="8">
        <v>3</v>
      </c>
      <c r="AF23" s="214">
        <v>3</v>
      </c>
    </row>
    <row r="24" spans="2:32" ht="12.75" customHeight="1" thickBot="1" x14ac:dyDescent="0.25">
      <c r="B24" s="46" t="s">
        <v>19</v>
      </c>
      <c r="C24" s="47">
        <v>1661</v>
      </c>
      <c r="D24" s="6">
        <v>1682</v>
      </c>
      <c r="E24" s="7">
        <f>1727+2</f>
        <v>1729</v>
      </c>
      <c r="F24" s="6">
        <f>1799+3</f>
        <v>1802</v>
      </c>
      <c r="G24" s="7">
        <v>1800</v>
      </c>
      <c r="H24" s="6">
        <v>1665</v>
      </c>
      <c r="I24" s="7">
        <v>1597</v>
      </c>
      <c r="J24" s="6">
        <v>1495</v>
      </c>
      <c r="K24" s="48">
        <v>1474</v>
      </c>
      <c r="L24" s="48">
        <v>1467</v>
      </c>
      <c r="M24" s="49">
        <v>1552</v>
      </c>
      <c r="N24" s="49">
        <v>1541</v>
      </c>
      <c r="O24" s="73">
        <v>1640</v>
      </c>
      <c r="P24" s="73">
        <v>1581</v>
      </c>
      <c r="Q24" s="10">
        <v>1506</v>
      </c>
      <c r="R24" s="118">
        <v>1390</v>
      </c>
      <c r="S24" s="118">
        <v>1401</v>
      </c>
      <c r="T24" s="118">
        <v>1362</v>
      </c>
      <c r="U24" s="10">
        <v>1300</v>
      </c>
      <c r="V24" s="10">
        <v>1316</v>
      </c>
      <c r="W24" s="10">
        <v>1241</v>
      </c>
      <c r="X24" s="10">
        <v>1100</v>
      </c>
      <c r="Y24" s="10">
        <v>1063</v>
      </c>
      <c r="Z24" s="10">
        <v>1045</v>
      </c>
      <c r="AA24" s="10">
        <v>1083</v>
      </c>
      <c r="AB24" s="10">
        <v>859</v>
      </c>
      <c r="AC24" s="192">
        <v>839</v>
      </c>
      <c r="AD24" s="192">
        <v>751</v>
      </c>
      <c r="AE24" s="116">
        <v>700</v>
      </c>
      <c r="AF24" s="216">
        <v>704</v>
      </c>
    </row>
    <row r="25" spans="2:32" ht="14.25" hidden="1" thickTop="1" thickBot="1" x14ac:dyDescent="0.25">
      <c r="B25" s="44" t="s">
        <v>34</v>
      </c>
      <c r="C25" s="45"/>
      <c r="D25" s="3"/>
      <c r="E25" s="4"/>
      <c r="F25" s="3"/>
      <c r="G25" s="4"/>
      <c r="H25" s="3"/>
      <c r="I25" s="4"/>
      <c r="J25" s="3"/>
      <c r="K25" s="14">
        <v>5</v>
      </c>
      <c r="L25" s="4">
        <v>9</v>
      </c>
      <c r="M25" s="11">
        <v>14</v>
      </c>
      <c r="N25" s="15">
        <v>18</v>
      </c>
      <c r="O25" s="25">
        <v>23</v>
      </c>
      <c r="P25" s="25">
        <v>23</v>
      </c>
      <c r="Q25" s="12"/>
      <c r="R25" s="26"/>
      <c r="S25" s="26"/>
      <c r="T25" s="26"/>
      <c r="AC25" s="13"/>
    </row>
    <row r="26" spans="2:32" ht="14.25" hidden="1" thickTop="1" thickBot="1" x14ac:dyDescent="0.25">
      <c r="B26" s="44" t="s">
        <v>35</v>
      </c>
      <c r="C26" s="45"/>
      <c r="D26" s="3"/>
      <c r="E26" s="4"/>
      <c r="F26" s="3"/>
      <c r="G26" s="4"/>
      <c r="H26" s="3"/>
      <c r="I26" s="4"/>
      <c r="J26" s="3"/>
      <c r="K26" s="14">
        <v>1</v>
      </c>
      <c r="L26" s="4">
        <v>4</v>
      </c>
      <c r="M26" s="11">
        <v>9</v>
      </c>
      <c r="N26" s="15">
        <v>8</v>
      </c>
      <c r="O26" s="25">
        <v>12</v>
      </c>
      <c r="P26" s="25">
        <v>12</v>
      </c>
      <c r="Q26" s="12"/>
      <c r="R26" s="26"/>
      <c r="S26" s="26"/>
      <c r="T26" s="26"/>
      <c r="AC26" s="13"/>
    </row>
    <row r="27" spans="2:32" ht="13.5" thickTop="1" x14ac:dyDescent="0.2">
      <c r="O27" s="21"/>
      <c r="P27" s="21"/>
      <c r="Q27" s="54"/>
    </row>
    <row r="28" spans="2:32" x14ac:dyDescent="0.2">
      <c r="B28" s="28"/>
    </row>
    <row r="29" spans="2:32" hidden="1" x14ac:dyDescent="0.2"/>
    <row r="56" ht="43.5" customHeight="1" x14ac:dyDescent="0.2"/>
    <row r="57" ht="57" customHeight="1" x14ac:dyDescent="0.2"/>
    <row r="58" ht="52.5" customHeight="1" x14ac:dyDescent="0.2"/>
    <row r="59" ht="19.5" customHeight="1" x14ac:dyDescent="0.2"/>
  </sheetData>
  <mergeCells count="1">
    <mergeCell ref="A2:Q2"/>
  </mergeCells>
  <phoneticPr fontId="0" type="noConversion"/>
  <printOptions horizontalCentered="1"/>
  <pageMargins left="0.71" right="0.75" top="0.75" bottom="0.75" header="0.5" footer="0.5"/>
  <pageSetup scale="96" orientation="portrait" r:id="rId1"/>
  <headerFooter alignWithMargins="0"/>
  <ignoredErrors>
    <ignoredError sqref="R8:AA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2">
    <tabColor indexed="45"/>
  </sheetPr>
  <dimension ref="A1:AF52"/>
  <sheetViews>
    <sheetView view="pageBreakPreview" zoomScaleNormal="100" zoomScaleSheetLayoutView="100" workbookViewId="0">
      <selection activeCell="AF14" sqref="AF14:AF22"/>
    </sheetView>
  </sheetViews>
  <sheetFormatPr defaultRowHeight="12.75" x14ac:dyDescent="0.2"/>
  <cols>
    <col min="1" max="1" width="3.28515625" customWidth="1"/>
    <col min="2" max="2" width="20.7109375" customWidth="1"/>
    <col min="3" max="13" width="9.140625" hidden="1" customWidth="1"/>
    <col min="14" max="27" width="0" hidden="1" customWidth="1"/>
  </cols>
  <sheetData>
    <row r="1" spans="1:32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39.75" customHeight="1" x14ac:dyDescent="0.3">
      <c r="A2" s="169" t="s">
        <v>48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40"/>
      <c r="X2" s="140"/>
      <c r="Y2" s="140"/>
      <c r="Z2" s="140"/>
      <c r="AA2" s="140"/>
      <c r="AB2" s="140"/>
      <c r="AC2" s="140"/>
      <c r="AD2" s="140"/>
      <c r="AE2" s="140"/>
    </row>
    <row r="3" spans="1:32" ht="13.5" thickBot="1" x14ac:dyDescent="0.25"/>
    <row r="4" spans="1:32" ht="13.5" thickTop="1" x14ac:dyDescent="0.2">
      <c r="B4" s="3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8"/>
      <c r="Q4" s="228"/>
      <c r="R4" s="228"/>
      <c r="S4" s="228"/>
      <c r="T4" s="228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33"/>
    </row>
    <row r="5" spans="1:32" ht="13.5" thickBot="1" x14ac:dyDescent="0.25">
      <c r="B5" s="34" t="s">
        <v>31</v>
      </c>
      <c r="C5" s="60" t="s">
        <v>1</v>
      </c>
      <c r="D5" s="24" t="s">
        <v>2</v>
      </c>
      <c r="E5" s="135" t="s">
        <v>3</v>
      </c>
      <c r="F5" s="120" t="s">
        <v>4</v>
      </c>
      <c r="G5" s="135" t="s">
        <v>5</v>
      </c>
      <c r="H5" s="120" t="s">
        <v>6</v>
      </c>
      <c r="I5" s="135" t="s">
        <v>21</v>
      </c>
      <c r="J5" s="120">
        <v>1997</v>
      </c>
      <c r="K5" s="61">
        <v>1998</v>
      </c>
      <c r="L5" s="61">
        <v>1999</v>
      </c>
      <c r="M5" s="61">
        <v>2000</v>
      </c>
      <c r="N5" s="38">
        <v>2001</v>
      </c>
      <c r="O5" s="38">
        <v>2002</v>
      </c>
      <c r="P5" s="37">
        <v>2003</v>
      </c>
      <c r="Q5" s="36">
        <v>2004</v>
      </c>
      <c r="R5" s="38">
        <v>2005</v>
      </c>
      <c r="S5" s="38">
        <v>2006</v>
      </c>
      <c r="T5" s="38">
        <v>2007</v>
      </c>
      <c r="U5" s="37">
        <v>2008</v>
      </c>
      <c r="V5" s="37">
        <v>2009</v>
      </c>
      <c r="W5" s="37">
        <v>2010</v>
      </c>
      <c r="X5" s="37">
        <v>2011</v>
      </c>
      <c r="Y5" s="37">
        <v>2012</v>
      </c>
      <c r="Z5" s="37">
        <v>2013</v>
      </c>
      <c r="AA5" s="37">
        <v>2014</v>
      </c>
      <c r="AB5" s="37">
        <v>2021</v>
      </c>
      <c r="AC5" s="37">
        <v>2022</v>
      </c>
      <c r="AD5" s="37">
        <v>2023</v>
      </c>
      <c r="AE5" s="36">
        <v>2024</v>
      </c>
      <c r="AF5" s="201">
        <v>2025</v>
      </c>
    </row>
    <row r="6" spans="1:32" ht="13.5" thickTop="1" x14ac:dyDescent="0.2">
      <c r="B6" s="31"/>
      <c r="C6" s="53"/>
      <c r="D6" s="54"/>
      <c r="E6" s="55"/>
      <c r="F6" s="54"/>
      <c r="G6" s="55"/>
      <c r="H6" s="54"/>
      <c r="I6" s="55"/>
      <c r="J6" s="54"/>
      <c r="K6" s="56"/>
      <c r="L6" s="56"/>
      <c r="M6" s="11"/>
      <c r="N6" s="11"/>
      <c r="O6" s="12"/>
      <c r="P6" s="12"/>
      <c r="Q6" s="12"/>
      <c r="R6" s="21"/>
      <c r="S6" s="21"/>
      <c r="T6" s="41"/>
      <c r="U6" s="71"/>
      <c r="V6" s="71"/>
      <c r="W6" s="71"/>
      <c r="X6" s="71"/>
      <c r="Y6" s="71"/>
      <c r="Z6" s="71"/>
      <c r="AA6" s="71"/>
      <c r="AB6" s="71"/>
      <c r="AC6" s="71"/>
      <c r="AD6" s="71"/>
      <c r="AE6" s="41"/>
      <c r="AF6" s="209"/>
    </row>
    <row r="7" spans="1:32" x14ac:dyDescent="0.2">
      <c r="B7" s="42" t="s">
        <v>7</v>
      </c>
      <c r="C7" s="43">
        <f t="shared" ref="C7:J7" si="0">SUM(C8:C9)</f>
        <v>2647</v>
      </c>
      <c r="D7" s="1">
        <f t="shared" si="0"/>
        <v>2616</v>
      </c>
      <c r="E7" s="2">
        <f t="shared" si="0"/>
        <v>2482</v>
      </c>
      <c r="F7" s="1">
        <f t="shared" si="0"/>
        <v>2649</v>
      </c>
      <c r="G7" s="2">
        <f t="shared" si="0"/>
        <v>2598</v>
      </c>
      <c r="H7" s="1">
        <f t="shared" si="0"/>
        <v>2584</v>
      </c>
      <c r="I7" s="2">
        <f t="shared" si="0"/>
        <v>2463</v>
      </c>
      <c r="J7" s="1">
        <f t="shared" si="0"/>
        <v>2557</v>
      </c>
      <c r="K7" s="17">
        <f t="shared" ref="K7:Q7" si="1">SUM(K8:K9)</f>
        <v>2570</v>
      </c>
      <c r="L7" s="17">
        <f t="shared" si="1"/>
        <v>2668</v>
      </c>
      <c r="M7" s="17">
        <f t="shared" si="1"/>
        <v>2751</v>
      </c>
      <c r="N7" s="17">
        <f t="shared" si="1"/>
        <v>2793</v>
      </c>
      <c r="O7" s="2">
        <f t="shared" si="1"/>
        <v>2864</v>
      </c>
      <c r="P7" s="2">
        <f t="shared" si="1"/>
        <v>2823</v>
      </c>
      <c r="Q7" s="19">
        <f t="shared" si="1"/>
        <v>2771</v>
      </c>
      <c r="R7" s="20">
        <f t="shared" ref="R7:W7" si="2">SUM(R8:R9)</f>
        <v>2755</v>
      </c>
      <c r="S7" s="20">
        <f t="shared" si="2"/>
        <v>2794</v>
      </c>
      <c r="T7" s="18">
        <f t="shared" si="2"/>
        <v>2901</v>
      </c>
      <c r="U7" s="19">
        <f t="shared" si="2"/>
        <v>2960</v>
      </c>
      <c r="V7" s="19">
        <f t="shared" si="2"/>
        <v>3027</v>
      </c>
      <c r="W7" s="19">
        <f t="shared" si="2"/>
        <v>2998</v>
      </c>
      <c r="X7" s="19">
        <f t="shared" ref="X7:AA7" si="3">SUM(X8:X9)</f>
        <v>3056</v>
      </c>
      <c r="Y7" s="19">
        <f t="shared" si="3"/>
        <v>3172</v>
      </c>
      <c r="Z7" s="19">
        <f t="shared" si="3"/>
        <v>3327</v>
      </c>
      <c r="AA7" s="19">
        <f t="shared" si="3"/>
        <v>3503</v>
      </c>
      <c r="AB7" s="19">
        <v>2832</v>
      </c>
      <c r="AC7" s="19">
        <v>2766</v>
      </c>
      <c r="AD7" s="19">
        <v>2783</v>
      </c>
      <c r="AE7" s="19">
        <v>2836</v>
      </c>
      <c r="AF7" s="213">
        <f>SUM(AF8:AF9)</f>
        <v>3017</v>
      </c>
    </row>
    <row r="8" spans="1:32" x14ac:dyDescent="0.2">
      <c r="B8" s="44" t="s">
        <v>8</v>
      </c>
      <c r="C8" s="45">
        <v>2496</v>
      </c>
      <c r="D8" s="3">
        <v>2430</v>
      </c>
      <c r="E8" s="4">
        <f>2323+1</f>
        <v>2324</v>
      </c>
      <c r="F8" s="3">
        <f>2457+2</f>
        <v>2459</v>
      </c>
      <c r="G8" s="4">
        <v>2432</v>
      </c>
      <c r="H8" s="3">
        <v>2392</v>
      </c>
      <c r="I8" s="4">
        <v>2256</v>
      </c>
      <c r="J8" s="3">
        <v>2302</v>
      </c>
      <c r="K8" s="14">
        <v>2302</v>
      </c>
      <c r="L8" s="14">
        <v>2431</v>
      </c>
      <c r="M8" s="15">
        <v>2496</v>
      </c>
      <c r="N8" s="15">
        <v>2543</v>
      </c>
      <c r="O8" s="25">
        <v>2624</v>
      </c>
      <c r="P8" s="25">
        <v>2573</v>
      </c>
      <c r="Q8" s="9">
        <v>2570</v>
      </c>
      <c r="R8" s="8">
        <v>2591</v>
      </c>
      <c r="S8" s="8">
        <v>2609</v>
      </c>
      <c r="T8" s="16">
        <v>2709</v>
      </c>
      <c r="U8" s="9">
        <v>2751</v>
      </c>
      <c r="V8" s="9">
        <v>2821</v>
      </c>
      <c r="W8" s="9">
        <v>2823</v>
      </c>
      <c r="X8" s="9">
        <v>2876</v>
      </c>
      <c r="Y8" s="9">
        <v>2992</v>
      </c>
      <c r="Z8" s="9">
        <v>3139</v>
      </c>
      <c r="AA8" s="9">
        <v>3311</v>
      </c>
      <c r="AB8" s="9">
        <v>2641</v>
      </c>
      <c r="AC8" s="9">
        <v>2622</v>
      </c>
      <c r="AD8" s="9">
        <v>2638</v>
      </c>
      <c r="AE8" s="9">
        <v>2696</v>
      </c>
      <c r="AF8" s="214">
        <v>2861</v>
      </c>
    </row>
    <row r="9" spans="1:32" x14ac:dyDescent="0.2">
      <c r="B9" s="44" t="s">
        <v>9</v>
      </c>
      <c r="C9" s="45">
        <v>151</v>
      </c>
      <c r="D9" s="3">
        <v>186</v>
      </c>
      <c r="E9" s="4">
        <f>157+1</f>
        <v>158</v>
      </c>
      <c r="F9" s="3">
        <f>189+1</f>
        <v>190</v>
      </c>
      <c r="G9" s="4">
        <v>166</v>
      </c>
      <c r="H9" s="3">
        <v>192</v>
      </c>
      <c r="I9" s="4">
        <v>207</v>
      </c>
      <c r="J9" s="3">
        <v>255</v>
      </c>
      <c r="K9" s="14">
        <v>268</v>
      </c>
      <c r="L9" s="14">
        <v>237</v>
      </c>
      <c r="M9" s="15">
        <v>255</v>
      </c>
      <c r="N9" s="15">
        <v>250</v>
      </c>
      <c r="O9" s="25">
        <v>240</v>
      </c>
      <c r="P9" s="25">
        <v>250</v>
      </c>
      <c r="Q9" s="23">
        <v>201</v>
      </c>
      <c r="R9" s="69">
        <v>164</v>
      </c>
      <c r="S9" s="69">
        <v>185</v>
      </c>
      <c r="T9" s="22">
        <v>192</v>
      </c>
      <c r="U9" s="23">
        <v>209</v>
      </c>
      <c r="V9" s="23">
        <v>206</v>
      </c>
      <c r="W9" s="23">
        <v>175</v>
      </c>
      <c r="X9" s="23">
        <v>180</v>
      </c>
      <c r="Y9" s="23">
        <v>180</v>
      </c>
      <c r="Z9" s="23">
        <v>188</v>
      </c>
      <c r="AA9" s="23">
        <v>192</v>
      </c>
      <c r="AB9" s="23">
        <v>191</v>
      </c>
      <c r="AC9" s="23">
        <v>144</v>
      </c>
      <c r="AD9" s="23">
        <v>145</v>
      </c>
      <c r="AE9" s="23">
        <v>140</v>
      </c>
      <c r="AF9" s="214">
        <v>156</v>
      </c>
    </row>
    <row r="10" spans="1:32" x14ac:dyDescent="0.2">
      <c r="B10" s="44" t="s">
        <v>10</v>
      </c>
      <c r="C10" s="45">
        <v>2223</v>
      </c>
      <c r="D10" s="3">
        <v>2185</v>
      </c>
      <c r="E10" s="4">
        <f>2124+2</f>
        <v>2126</v>
      </c>
      <c r="F10" s="3">
        <f>2307+3</f>
        <v>2310</v>
      </c>
      <c r="G10" s="4">
        <v>2261</v>
      </c>
      <c r="H10" s="3">
        <v>2239</v>
      </c>
      <c r="I10" s="4">
        <v>2164</v>
      </c>
      <c r="J10" s="3">
        <v>2270</v>
      </c>
      <c r="K10" s="14">
        <v>2300</v>
      </c>
      <c r="L10" s="14">
        <v>2366</v>
      </c>
      <c r="M10" s="15">
        <v>2453</v>
      </c>
      <c r="N10" s="15">
        <v>2503</v>
      </c>
      <c r="O10" s="25">
        <v>2578</v>
      </c>
      <c r="P10" s="25">
        <v>2528</v>
      </c>
      <c r="Q10" s="9">
        <v>2479</v>
      </c>
      <c r="R10" s="8">
        <v>2429</v>
      </c>
      <c r="S10" s="8">
        <v>2419</v>
      </c>
      <c r="T10" s="16">
        <v>2470</v>
      </c>
      <c r="U10" s="9">
        <v>2468</v>
      </c>
      <c r="V10" s="9">
        <v>2449</v>
      </c>
      <c r="W10" s="9">
        <v>2415</v>
      </c>
      <c r="X10" s="9">
        <v>2389</v>
      </c>
      <c r="Y10" s="9">
        <v>2447</v>
      </c>
      <c r="Z10" s="9">
        <v>2587</v>
      </c>
      <c r="AA10" s="9">
        <v>2674</v>
      </c>
      <c r="AB10" s="9">
        <v>2309</v>
      </c>
      <c r="AC10" s="9">
        <v>2247</v>
      </c>
      <c r="AD10" s="9">
        <v>2280</v>
      </c>
      <c r="AE10" s="9">
        <v>2262</v>
      </c>
      <c r="AF10" s="214">
        <v>2359</v>
      </c>
    </row>
    <row r="11" spans="1:32" x14ac:dyDescent="0.2">
      <c r="B11" s="44" t="s">
        <v>11</v>
      </c>
      <c r="C11" s="45">
        <v>424</v>
      </c>
      <c r="D11" s="3">
        <v>431</v>
      </c>
      <c r="E11" s="4">
        <v>356</v>
      </c>
      <c r="F11" s="3">
        <v>339</v>
      </c>
      <c r="G11" s="4">
        <v>337</v>
      </c>
      <c r="H11" s="3">
        <v>345</v>
      </c>
      <c r="I11" s="4">
        <v>299</v>
      </c>
      <c r="J11" s="3">
        <v>287</v>
      </c>
      <c r="K11" s="14">
        <v>270</v>
      </c>
      <c r="L11" s="14">
        <v>302</v>
      </c>
      <c r="M11" s="15">
        <v>298</v>
      </c>
      <c r="N11" s="15">
        <v>290</v>
      </c>
      <c r="O11" s="25">
        <v>286</v>
      </c>
      <c r="P11" s="25">
        <v>295</v>
      </c>
      <c r="Q11" s="23">
        <v>292</v>
      </c>
      <c r="R11" s="69">
        <v>326</v>
      </c>
      <c r="S11" s="69">
        <v>375</v>
      </c>
      <c r="T11" s="22">
        <v>431</v>
      </c>
      <c r="U11" s="23">
        <v>492</v>
      </c>
      <c r="V11" s="23">
        <v>578</v>
      </c>
      <c r="W11" s="23">
        <v>583</v>
      </c>
      <c r="X11" s="23">
        <v>667</v>
      </c>
      <c r="Y11" s="23">
        <v>725</v>
      </c>
      <c r="Z11" s="23">
        <v>740</v>
      </c>
      <c r="AA11" s="23">
        <v>829</v>
      </c>
      <c r="AB11" s="23">
        <v>523</v>
      </c>
      <c r="AC11" s="23">
        <v>519</v>
      </c>
      <c r="AD11" s="23">
        <v>503</v>
      </c>
      <c r="AE11" s="23">
        <v>574</v>
      </c>
      <c r="AF11" s="214">
        <v>658</v>
      </c>
    </row>
    <row r="12" spans="1:32" x14ac:dyDescent="0.2">
      <c r="B12" s="44" t="s">
        <v>12</v>
      </c>
      <c r="C12" s="45">
        <v>2292</v>
      </c>
      <c r="D12" s="3">
        <v>2279</v>
      </c>
      <c r="E12" s="4">
        <f>2141+2</f>
        <v>2143</v>
      </c>
      <c r="F12" s="3">
        <f>2260+3</f>
        <v>2263</v>
      </c>
      <c r="G12" s="4">
        <v>2184</v>
      </c>
      <c r="H12" s="3">
        <v>2194</v>
      </c>
      <c r="I12" s="4">
        <v>2094</v>
      </c>
      <c r="J12" s="3">
        <v>2198</v>
      </c>
      <c r="K12" s="14">
        <v>2200</v>
      </c>
      <c r="L12" s="14">
        <v>2298</v>
      </c>
      <c r="M12" s="15">
        <v>2370</v>
      </c>
      <c r="N12" s="15">
        <v>2421</v>
      </c>
      <c r="O12" s="25">
        <v>2508</v>
      </c>
      <c r="P12" s="25">
        <v>2466</v>
      </c>
      <c r="Q12" s="9">
        <v>2417</v>
      </c>
      <c r="R12" s="8">
        <v>2417</v>
      </c>
      <c r="S12" s="8">
        <v>2458</v>
      </c>
      <c r="T12" s="16">
        <v>2541</v>
      </c>
      <c r="U12" s="9">
        <v>2579</v>
      </c>
      <c r="V12" s="9">
        <v>2635</v>
      </c>
      <c r="W12" s="9">
        <v>2592</v>
      </c>
      <c r="X12" s="9">
        <v>2659</v>
      </c>
      <c r="Y12" s="9">
        <v>2735</v>
      </c>
      <c r="Z12" s="9">
        <v>2843</v>
      </c>
      <c r="AA12" s="9">
        <v>2965</v>
      </c>
      <c r="AB12" s="9">
        <v>2322</v>
      </c>
      <c r="AC12" s="9">
        <v>2275</v>
      </c>
      <c r="AD12" s="9">
        <v>2284</v>
      </c>
      <c r="AE12" s="9">
        <v>2304</v>
      </c>
      <c r="AF12" s="214">
        <v>2432</v>
      </c>
    </row>
    <row r="13" spans="1:32" x14ac:dyDescent="0.2">
      <c r="B13" s="44" t="s">
        <v>13</v>
      </c>
      <c r="C13" s="45">
        <v>355</v>
      </c>
      <c r="D13" s="3">
        <v>337</v>
      </c>
      <c r="E13" s="4">
        <v>339</v>
      </c>
      <c r="F13" s="3">
        <v>386</v>
      </c>
      <c r="G13" s="4">
        <v>414</v>
      </c>
      <c r="H13" s="3">
        <v>390</v>
      </c>
      <c r="I13" s="4">
        <v>369</v>
      </c>
      <c r="J13" s="3">
        <v>359</v>
      </c>
      <c r="K13" s="14">
        <v>370</v>
      </c>
      <c r="L13" s="14">
        <v>370</v>
      </c>
      <c r="M13" s="15">
        <v>381</v>
      </c>
      <c r="N13" s="15">
        <v>372</v>
      </c>
      <c r="O13" s="25">
        <v>356</v>
      </c>
      <c r="P13" s="25">
        <v>357</v>
      </c>
      <c r="Q13" s="23">
        <v>354</v>
      </c>
      <c r="R13" s="69">
        <v>338</v>
      </c>
      <c r="S13" s="69">
        <v>336</v>
      </c>
      <c r="T13" s="22">
        <v>360</v>
      </c>
      <c r="U13" s="23">
        <v>381</v>
      </c>
      <c r="V13" s="23">
        <v>392</v>
      </c>
      <c r="W13" s="23">
        <v>406</v>
      </c>
      <c r="X13" s="23">
        <v>397</v>
      </c>
      <c r="Y13" s="23">
        <v>437</v>
      </c>
      <c r="Z13" s="23">
        <v>484</v>
      </c>
      <c r="AA13" s="23">
        <v>538</v>
      </c>
      <c r="AB13" s="23">
        <v>510</v>
      </c>
      <c r="AC13" s="23">
        <v>491</v>
      </c>
      <c r="AD13" s="23">
        <v>499</v>
      </c>
      <c r="AE13" s="23">
        <v>532</v>
      </c>
      <c r="AF13" s="214">
        <v>585</v>
      </c>
    </row>
    <row r="14" spans="1:32" x14ac:dyDescent="0.2">
      <c r="B14" s="44" t="s">
        <v>14</v>
      </c>
      <c r="C14" s="45">
        <v>97</v>
      </c>
      <c r="D14" s="3">
        <v>105</v>
      </c>
      <c r="E14" s="4">
        <v>111</v>
      </c>
      <c r="F14" s="3">
        <v>107</v>
      </c>
      <c r="G14" s="4">
        <v>92</v>
      </c>
      <c r="H14" s="3">
        <v>80</v>
      </c>
      <c r="I14" s="4">
        <v>57</v>
      </c>
      <c r="J14" s="3">
        <v>55</v>
      </c>
      <c r="K14" s="14">
        <v>53</v>
      </c>
      <c r="L14" s="14">
        <v>53</v>
      </c>
      <c r="M14" s="15">
        <v>62</v>
      </c>
      <c r="N14" s="15">
        <v>58</v>
      </c>
      <c r="O14" s="25">
        <v>61</v>
      </c>
      <c r="P14" s="25">
        <v>54</v>
      </c>
      <c r="Q14" s="9">
        <v>48</v>
      </c>
      <c r="R14" s="8">
        <v>55</v>
      </c>
      <c r="S14" s="8">
        <v>94</v>
      </c>
      <c r="T14" s="16">
        <v>138</v>
      </c>
      <c r="U14" s="9">
        <v>185</v>
      </c>
      <c r="V14" s="9">
        <v>247</v>
      </c>
      <c r="W14" s="9">
        <v>252</v>
      </c>
      <c r="X14" s="9">
        <v>313</v>
      </c>
      <c r="Y14" s="9">
        <v>347</v>
      </c>
      <c r="Z14" s="9">
        <v>388</v>
      </c>
      <c r="AA14" s="9">
        <v>443</v>
      </c>
      <c r="AB14" s="9">
        <v>94</v>
      </c>
      <c r="AC14" s="9">
        <v>69</v>
      </c>
      <c r="AD14" s="9">
        <v>59</v>
      </c>
      <c r="AE14" s="9">
        <v>49</v>
      </c>
      <c r="AF14" s="214">
        <v>53</v>
      </c>
    </row>
    <row r="15" spans="1:32" x14ac:dyDescent="0.2">
      <c r="B15" s="44" t="s">
        <v>16</v>
      </c>
      <c r="C15" s="45">
        <v>9</v>
      </c>
      <c r="D15" s="3">
        <v>8</v>
      </c>
      <c r="E15" s="4">
        <v>7</v>
      </c>
      <c r="F15" s="3">
        <v>10</v>
      </c>
      <c r="G15" s="4">
        <v>16</v>
      </c>
      <c r="H15" s="3">
        <v>16</v>
      </c>
      <c r="I15" s="4">
        <v>18</v>
      </c>
      <c r="J15" s="3">
        <v>20</v>
      </c>
      <c r="K15" s="14">
        <v>19</v>
      </c>
      <c r="L15" s="14">
        <v>19</v>
      </c>
      <c r="M15" s="15">
        <v>17</v>
      </c>
      <c r="N15" s="15">
        <v>18</v>
      </c>
      <c r="O15" s="25">
        <v>14</v>
      </c>
      <c r="P15" s="25">
        <v>14</v>
      </c>
      <c r="Q15" s="9">
        <v>13</v>
      </c>
      <c r="R15" s="8">
        <v>13</v>
      </c>
      <c r="S15" s="8">
        <v>16</v>
      </c>
      <c r="T15" s="16">
        <v>13</v>
      </c>
      <c r="U15" s="9">
        <v>13</v>
      </c>
      <c r="V15" s="9">
        <v>14</v>
      </c>
      <c r="W15" s="9">
        <v>11</v>
      </c>
      <c r="X15" s="9">
        <v>9</v>
      </c>
      <c r="Y15" s="9">
        <v>7</v>
      </c>
      <c r="Z15" s="9">
        <v>13</v>
      </c>
      <c r="AA15" s="9">
        <v>5</v>
      </c>
      <c r="AB15" s="9">
        <v>9</v>
      </c>
      <c r="AC15" s="9">
        <v>10</v>
      </c>
      <c r="AD15" s="9">
        <v>7</v>
      </c>
      <c r="AE15" s="9">
        <v>6</v>
      </c>
      <c r="AF15" s="214">
        <v>10</v>
      </c>
    </row>
    <row r="16" spans="1:32" x14ac:dyDescent="0.2">
      <c r="B16" s="44" t="s">
        <v>17</v>
      </c>
      <c r="C16" s="45">
        <v>84</v>
      </c>
      <c r="D16" s="3">
        <v>82</v>
      </c>
      <c r="E16" s="4">
        <v>76</v>
      </c>
      <c r="F16" s="3">
        <v>91</v>
      </c>
      <c r="G16" s="4">
        <v>84</v>
      </c>
      <c r="H16" s="3">
        <v>69</v>
      </c>
      <c r="I16" s="4">
        <v>62</v>
      </c>
      <c r="J16" s="3">
        <v>60</v>
      </c>
      <c r="K16" s="14">
        <v>51</v>
      </c>
      <c r="L16" s="14">
        <v>57</v>
      </c>
      <c r="M16" s="15">
        <v>53</v>
      </c>
      <c r="N16" s="15">
        <v>56</v>
      </c>
      <c r="O16" s="25">
        <v>57</v>
      </c>
      <c r="P16" s="25">
        <v>60</v>
      </c>
      <c r="Q16" s="16">
        <v>53</v>
      </c>
      <c r="R16" s="172">
        <v>39</v>
      </c>
      <c r="S16" s="8">
        <v>37</v>
      </c>
      <c r="T16" s="16">
        <v>38</v>
      </c>
      <c r="U16" s="9">
        <v>41</v>
      </c>
      <c r="V16" s="9">
        <v>52</v>
      </c>
      <c r="W16" s="9">
        <v>48</v>
      </c>
      <c r="X16" s="9">
        <v>54</v>
      </c>
      <c r="Y16" s="9">
        <v>46</v>
      </c>
      <c r="Z16" s="9">
        <v>56</v>
      </c>
      <c r="AA16" s="9">
        <v>61</v>
      </c>
      <c r="AB16" s="9">
        <v>79</v>
      </c>
      <c r="AC16" s="9">
        <v>81</v>
      </c>
      <c r="AD16" s="9">
        <v>78</v>
      </c>
      <c r="AE16" s="9">
        <v>78</v>
      </c>
      <c r="AF16" s="214">
        <v>83</v>
      </c>
    </row>
    <row r="17" spans="2:32" x14ac:dyDescent="0.2">
      <c r="B17" s="44" t="s">
        <v>15</v>
      </c>
      <c r="C17" s="45">
        <v>62</v>
      </c>
      <c r="D17" s="3">
        <v>69</v>
      </c>
      <c r="E17" s="4">
        <v>65</v>
      </c>
      <c r="F17" s="3">
        <v>73</v>
      </c>
      <c r="G17" s="4">
        <v>90</v>
      </c>
      <c r="H17" s="3">
        <v>68</v>
      </c>
      <c r="I17" s="4">
        <v>67</v>
      </c>
      <c r="J17" s="3">
        <v>63</v>
      </c>
      <c r="K17" s="14">
        <v>64</v>
      </c>
      <c r="L17" s="14">
        <v>73</v>
      </c>
      <c r="M17" s="15">
        <v>69</v>
      </c>
      <c r="N17" s="15">
        <v>65</v>
      </c>
      <c r="O17" s="25">
        <v>67</v>
      </c>
      <c r="P17" s="25">
        <v>58</v>
      </c>
      <c r="Q17" s="9">
        <v>52</v>
      </c>
      <c r="R17" s="8">
        <v>60</v>
      </c>
      <c r="S17" s="8">
        <v>60</v>
      </c>
      <c r="T17" s="16">
        <v>64</v>
      </c>
      <c r="U17" s="9">
        <v>64</v>
      </c>
      <c r="V17" s="9">
        <v>84</v>
      </c>
      <c r="W17" s="9">
        <v>86</v>
      </c>
      <c r="X17" s="9">
        <v>80</v>
      </c>
      <c r="Y17" s="9">
        <v>101</v>
      </c>
      <c r="Z17" s="9">
        <v>93</v>
      </c>
      <c r="AA17" s="9">
        <v>92</v>
      </c>
      <c r="AB17" s="9">
        <v>44</v>
      </c>
      <c r="AC17" s="9">
        <v>52</v>
      </c>
      <c r="AD17" s="9">
        <v>52</v>
      </c>
      <c r="AE17" s="9">
        <v>65</v>
      </c>
      <c r="AF17" s="214">
        <v>66</v>
      </c>
    </row>
    <row r="18" spans="2:32" x14ac:dyDescent="0.2">
      <c r="B18" s="44" t="s">
        <v>49</v>
      </c>
      <c r="C18" s="45"/>
      <c r="D18" s="3"/>
      <c r="E18" s="4"/>
      <c r="F18" s="3"/>
      <c r="G18" s="4"/>
      <c r="H18" s="3"/>
      <c r="I18" s="4"/>
      <c r="J18" s="3"/>
      <c r="K18" s="14"/>
      <c r="L18" s="14"/>
      <c r="M18" s="15"/>
      <c r="N18" s="15"/>
      <c r="O18" s="25"/>
      <c r="P18" s="25"/>
      <c r="Q18" s="16"/>
      <c r="R18" s="8"/>
      <c r="S18" s="8"/>
      <c r="T18" s="180"/>
      <c r="U18" s="9">
        <v>3</v>
      </c>
      <c r="V18" s="9">
        <v>3</v>
      </c>
      <c r="W18" s="9">
        <v>4</v>
      </c>
      <c r="X18" s="9">
        <v>4</v>
      </c>
      <c r="Y18" s="9">
        <v>3</v>
      </c>
      <c r="Z18" s="9">
        <v>4</v>
      </c>
      <c r="AA18" s="9">
        <v>6</v>
      </c>
      <c r="AB18" s="9">
        <v>2</v>
      </c>
      <c r="AC18" s="9">
        <v>2</v>
      </c>
      <c r="AD18" s="9">
        <v>1</v>
      </c>
      <c r="AE18" s="9">
        <v>1</v>
      </c>
      <c r="AF18" s="214">
        <v>2</v>
      </c>
    </row>
    <row r="19" spans="2:32" x14ac:dyDescent="0.2">
      <c r="B19" s="44" t="s">
        <v>18</v>
      </c>
      <c r="C19" s="45">
        <f>32+10</f>
        <v>42</v>
      </c>
      <c r="D19" s="3">
        <f>28+14</f>
        <v>42</v>
      </c>
      <c r="E19" s="4">
        <f>23+10</f>
        <v>33</v>
      </c>
      <c r="F19" s="3">
        <f>33+10</f>
        <v>43</v>
      </c>
      <c r="G19" s="4">
        <f>36+6</f>
        <v>42</v>
      </c>
      <c r="H19" s="3">
        <f>45+10</f>
        <v>55</v>
      </c>
      <c r="I19" s="4">
        <f>44+12</f>
        <v>56</v>
      </c>
      <c r="J19" s="3">
        <v>54</v>
      </c>
      <c r="K19" s="14">
        <f>33+18</f>
        <v>51</v>
      </c>
      <c r="L19" s="14">
        <f>27+24</f>
        <v>51</v>
      </c>
      <c r="M19" s="15">
        <f>30+24</f>
        <v>54</v>
      </c>
      <c r="N19" s="15">
        <v>57</v>
      </c>
      <c r="O19" s="25">
        <v>60</v>
      </c>
      <c r="P19" s="25">
        <v>18</v>
      </c>
      <c r="Q19" s="9">
        <f>27+37</f>
        <v>64</v>
      </c>
      <c r="R19" s="8">
        <v>55</v>
      </c>
      <c r="S19" s="8">
        <v>26</v>
      </c>
      <c r="T19" s="16">
        <v>27</v>
      </c>
      <c r="U19" s="9">
        <f>34+40</f>
        <v>74</v>
      </c>
      <c r="V19" s="9">
        <v>86</v>
      </c>
      <c r="W19" s="9">
        <v>104</v>
      </c>
      <c r="X19" s="9">
        <v>126</v>
      </c>
      <c r="Y19" s="9">
        <v>162</v>
      </c>
      <c r="Z19" s="9">
        <v>175</v>
      </c>
      <c r="AA19" s="9">
        <v>186</v>
      </c>
      <c r="AB19" s="9">
        <v>236</v>
      </c>
      <c r="AC19" s="9">
        <v>231</v>
      </c>
      <c r="AD19" s="9">
        <v>243</v>
      </c>
      <c r="AE19" s="9">
        <v>280</v>
      </c>
      <c r="AF19" s="214">
        <v>308</v>
      </c>
    </row>
    <row r="20" spans="2:32" x14ac:dyDescent="0.2">
      <c r="B20" s="44" t="s">
        <v>50</v>
      </c>
      <c r="C20" s="45"/>
      <c r="D20" s="3"/>
      <c r="E20" s="4"/>
      <c r="F20" s="3"/>
      <c r="G20" s="4"/>
      <c r="H20" s="3"/>
      <c r="I20" s="4"/>
      <c r="J20" s="3">
        <v>8</v>
      </c>
      <c r="K20" s="14">
        <f>7+14+5</f>
        <v>26</v>
      </c>
      <c r="L20" s="14">
        <f>11+29+7</f>
        <v>47</v>
      </c>
      <c r="M20" s="15">
        <f>23+25+10</f>
        <v>58</v>
      </c>
      <c r="N20" s="15">
        <v>64</v>
      </c>
      <c r="O20" s="25">
        <v>67</v>
      </c>
      <c r="P20" s="25">
        <v>120</v>
      </c>
      <c r="Q20" s="9">
        <f>22+50+15</f>
        <v>87</v>
      </c>
      <c r="R20" s="8">
        <v>98</v>
      </c>
      <c r="S20" s="8">
        <v>120</v>
      </c>
      <c r="T20" s="180"/>
      <c r="U20" s="9">
        <v>15</v>
      </c>
      <c r="V20" s="9">
        <v>28</v>
      </c>
      <c r="W20" s="9">
        <v>44</v>
      </c>
      <c r="X20" s="9">
        <v>53</v>
      </c>
      <c r="Y20" s="9">
        <v>61</v>
      </c>
      <c r="Z20" s="9">
        <v>75</v>
      </c>
      <c r="AA20" s="9">
        <v>93</v>
      </c>
      <c r="AB20" s="9">
        <v>96</v>
      </c>
      <c r="AC20" s="9">
        <v>96</v>
      </c>
      <c r="AD20" s="9">
        <v>97</v>
      </c>
      <c r="AE20" s="9">
        <v>104</v>
      </c>
      <c r="AF20" s="214">
        <v>121</v>
      </c>
    </row>
    <row r="21" spans="2:32" x14ac:dyDescent="0.2">
      <c r="B21" s="44" t="s">
        <v>32</v>
      </c>
      <c r="C21" s="45"/>
      <c r="D21" s="3"/>
      <c r="E21" s="4"/>
      <c r="F21" s="3"/>
      <c r="G21" s="4"/>
      <c r="H21" s="3"/>
      <c r="I21" s="4"/>
      <c r="J21" s="3"/>
      <c r="K21" s="14"/>
      <c r="L21" s="14"/>
      <c r="M21" s="15"/>
      <c r="N21" s="15"/>
      <c r="O21" s="25"/>
      <c r="P21" s="25"/>
      <c r="Q21" s="9"/>
      <c r="R21" s="8"/>
      <c r="S21" s="8"/>
      <c r="T21" s="16">
        <f>36+23+55+22</f>
        <v>136</v>
      </c>
      <c r="U21" s="9">
        <v>68</v>
      </c>
      <c r="V21" s="9">
        <v>69</v>
      </c>
      <c r="W21" s="9">
        <v>10</v>
      </c>
      <c r="X21" s="9">
        <v>58</v>
      </c>
      <c r="Y21" s="9">
        <v>81</v>
      </c>
      <c r="Z21" s="9">
        <v>66</v>
      </c>
      <c r="AA21" s="9">
        <v>56</v>
      </c>
      <c r="AB21" s="9">
        <v>39</v>
      </c>
      <c r="AC21" s="9">
        <v>28</v>
      </c>
      <c r="AD21" s="9">
        <v>36</v>
      </c>
      <c r="AE21" s="9">
        <v>29</v>
      </c>
      <c r="AF21" s="214">
        <v>23</v>
      </c>
    </row>
    <row r="22" spans="2:32" ht="13.5" thickBot="1" x14ac:dyDescent="0.25">
      <c r="B22" s="46" t="s">
        <v>19</v>
      </c>
      <c r="C22" s="47">
        <v>2353</v>
      </c>
      <c r="D22" s="6">
        <v>2310</v>
      </c>
      <c r="E22" s="7">
        <f>2188+2</f>
        <v>2190</v>
      </c>
      <c r="F22" s="6">
        <f>2322+3</f>
        <v>2325</v>
      </c>
      <c r="G22" s="7">
        <v>2274</v>
      </c>
      <c r="H22" s="6">
        <v>2296</v>
      </c>
      <c r="I22" s="7">
        <v>2203</v>
      </c>
      <c r="J22" s="6">
        <v>2297</v>
      </c>
      <c r="K22" s="48">
        <v>2306</v>
      </c>
      <c r="L22" s="48">
        <v>2368</v>
      </c>
      <c r="M22" s="49">
        <v>2438</v>
      </c>
      <c r="N22" s="49">
        <v>2475</v>
      </c>
      <c r="O22" s="73">
        <v>2538</v>
      </c>
      <c r="P22" s="73">
        <v>2499</v>
      </c>
      <c r="Q22" s="73">
        <v>2454</v>
      </c>
      <c r="R22" s="119">
        <v>2435</v>
      </c>
      <c r="S22" s="119">
        <v>2441</v>
      </c>
      <c r="T22" s="49">
        <v>2485</v>
      </c>
      <c r="U22" s="73">
        <v>2497</v>
      </c>
      <c r="V22" s="73">
        <v>2444</v>
      </c>
      <c r="W22" s="73">
        <v>2439</v>
      </c>
      <c r="X22" s="73">
        <v>2359</v>
      </c>
      <c r="Y22" s="73">
        <v>2364</v>
      </c>
      <c r="Z22" s="73">
        <v>2457</v>
      </c>
      <c r="AA22" s="73">
        <v>2561</v>
      </c>
      <c r="AB22" s="73">
        <v>2233</v>
      </c>
      <c r="AC22" s="73">
        <v>2197</v>
      </c>
      <c r="AD22" s="73">
        <v>2210</v>
      </c>
      <c r="AE22" s="73">
        <v>2224</v>
      </c>
      <c r="AF22" s="216">
        <v>2351</v>
      </c>
    </row>
    <row r="23" spans="2:32" ht="13.5" hidden="1" thickTop="1" x14ac:dyDescent="0.2">
      <c r="B23" s="28" t="s">
        <v>36</v>
      </c>
      <c r="O23" s="13"/>
      <c r="P23" s="12"/>
      <c r="Q23" s="12"/>
      <c r="AC23" s="13"/>
    </row>
    <row r="24" spans="2:32" ht="13.5" thickTop="1" x14ac:dyDescent="0.2"/>
    <row r="45" ht="21" customHeight="1" x14ac:dyDescent="0.2"/>
    <row r="46" ht="21.75" customHeight="1" x14ac:dyDescent="0.2"/>
    <row r="50" ht="36.75" customHeight="1" x14ac:dyDescent="0.2"/>
    <row r="51" ht="42.75" customHeight="1" x14ac:dyDescent="0.2"/>
    <row r="52" ht="65.25" customHeight="1" x14ac:dyDescent="0.2"/>
  </sheetData>
  <mergeCells count="1">
    <mergeCell ref="P4:T4"/>
  </mergeCells>
  <phoneticPr fontId="0" type="noConversion"/>
  <printOptions horizontalCentered="1"/>
  <pageMargins left="0.64" right="0.75" top="0.75" bottom="0.75" header="0.5" footer="0.5"/>
  <pageSetup orientation="portrait" r:id="rId1"/>
  <headerFooter alignWithMargins="0"/>
  <ignoredErrors>
    <ignoredError sqref="R7:AA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9">
    <tabColor indexed="45"/>
    <pageSetUpPr fitToPage="1"/>
  </sheetPr>
  <dimension ref="A1:AF60"/>
  <sheetViews>
    <sheetView view="pageBreakPreview" zoomScaleNormal="110" zoomScaleSheetLayoutView="100" workbookViewId="0">
      <selection activeCell="AH19" sqref="AH19"/>
    </sheetView>
  </sheetViews>
  <sheetFormatPr defaultRowHeight="12.75" x14ac:dyDescent="0.2"/>
  <cols>
    <col min="1" max="1" width="1.42578125" customWidth="1"/>
    <col min="2" max="2" width="20.42578125" customWidth="1"/>
    <col min="3" max="3" width="9.42578125" hidden="1" customWidth="1"/>
    <col min="4" max="4" width="9.28515625" hidden="1" customWidth="1"/>
    <col min="5" max="5" width="9.140625" hidden="1" customWidth="1"/>
    <col min="6" max="9" width="0" hidden="1" customWidth="1"/>
    <col min="10" max="10" width="9.42578125" hidden="1" customWidth="1"/>
    <col min="11" max="11" width="0" hidden="1" customWidth="1"/>
    <col min="12" max="12" width="9.28515625" hidden="1" customWidth="1"/>
    <col min="13" max="27" width="0" hidden="1" customWidth="1"/>
  </cols>
  <sheetData>
    <row r="1" spans="1:32" ht="13.5" customHeight="1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13.5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32" ht="21.75" customHeight="1" x14ac:dyDescent="0.35">
      <c r="A3" s="139" t="s">
        <v>57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40"/>
      <c r="X3" s="140"/>
      <c r="Y3" s="140"/>
      <c r="Z3" s="140"/>
      <c r="AA3" s="140"/>
      <c r="AB3" s="140"/>
      <c r="AC3" s="140"/>
      <c r="AD3" s="140"/>
      <c r="AE3" s="140"/>
    </row>
    <row r="4" spans="1:32" ht="21.75" customHeight="1" x14ac:dyDescent="0.35">
      <c r="A4" s="139" t="s">
        <v>41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40"/>
      <c r="X4" s="140"/>
      <c r="Y4" s="140"/>
      <c r="Z4" s="140"/>
      <c r="AA4" s="140"/>
      <c r="AB4" s="140"/>
      <c r="AC4" s="140"/>
      <c r="AD4" s="140"/>
      <c r="AE4" s="140"/>
    </row>
    <row r="5" spans="1:32" ht="10.5" customHeight="1" thickBot="1" x14ac:dyDescent="0.35">
      <c r="A5" s="29"/>
      <c r="B5" s="70"/>
      <c r="C5" s="70"/>
      <c r="D5" s="70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32" ht="13.5" thickTop="1" x14ac:dyDescent="0.2">
      <c r="B6" s="31"/>
      <c r="C6" s="3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8"/>
      <c r="Q6" s="228"/>
      <c r="R6" s="228"/>
      <c r="S6" s="228"/>
      <c r="T6" s="228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33"/>
    </row>
    <row r="7" spans="1:32" ht="13.5" thickBot="1" x14ac:dyDescent="0.25">
      <c r="B7" s="34" t="s">
        <v>31</v>
      </c>
      <c r="C7" s="50" t="s">
        <v>1</v>
      </c>
      <c r="D7" s="51" t="s">
        <v>2</v>
      </c>
      <c r="E7" s="52" t="s">
        <v>3</v>
      </c>
      <c r="F7" s="51" t="s">
        <v>4</v>
      </c>
      <c r="G7" s="52" t="s">
        <v>5</v>
      </c>
      <c r="H7" s="51" t="s">
        <v>6</v>
      </c>
      <c r="I7" s="52" t="s">
        <v>21</v>
      </c>
      <c r="J7" s="51">
        <v>1997</v>
      </c>
      <c r="K7" s="58">
        <v>1998</v>
      </c>
      <c r="L7" s="58">
        <v>1999</v>
      </c>
      <c r="M7" s="38">
        <v>2000</v>
      </c>
      <c r="N7" s="38">
        <v>2001</v>
      </c>
      <c r="O7" s="37">
        <v>2002</v>
      </c>
      <c r="P7" s="37">
        <v>2003</v>
      </c>
      <c r="Q7" s="37">
        <v>2004</v>
      </c>
      <c r="R7" s="120">
        <v>2005</v>
      </c>
      <c r="S7" s="120">
        <v>2006</v>
      </c>
      <c r="T7" s="38">
        <v>2007</v>
      </c>
      <c r="U7" s="37">
        <v>2008</v>
      </c>
      <c r="V7" s="37">
        <v>2009</v>
      </c>
      <c r="W7" s="37">
        <v>2010</v>
      </c>
      <c r="X7" s="37">
        <v>2011</v>
      </c>
      <c r="Y7" s="37">
        <v>2012</v>
      </c>
      <c r="Z7" s="37">
        <v>2013</v>
      </c>
      <c r="AA7" s="37">
        <v>2014</v>
      </c>
      <c r="AB7" s="37">
        <v>2021</v>
      </c>
      <c r="AC7" s="189">
        <v>2022</v>
      </c>
      <c r="AD7" s="189">
        <v>2023</v>
      </c>
      <c r="AE7" s="36">
        <v>2024</v>
      </c>
      <c r="AF7" s="201">
        <v>2025</v>
      </c>
    </row>
    <row r="8" spans="1:32" ht="13.5" thickTop="1" x14ac:dyDescent="0.2">
      <c r="B8" s="31"/>
      <c r="C8" s="53"/>
      <c r="D8" s="54"/>
      <c r="E8" s="55"/>
      <c r="F8" s="54"/>
      <c r="G8" s="55"/>
      <c r="H8" s="54"/>
      <c r="I8" s="55"/>
      <c r="J8" s="54"/>
      <c r="K8" s="56"/>
      <c r="L8" s="56"/>
      <c r="M8" s="11"/>
      <c r="N8" s="11"/>
      <c r="O8" s="12"/>
      <c r="P8" s="12"/>
      <c r="Q8" s="12"/>
      <c r="T8" s="41"/>
      <c r="U8" s="71"/>
      <c r="V8" s="71"/>
      <c r="W8" s="71"/>
      <c r="X8" s="71"/>
      <c r="Y8" s="71"/>
      <c r="Z8" s="71"/>
      <c r="AA8" s="71"/>
      <c r="AB8" s="71"/>
      <c r="AC8" s="194"/>
      <c r="AD8" s="194"/>
      <c r="AE8" s="21"/>
      <c r="AF8" s="207"/>
    </row>
    <row r="9" spans="1:32" x14ac:dyDescent="0.2">
      <c r="B9" s="42" t="s">
        <v>7</v>
      </c>
      <c r="C9" s="43">
        <f t="shared" ref="C9:J9" si="0">SUM(C10:C11)</f>
        <v>1259</v>
      </c>
      <c r="D9" s="1">
        <f t="shared" si="0"/>
        <v>1179</v>
      </c>
      <c r="E9" s="2">
        <f t="shared" si="0"/>
        <v>1091</v>
      </c>
      <c r="F9" s="1">
        <f t="shared" si="0"/>
        <v>1060</v>
      </c>
      <c r="G9" s="2">
        <f t="shared" si="0"/>
        <v>1087</v>
      </c>
      <c r="H9" s="1">
        <f t="shared" si="0"/>
        <v>1144</v>
      </c>
      <c r="I9" s="2">
        <f t="shared" si="0"/>
        <v>1244</v>
      </c>
      <c r="J9" s="1">
        <f t="shared" si="0"/>
        <v>1285</v>
      </c>
      <c r="K9" s="17">
        <f t="shared" ref="K9:R9" si="1">SUM(K10:K11)</f>
        <v>1318</v>
      </c>
      <c r="L9" s="17">
        <f t="shared" si="1"/>
        <v>1268</v>
      </c>
      <c r="M9" s="17">
        <f t="shared" si="1"/>
        <v>1331</v>
      </c>
      <c r="N9" s="17">
        <f t="shared" si="1"/>
        <v>1442</v>
      </c>
      <c r="O9" s="2">
        <f t="shared" si="1"/>
        <v>1574</v>
      </c>
      <c r="P9" s="2">
        <f t="shared" si="1"/>
        <v>1733</v>
      </c>
      <c r="Q9" s="2">
        <f t="shared" si="1"/>
        <v>1895</v>
      </c>
      <c r="R9" s="17">
        <f t="shared" si="1"/>
        <v>1921</v>
      </c>
      <c r="S9" s="17">
        <f t="shared" ref="S9:X9" si="2">SUM(S10:S11)</f>
        <v>1972</v>
      </c>
      <c r="T9" s="17">
        <f t="shared" si="2"/>
        <v>1905</v>
      </c>
      <c r="U9" s="2">
        <f t="shared" si="2"/>
        <v>1856</v>
      </c>
      <c r="V9" s="2">
        <f t="shared" si="2"/>
        <v>1901</v>
      </c>
      <c r="W9" s="2">
        <f t="shared" si="2"/>
        <v>2026</v>
      </c>
      <c r="X9" s="2">
        <f t="shared" si="2"/>
        <v>2062</v>
      </c>
      <c r="Y9" s="2">
        <f t="shared" ref="Y9:Z9" si="3">SUM(Y10:Y11)</f>
        <v>2123</v>
      </c>
      <c r="Z9" s="2">
        <f t="shared" si="3"/>
        <v>2458</v>
      </c>
      <c r="AA9" s="2">
        <f t="shared" ref="AA9" si="4">SUM(AA10:AA11)</f>
        <v>2678</v>
      </c>
      <c r="AB9" s="2">
        <v>2334</v>
      </c>
      <c r="AC9" s="183">
        <v>2229</v>
      </c>
      <c r="AD9" s="183">
        <v>2361</v>
      </c>
      <c r="AE9" s="1">
        <v>2210</v>
      </c>
      <c r="AF9" s="213">
        <f>SUM(AF10:AF11)</f>
        <v>2400</v>
      </c>
    </row>
    <row r="10" spans="1:32" x14ac:dyDescent="0.2">
      <c r="B10" s="44" t="s">
        <v>8</v>
      </c>
      <c r="C10" s="45">
        <v>1152</v>
      </c>
      <c r="D10" s="3">
        <v>1076</v>
      </c>
      <c r="E10" s="4">
        <f>988+1</f>
        <v>989</v>
      </c>
      <c r="F10" s="3">
        <v>964</v>
      </c>
      <c r="G10" s="4">
        <v>985</v>
      </c>
      <c r="H10" s="3">
        <v>1012</v>
      </c>
      <c r="I10" s="4">
        <v>1055</v>
      </c>
      <c r="J10" s="3">
        <v>1075</v>
      </c>
      <c r="K10" s="14">
        <v>1030</v>
      </c>
      <c r="L10" s="14">
        <v>1027</v>
      </c>
      <c r="M10" s="15">
        <v>1087</v>
      </c>
      <c r="N10" s="15">
        <v>1155</v>
      </c>
      <c r="O10" s="25">
        <v>1287</v>
      </c>
      <c r="P10" s="25">
        <v>1335</v>
      </c>
      <c r="Q10" s="9">
        <v>1548</v>
      </c>
      <c r="R10" s="8">
        <v>1568</v>
      </c>
      <c r="S10" s="8">
        <v>1587</v>
      </c>
      <c r="T10" s="16">
        <v>1551</v>
      </c>
      <c r="U10" s="9">
        <v>1522</v>
      </c>
      <c r="V10" s="9">
        <v>1562</v>
      </c>
      <c r="W10" s="9">
        <v>1669</v>
      </c>
      <c r="X10" s="9">
        <v>1696</v>
      </c>
      <c r="Y10" s="9">
        <v>1769</v>
      </c>
      <c r="Z10" s="9">
        <v>2098</v>
      </c>
      <c r="AA10" s="9">
        <v>2314</v>
      </c>
      <c r="AB10" s="9">
        <v>1854</v>
      </c>
      <c r="AC10" s="30">
        <v>1783</v>
      </c>
      <c r="AD10" s="30">
        <v>1909</v>
      </c>
      <c r="AE10" s="8">
        <v>1842</v>
      </c>
      <c r="AF10" s="214">
        <v>2019</v>
      </c>
    </row>
    <row r="11" spans="1:32" x14ac:dyDescent="0.2">
      <c r="B11" s="44" t="s">
        <v>9</v>
      </c>
      <c r="C11" s="45">
        <v>107</v>
      </c>
      <c r="D11" s="3">
        <v>103</v>
      </c>
      <c r="E11" s="4">
        <f>101+1</f>
        <v>102</v>
      </c>
      <c r="F11" s="3">
        <f>93+3</f>
        <v>96</v>
      </c>
      <c r="G11" s="4">
        <v>102</v>
      </c>
      <c r="H11" s="3">
        <v>132</v>
      </c>
      <c r="I11" s="4">
        <v>189</v>
      </c>
      <c r="J11" s="3">
        <v>210</v>
      </c>
      <c r="K11" s="14">
        <v>288</v>
      </c>
      <c r="L11" s="14">
        <v>241</v>
      </c>
      <c r="M11" s="15">
        <v>244</v>
      </c>
      <c r="N11" s="15">
        <v>287</v>
      </c>
      <c r="O11" s="25">
        <v>287</v>
      </c>
      <c r="P11" s="25">
        <v>398</v>
      </c>
      <c r="Q11" s="23">
        <v>347</v>
      </c>
      <c r="R11" s="69">
        <v>353</v>
      </c>
      <c r="S11" s="69">
        <v>385</v>
      </c>
      <c r="T11" s="22">
        <v>354</v>
      </c>
      <c r="U11" s="23">
        <v>334</v>
      </c>
      <c r="V11" s="23">
        <v>339</v>
      </c>
      <c r="W11" s="23">
        <v>357</v>
      </c>
      <c r="X11" s="23">
        <v>366</v>
      </c>
      <c r="Y11" s="23">
        <v>354</v>
      </c>
      <c r="Z11" s="23">
        <v>360</v>
      </c>
      <c r="AA11" s="23">
        <v>364</v>
      </c>
      <c r="AB11" s="23">
        <v>480</v>
      </c>
      <c r="AC11" s="191">
        <v>446</v>
      </c>
      <c r="AD11" s="191">
        <v>452</v>
      </c>
      <c r="AE11" s="69">
        <v>368</v>
      </c>
      <c r="AF11" s="214">
        <v>381</v>
      </c>
    </row>
    <row r="12" spans="1:32" x14ac:dyDescent="0.2">
      <c r="B12" s="44" t="s">
        <v>10</v>
      </c>
      <c r="C12" s="45">
        <v>1120</v>
      </c>
      <c r="D12" s="3">
        <v>1029</v>
      </c>
      <c r="E12" s="4">
        <f>963+2</f>
        <v>965</v>
      </c>
      <c r="F12" s="3">
        <f>943+3</f>
        <v>946</v>
      </c>
      <c r="G12" s="4">
        <v>979</v>
      </c>
      <c r="H12" s="3">
        <v>1037</v>
      </c>
      <c r="I12" s="4">
        <v>1130</v>
      </c>
      <c r="J12" s="3">
        <v>1187</v>
      </c>
      <c r="K12" s="14">
        <v>1206</v>
      </c>
      <c r="L12" s="14">
        <v>1170</v>
      </c>
      <c r="M12" s="15">
        <v>1220</v>
      </c>
      <c r="N12" s="15">
        <v>1291</v>
      </c>
      <c r="O12" s="25">
        <v>1404</v>
      </c>
      <c r="P12" s="25">
        <v>1511</v>
      </c>
      <c r="Q12" s="9">
        <v>1634</v>
      </c>
      <c r="R12" s="8">
        <v>1636</v>
      </c>
      <c r="S12" s="8">
        <v>1667</v>
      </c>
      <c r="T12" s="16">
        <v>1593</v>
      </c>
      <c r="U12" s="9">
        <v>1509</v>
      </c>
      <c r="V12" s="9">
        <v>1525</v>
      </c>
      <c r="W12" s="9">
        <v>1621</v>
      </c>
      <c r="X12" s="9">
        <v>1592</v>
      </c>
      <c r="Y12" s="9">
        <v>1636</v>
      </c>
      <c r="Z12" s="9">
        <v>1886</v>
      </c>
      <c r="AA12" s="9">
        <v>2064</v>
      </c>
      <c r="AB12" s="9">
        <v>1592</v>
      </c>
      <c r="AC12" s="30">
        <v>1526</v>
      </c>
      <c r="AD12" s="30">
        <v>1669</v>
      </c>
      <c r="AE12" s="8">
        <v>1565</v>
      </c>
      <c r="AF12" s="214">
        <v>1741</v>
      </c>
    </row>
    <row r="13" spans="1:32" x14ac:dyDescent="0.2">
      <c r="B13" s="44" t="s">
        <v>11</v>
      </c>
      <c r="C13" s="45">
        <v>139</v>
      </c>
      <c r="D13" s="3">
        <v>150</v>
      </c>
      <c r="E13" s="4">
        <v>126</v>
      </c>
      <c r="F13" s="3">
        <v>114</v>
      </c>
      <c r="G13" s="4">
        <v>108</v>
      </c>
      <c r="H13" s="3">
        <v>107</v>
      </c>
      <c r="I13" s="4">
        <v>114</v>
      </c>
      <c r="J13" s="3">
        <v>98</v>
      </c>
      <c r="K13" s="14">
        <v>112</v>
      </c>
      <c r="L13" s="14">
        <v>98</v>
      </c>
      <c r="M13" s="15">
        <v>111</v>
      </c>
      <c r="N13" s="15">
        <v>151</v>
      </c>
      <c r="O13" s="25">
        <v>170</v>
      </c>
      <c r="P13" s="25">
        <v>222</v>
      </c>
      <c r="Q13" s="23">
        <v>261</v>
      </c>
      <c r="R13" s="69">
        <v>285</v>
      </c>
      <c r="S13" s="69">
        <v>305</v>
      </c>
      <c r="T13" s="22">
        <v>312</v>
      </c>
      <c r="U13" s="23">
        <v>347</v>
      </c>
      <c r="V13" s="23">
        <v>376</v>
      </c>
      <c r="W13" s="23">
        <v>405</v>
      </c>
      <c r="X13" s="23">
        <v>470</v>
      </c>
      <c r="Y13" s="23">
        <v>487</v>
      </c>
      <c r="Z13" s="23">
        <v>572</v>
      </c>
      <c r="AA13" s="23">
        <v>614</v>
      </c>
      <c r="AB13" s="23">
        <v>742</v>
      </c>
      <c r="AC13" s="191">
        <v>703</v>
      </c>
      <c r="AD13" s="191">
        <v>692</v>
      </c>
      <c r="AE13" s="69">
        <v>645</v>
      </c>
      <c r="AF13" s="214">
        <v>659</v>
      </c>
    </row>
    <row r="14" spans="1:32" x14ac:dyDescent="0.2">
      <c r="B14" s="44" t="s">
        <v>12</v>
      </c>
      <c r="C14" s="45">
        <v>192</v>
      </c>
      <c r="D14" s="3">
        <v>172</v>
      </c>
      <c r="E14" s="4">
        <v>168</v>
      </c>
      <c r="F14" s="3">
        <v>157</v>
      </c>
      <c r="G14" s="4">
        <v>159</v>
      </c>
      <c r="H14" s="3">
        <v>142</v>
      </c>
      <c r="I14" s="4">
        <v>151</v>
      </c>
      <c r="J14" s="3">
        <v>155</v>
      </c>
      <c r="K14" s="14">
        <v>154</v>
      </c>
      <c r="L14" s="14">
        <v>168</v>
      </c>
      <c r="M14" s="15">
        <v>157</v>
      </c>
      <c r="N14" s="15">
        <v>160</v>
      </c>
      <c r="O14" s="25">
        <v>204</v>
      </c>
      <c r="P14" s="25">
        <v>228</v>
      </c>
      <c r="Q14" s="23">
        <v>268</v>
      </c>
      <c r="R14" s="69">
        <v>297</v>
      </c>
      <c r="S14" s="69">
        <v>292</v>
      </c>
      <c r="T14" s="22">
        <v>298</v>
      </c>
      <c r="U14" s="23">
        <v>301</v>
      </c>
      <c r="V14" s="23">
        <v>291</v>
      </c>
      <c r="W14" s="23">
        <v>324</v>
      </c>
      <c r="X14" s="23">
        <v>308</v>
      </c>
      <c r="Y14" s="23">
        <v>325</v>
      </c>
      <c r="Z14" s="23">
        <v>447</v>
      </c>
      <c r="AA14" s="23">
        <v>572</v>
      </c>
      <c r="AB14" s="23">
        <v>461</v>
      </c>
      <c r="AC14" s="191">
        <v>463</v>
      </c>
      <c r="AD14" s="191">
        <v>553</v>
      </c>
      <c r="AE14" s="69">
        <v>565</v>
      </c>
      <c r="AF14" s="214">
        <v>650</v>
      </c>
    </row>
    <row r="15" spans="1:32" ht="13.5" customHeight="1" x14ac:dyDescent="0.2">
      <c r="B15" s="44" t="s">
        <v>13</v>
      </c>
      <c r="C15" s="45">
        <v>1067</v>
      </c>
      <c r="D15" s="3">
        <v>1007</v>
      </c>
      <c r="E15" s="4">
        <f>921+2</f>
        <v>923</v>
      </c>
      <c r="F15" s="3">
        <f>900+3</f>
        <v>903</v>
      </c>
      <c r="G15" s="4">
        <v>928</v>
      </c>
      <c r="H15" s="3">
        <v>1002</v>
      </c>
      <c r="I15" s="4">
        <v>1093</v>
      </c>
      <c r="J15" s="3">
        <v>1130</v>
      </c>
      <c r="K15" s="14">
        <v>1164</v>
      </c>
      <c r="L15" s="14">
        <v>1100</v>
      </c>
      <c r="M15" s="15">
        <v>1174</v>
      </c>
      <c r="N15" s="15">
        <v>1282</v>
      </c>
      <c r="O15" s="25">
        <v>1370</v>
      </c>
      <c r="P15" s="25">
        <v>1505</v>
      </c>
      <c r="Q15" s="9">
        <v>1627</v>
      </c>
      <c r="R15" s="8">
        <v>1624</v>
      </c>
      <c r="S15" s="8">
        <v>1680</v>
      </c>
      <c r="T15" s="16">
        <v>1607</v>
      </c>
      <c r="U15" s="9">
        <v>1555</v>
      </c>
      <c r="V15" s="9">
        <v>1610</v>
      </c>
      <c r="W15" s="9">
        <v>1702</v>
      </c>
      <c r="X15" s="9">
        <v>1754</v>
      </c>
      <c r="Y15" s="9">
        <v>1798</v>
      </c>
      <c r="Z15" s="9">
        <v>2011</v>
      </c>
      <c r="AA15" s="9">
        <v>2106</v>
      </c>
      <c r="AB15" s="9">
        <v>1873</v>
      </c>
      <c r="AC15" s="30">
        <v>1766</v>
      </c>
      <c r="AD15" s="30">
        <v>1808</v>
      </c>
      <c r="AE15" s="8">
        <v>1645</v>
      </c>
      <c r="AF15" s="214">
        <v>1750</v>
      </c>
    </row>
    <row r="16" spans="1:32" ht="12.75" customHeight="1" x14ac:dyDescent="0.2">
      <c r="B16" s="44" t="s">
        <v>14</v>
      </c>
      <c r="C16" s="45">
        <v>21</v>
      </c>
      <c r="D16" s="3">
        <v>23</v>
      </c>
      <c r="E16" s="4">
        <v>21</v>
      </c>
      <c r="F16" s="3">
        <v>29</v>
      </c>
      <c r="G16" s="4">
        <v>22</v>
      </c>
      <c r="H16" s="3">
        <v>21</v>
      </c>
      <c r="I16" s="4">
        <v>14</v>
      </c>
      <c r="J16" s="3">
        <v>14</v>
      </c>
      <c r="K16" s="14">
        <v>11</v>
      </c>
      <c r="L16" s="14">
        <v>9</v>
      </c>
      <c r="M16" s="15">
        <v>10</v>
      </c>
      <c r="N16" s="15">
        <v>10</v>
      </c>
      <c r="O16" s="25">
        <v>15</v>
      </c>
      <c r="P16" s="25">
        <v>22</v>
      </c>
      <c r="Q16" s="9">
        <v>19</v>
      </c>
      <c r="R16" s="8">
        <v>24</v>
      </c>
      <c r="S16" s="8">
        <v>25</v>
      </c>
      <c r="T16" s="16">
        <v>29</v>
      </c>
      <c r="U16" s="9">
        <v>30</v>
      </c>
      <c r="V16" s="9">
        <v>38</v>
      </c>
      <c r="W16" s="9">
        <v>41</v>
      </c>
      <c r="X16" s="9">
        <v>50</v>
      </c>
      <c r="Y16" s="9">
        <v>76</v>
      </c>
      <c r="Z16" s="9">
        <v>87</v>
      </c>
      <c r="AA16" s="9">
        <v>92</v>
      </c>
      <c r="AB16" s="9">
        <v>36</v>
      </c>
      <c r="AC16" s="30">
        <v>27</v>
      </c>
      <c r="AD16" s="30">
        <v>34</v>
      </c>
      <c r="AE16" s="8">
        <v>27</v>
      </c>
      <c r="AF16" s="214">
        <v>31</v>
      </c>
    </row>
    <row r="17" spans="2:32" x14ac:dyDescent="0.2">
      <c r="B17" s="44" t="s">
        <v>16</v>
      </c>
      <c r="C17" s="45">
        <v>6</v>
      </c>
      <c r="D17" s="3">
        <v>7</v>
      </c>
      <c r="E17" s="4">
        <v>5</v>
      </c>
      <c r="F17" s="3">
        <v>4</v>
      </c>
      <c r="G17" s="4">
        <v>4</v>
      </c>
      <c r="H17" s="3">
        <v>4</v>
      </c>
      <c r="I17" s="4">
        <v>1</v>
      </c>
      <c r="J17" s="3">
        <v>2</v>
      </c>
      <c r="K17" s="14">
        <v>11</v>
      </c>
      <c r="L17" s="14">
        <v>14</v>
      </c>
      <c r="M17" s="15">
        <v>13</v>
      </c>
      <c r="N17" s="15">
        <v>12</v>
      </c>
      <c r="O17" s="25">
        <v>10</v>
      </c>
      <c r="P17" s="25">
        <v>8</v>
      </c>
      <c r="Q17" s="9">
        <v>8</v>
      </c>
      <c r="R17" s="8">
        <v>12</v>
      </c>
      <c r="S17" s="8">
        <v>12</v>
      </c>
      <c r="T17" s="16">
        <v>12</v>
      </c>
      <c r="U17" s="9">
        <v>13</v>
      </c>
      <c r="V17" s="9">
        <v>14</v>
      </c>
      <c r="W17" s="9">
        <v>9</v>
      </c>
      <c r="X17" s="9">
        <v>7</v>
      </c>
      <c r="Y17" s="9">
        <v>8</v>
      </c>
      <c r="Z17" s="9">
        <v>10</v>
      </c>
      <c r="AA17" s="9">
        <v>13</v>
      </c>
      <c r="AB17" s="9">
        <v>8</v>
      </c>
      <c r="AC17" s="30">
        <v>6</v>
      </c>
      <c r="AD17" s="30">
        <v>8</v>
      </c>
      <c r="AE17" s="8">
        <v>6</v>
      </c>
      <c r="AF17" s="214">
        <v>7</v>
      </c>
    </row>
    <row r="18" spans="2:32" x14ac:dyDescent="0.2">
      <c r="B18" s="44" t="s">
        <v>17</v>
      </c>
      <c r="C18" s="45">
        <v>12</v>
      </c>
      <c r="D18" s="3">
        <v>12</v>
      </c>
      <c r="E18" s="4">
        <v>14</v>
      </c>
      <c r="F18" s="3">
        <v>23</v>
      </c>
      <c r="G18" s="4">
        <v>16</v>
      </c>
      <c r="H18" s="3">
        <v>20</v>
      </c>
      <c r="I18" s="4">
        <v>19</v>
      </c>
      <c r="J18" s="3">
        <v>19</v>
      </c>
      <c r="K18" s="14">
        <v>24</v>
      </c>
      <c r="L18" s="14">
        <v>15</v>
      </c>
      <c r="M18" s="15">
        <v>10</v>
      </c>
      <c r="N18" s="15">
        <v>18</v>
      </c>
      <c r="O18" s="25">
        <v>21</v>
      </c>
      <c r="P18" s="25">
        <v>20</v>
      </c>
      <c r="Q18" s="16">
        <v>30</v>
      </c>
      <c r="R18" s="172">
        <v>31</v>
      </c>
      <c r="S18" s="8">
        <v>26</v>
      </c>
      <c r="T18" s="170">
        <v>25</v>
      </c>
      <c r="U18" s="9">
        <v>27</v>
      </c>
      <c r="V18" s="9">
        <v>27</v>
      </c>
      <c r="W18" s="9">
        <v>22</v>
      </c>
      <c r="X18" s="9">
        <v>19</v>
      </c>
      <c r="Y18" s="9">
        <v>29</v>
      </c>
      <c r="Z18" s="9">
        <v>27</v>
      </c>
      <c r="AA18" s="9">
        <v>26</v>
      </c>
      <c r="AB18" s="9">
        <v>41</v>
      </c>
      <c r="AC18" s="30">
        <v>42</v>
      </c>
      <c r="AD18" s="30">
        <v>38</v>
      </c>
      <c r="AE18" s="8">
        <v>40</v>
      </c>
      <c r="AF18" s="214">
        <v>39</v>
      </c>
    </row>
    <row r="19" spans="2:32" x14ac:dyDescent="0.2">
      <c r="B19" s="44" t="s">
        <v>15</v>
      </c>
      <c r="C19" s="45">
        <v>30</v>
      </c>
      <c r="D19" s="3">
        <v>27</v>
      </c>
      <c r="E19" s="4">
        <v>39</v>
      </c>
      <c r="F19" s="3">
        <v>24</v>
      </c>
      <c r="G19" s="4">
        <v>28</v>
      </c>
      <c r="H19" s="3">
        <v>29</v>
      </c>
      <c r="I19" s="4">
        <v>34</v>
      </c>
      <c r="J19" s="3">
        <v>30</v>
      </c>
      <c r="K19" s="14">
        <v>39</v>
      </c>
      <c r="L19" s="14">
        <v>39</v>
      </c>
      <c r="M19" s="15">
        <v>39</v>
      </c>
      <c r="N19" s="15">
        <v>45</v>
      </c>
      <c r="O19" s="25">
        <v>57</v>
      </c>
      <c r="P19" s="25">
        <v>54</v>
      </c>
      <c r="Q19" s="9">
        <v>65</v>
      </c>
      <c r="R19" s="8">
        <v>61</v>
      </c>
      <c r="S19" s="8">
        <v>57</v>
      </c>
      <c r="T19" s="16">
        <v>57</v>
      </c>
      <c r="U19" s="9">
        <f>56</f>
        <v>56</v>
      </c>
      <c r="V19" s="9">
        <v>68</v>
      </c>
      <c r="W19" s="9">
        <v>88</v>
      </c>
      <c r="X19" s="9">
        <v>90</v>
      </c>
      <c r="Y19" s="9">
        <v>78</v>
      </c>
      <c r="Z19" s="9">
        <v>93</v>
      </c>
      <c r="AA19" s="9">
        <v>100</v>
      </c>
      <c r="AB19" s="9">
        <v>104</v>
      </c>
      <c r="AC19" s="30">
        <v>81</v>
      </c>
      <c r="AD19" s="30">
        <v>93</v>
      </c>
      <c r="AE19" s="8">
        <v>96</v>
      </c>
      <c r="AF19" s="214">
        <v>97</v>
      </c>
    </row>
    <row r="20" spans="2:32" x14ac:dyDescent="0.2">
      <c r="B20" s="44" t="s">
        <v>49</v>
      </c>
      <c r="C20" s="45"/>
      <c r="D20" s="3"/>
      <c r="E20" s="4"/>
      <c r="F20" s="3"/>
      <c r="G20" s="4"/>
      <c r="H20" s="3"/>
      <c r="I20" s="4"/>
      <c r="J20" s="3"/>
      <c r="K20" s="14"/>
      <c r="L20" s="14"/>
      <c r="M20" s="15"/>
      <c r="N20" s="15"/>
      <c r="O20" s="25"/>
      <c r="P20" s="25"/>
      <c r="Q20" s="16"/>
      <c r="R20" s="8"/>
      <c r="S20" s="8"/>
      <c r="T20" s="179"/>
      <c r="U20" s="9">
        <v>4</v>
      </c>
      <c r="V20" s="9">
        <v>1</v>
      </c>
      <c r="W20" s="9">
        <v>1</v>
      </c>
      <c r="X20" s="9">
        <v>3</v>
      </c>
      <c r="Y20" s="9">
        <v>2</v>
      </c>
      <c r="Z20" s="9">
        <v>2</v>
      </c>
      <c r="AA20" s="9">
        <v>3</v>
      </c>
      <c r="AB20" s="9">
        <v>3</v>
      </c>
      <c r="AC20" s="30">
        <v>4</v>
      </c>
      <c r="AD20" s="30">
        <v>3</v>
      </c>
      <c r="AE20" s="8">
        <v>3</v>
      </c>
      <c r="AF20" s="214">
        <v>2</v>
      </c>
    </row>
    <row r="21" spans="2:32" x14ac:dyDescent="0.2">
      <c r="B21" s="44" t="s">
        <v>18</v>
      </c>
      <c r="C21" s="45">
        <f>8+5</f>
        <v>13</v>
      </c>
      <c r="D21" s="3">
        <f>6+4</f>
        <v>10</v>
      </c>
      <c r="E21" s="4">
        <f>10+8</f>
        <v>18</v>
      </c>
      <c r="F21" s="3">
        <f>10+6</f>
        <v>16</v>
      </c>
      <c r="G21" s="4">
        <f>12+10</f>
        <v>22</v>
      </c>
      <c r="H21" s="3">
        <f>15+4</f>
        <v>19</v>
      </c>
      <c r="I21" s="4">
        <f>15+4</f>
        <v>19</v>
      </c>
      <c r="J21" s="3">
        <v>19</v>
      </c>
      <c r="K21" s="14">
        <f>11+10</f>
        <v>21</v>
      </c>
      <c r="L21" s="14">
        <f>11+13</f>
        <v>24</v>
      </c>
      <c r="M21" s="15">
        <f>14+17</f>
        <v>31</v>
      </c>
      <c r="N21" s="15">
        <v>41</v>
      </c>
      <c r="O21" s="25">
        <v>33</v>
      </c>
      <c r="P21" s="25">
        <v>11</v>
      </c>
      <c r="Q21" s="9">
        <f>11+25</f>
        <v>36</v>
      </c>
      <c r="R21" s="8">
        <v>39</v>
      </c>
      <c r="S21" s="8">
        <v>18</v>
      </c>
      <c r="T21" s="16">
        <v>15</v>
      </c>
      <c r="U21" s="9">
        <f>27+31</f>
        <v>58</v>
      </c>
      <c r="V21" s="9">
        <v>77</v>
      </c>
      <c r="W21" s="9">
        <v>108</v>
      </c>
      <c r="X21" s="9">
        <v>120</v>
      </c>
      <c r="Y21" s="9">
        <v>118</v>
      </c>
      <c r="Z21" s="9">
        <v>124</v>
      </c>
      <c r="AA21" s="9">
        <v>139</v>
      </c>
      <c r="AB21" s="9">
        <v>197</v>
      </c>
      <c r="AC21" s="30">
        <v>190</v>
      </c>
      <c r="AD21" s="30">
        <v>210</v>
      </c>
      <c r="AE21" s="8">
        <v>201</v>
      </c>
      <c r="AF21" s="214">
        <v>230</v>
      </c>
    </row>
    <row r="22" spans="2:32" x14ac:dyDescent="0.2">
      <c r="B22" s="44" t="s">
        <v>50</v>
      </c>
      <c r="C22" s="45"/>
      <c r="D22" s="3"/>
      <c r="E22" s="4"/>
      <c r="F22" s="3"/>
      <c r="G22" s="4"/>
      <c r="H22" s="3"/>
      <c r="I22" s="4"/>
      <c r="J22" s="3">
        <v>6</v>
      </c>
      <c r="K22" s="14">
        <f>2+3+2</f>
        <v>7</v>
      </c>
      <c r="L22" s="14">
        <f>1+6+7</f>
        <v>14</v>
      </c>
      <c r="M22" s="15">
        <f>4+12+3</f>
        <v>19</v>
      </c>
      <c r="N22" s="15">
        <v>34</v>
      </c>
      <c r="O22" s="25">
        <v>41</v>
      </c>
      <c r="P22" s="25">
        <v>64</v>
      </c>
      <c r="Q22" s="9">
        <f>16+16+23</f>
        <v>55</v>
      </c>
      <c r="R22" s="8">
        <v>61</v>
      </c>
      <c r="S22" s="8">
        <v>91</v>
      </c>
      <c r="T22" s="180"/>
      <c r="U22" s="9">
        <v>18</v>
      </c>
      <c r="V22" s="9">
        <v>25</v>
      </c>
      <c r="W22" s="9">
        <v>34</v>
      </c>
      <c r="X22" s="9">
        <v>47</v>
      </c>
      <c r="Y22" s="9">
        <v>48</v>
      </c>
      <c r="Z22" s="9">
        <v>78</v>
      </c>
      <c r="AA22" s="9">
        <v>91</v>
      </c>
      <c r="AB22" s="9">
        <v>86</v>
      </c>
      <c r="AC22" s="30">
        <v>79</v>
      </c>
      <c r="AD22" s="30">
        <v>89</v>
      </c>
      <c r="AE22" s="8">
        <v>91</v>
      </c>
      <c r="AF22" s="214">
        <v>114</v>
      </c>
    </row>
    <row r="23" spans="2:32" x14ac:dyDescent="0.2">
      <c r="B23" s="44" t="s">
        <v>32</v>
      </c>
      <c r="C23" s="45"/>
      <c r="D23" s="3"/>
      <c r="E23" s="4"/>
      <c r="F23" s="3"/>
      <c r="G23" s="4"/>
      <c r="H23" s="3"/>
      <c r="I23" s="4"/>
      <c r="J23" s="3"/>
      <c r="K23" s="14"/>
      <c r="L23" s="14"/>
      <c r="M23" s="15"/>
      <c r="N23" s="15"/>
      <c r="O23" s="25"/>
      <c r="P23" s="25"/>
      <c r="Q23" s="9"/>
      <c r="R23" s="8"/>
      <c r="S23" s="8"/>
      <c r="T23" s="16">
        <f>22+25+30+12</f>
        <v>89</v>
      </c>
      <c r="U23" s="9">
        <v>35</v>
      </c>
      <c r="V23" s="9">
        <v>31</v>
      </c>
      <c r="W23" s="9">
        <v>16</v>
      </c>
      <c r="X23" s="9">
        <v>41</v>
      </c>
      <c r="Y23" s="9">
        <v>41</v>
      </c>
      <c r="Z23" s="9">
        <v>40</v>
      </c>
      <c r="AA23" s="9">
        <v>36</v>
      </c>
      <c r="AB23" s="9">
        <v>22</v>
      </c>
      <c r="AC23" s="30">
        <v>18</v>
      </c>
      <c r="AD23" s="30">
        <v>17</v>
      </c>
      <c r="AE23" s="8">
        <v>11</v>
      </c>
      <c r="AF23" s="214">
        <v>15</v>
      </c>
    </row>
    <row r="24" spans="2:32" ht="13.5" thickBot="1" x14ac:dyDescent="0.25">
      <c r="B24" s="46" t="s">
        <v>19</v>
      </c>
      <c r="C24" s="47">
        <v>1177</v>
      </c>
      <c r="D24" s="6">
        <v>1100</v>
      </c>
      <c r="E24" s="7">
        <f>992+2</f>
        <v>994</v>
      </c>
      <c r="F24" s="6">
        <f>961+3</f>
        <v>964</v>
      </c>
      <c r="G24" s="7">
        <v>995</v>
      </c>
      <c r="H24" s="6">
        <v>1051</v>
      </c>
      <c r="I24" s="7">
        <v>1157</v>
      </c>
      <c r="J24" s="6">
        <v>1195</v>
      </c>
      <c r="K24" s="48">
        <v>1205</v>
      </c>
      <c r="L24" s="48">
        <v>1153</v>
      </c>
      <c r="M24" s="49">
        <v>1209</v>
      </c>
      <c r="N24" s="49">
        <v>1282</v>
      </c>
      <c r="O24" s="73">
        <v>1397</v>
      </c>
      <c r="P24" s="73">
        <v>1554</v>
      </c>
      <c r="Q24" s="10">
        <f>1682</f>
        <v>1682</v>
      </c>
      <c r="R24" s="118">
        <v>1693</v>
      </c>
      <c r="S24" s="118">
        <v>1743</v>
      </c>
      <c r="T24" s="118">
        <v>1678</v>
      </c>
      <c r="U24" s="10">
        <v>1615</v>
      </c>
      <c r="V24" s="10">
        <v>1620</v>
      </c>
      <c r="W24" s="10">
        <v>1707</v>
      </c>
      <c r="X24" s="10">
        <v>1685</v>
      </c>
      <c r="Y24" s="10">
        <v>1723</v>
      </c>
      <c r="Z24" s="10">
        <v>1997</v>
      </c>
      <c r="AA24" s="10">
        <v>2178</v>
      </c>
      <c r="AB24" s="10">
        <v>1837</v>
      </c>
      <c r="AC24" s="192">
        <v>1782</v>
      </c>
      <c r="AD24" s="192">
        <v>1869</v>
      </c>
      <c r="AE24" s="116">
        <v>1735</v>
      </c>
      <c r="AF24" s="216">
        <v>1865</v>
      </c>
    </row>
    <row r="25" spans="2:32" ht="12.75" hidden="1" customHeight="1" x14ac:dyDescent="0.2">
      <c r="B25" s="46" t="s">
        <v>19</v>
      </c>
      <c r="C25" s="47">
        <v>1661</v>
      </c>
      <c r="D25" s="6">
        <v>1682</v>
      </c>
      <c r="E25" s="7">
        <f>1727+2</f>
        <v>1729</v>
      </c>
      <c r="F25" s="6">
        <f>1799+3</f>
        <v>1802</v>
      </c>
      <c r="G25" s="7">
        <v>1800</v>
      </c>
      <c r="H25" s="6">
        <v>1665</v>
      </c>
      <c r="I25" s="7">
        <v>1597</v>
      </c>
      <c r="J25" s="6">
        <v>1495</v>
      </c>
      <c r="K25" s="48">
        <v>1474</v>
      </c>
      <c r="L25" s="48">
        <v>1467</v>
      </c>
      <c r="M25" s="49">
        <v>1552</v>
      </c>
      <c r="N25" s="49">
        <v>1541</v>
      </c>
      <c r="O25" s="73">
        <v>1640</v>
      </c>
      <c r="P25" s="25">
        <v>1581</v>
      </c>
      <c r="Q25" s="12"/>
    </row>
    <row r="26" spans="2:32" ht="14.25" hidden="1" thickTop="1" thickBot="1" x14ac:dyDescent="0.25">
      <c r="B26" s="44" t="s">
        <v>34</v>
      </c>
      <c r="C26" s="45"/>
      <c r="D26" s="3"/>
      <c r="E26" s="4"/>
      <c r="F26" s="3"/>
      <c r="G26" s="4"/>
      <c r="H26" s="3"/>
      <c r="I26" s="4"/>
      <c r="J26" s="3"/>
      <c r="K26" s="14">
        <v>5</v>
      </c>
      <c r="L26" s="4">
        <v>9</v>
      </c>
      <c r="M26" s="11">
        <v>14</v>
      </c>
      <c r="N26" s="15">
        <v>18</v>
      </c>
      <c r="O26" s="25">
        <v>23</v>
      </c>
      <c r="P26" s="25">
        <v>23</v>
      </c>
      <c r="Q26" s="12"/>
    </row>
    <row r="27" spans="2:32" ht="14.25" hidden="1" thickTop="1" thickBot="1" x14ac:dyDescent="0.25">
      <c r="B27" s="44" t="s">
        <v>35</v>
      </c>
      <c r="C27" s="45"/>
      <c r="D27" s="3"/>
      <c r="E27" s="4"/>
      <c r="F27" s="3"/>
      <c r="G27" s="4"/>
      <c r="H27" s="3"/>
      <c r="I27" s="4"/>
      <c r="J27" s="3"/>
      <c r="K27" s="14">
        <v>1</v>
      </c>
      <c r="L27" s="4">
        <v>4</v>
      </c>
      <c r="M27" s="11">
        <v>9</v>
      </c>
      <c r="N27" s="15">
        <v>8</v>
      </c>
      <c r="O27" s="55">
        <v>12</v>
      </c>
      <c r="P27" s="74">
        <v>12</v>
      </c>
      <c r="Q27" s="76"/>
      <c r="R27" s="62"/>
      <c r="S27" s="62"/>
      <c r="T27" s="62"/>
    </row>
    <row r="28" spans="2:32" ht="13.5" thickTop="1" x14ac:dyDescent="0.2">
      <c r="B28" s="21"/>
      <c r="C28" s="21"/>
      <c r="D28" s="21"/>
      <c r="E28" s="21"/>
      <c r="F28" s="21"/>
      <c r="G28" s="21"/>
      <c r="H28" s="21"/>
      <c r="I28" s="21"/>
      <c r="P28" s="21"/>
      <c r="Q28" s="21"/>
      <c r="R28" s="21"/>
      <c r="S28" s="21"/>
      <c r="T28" s="21"/>
    </row>
    <row r="30" spans="2:32" x14ac:dyDescent="0.2">
      <c r="B30" s="28"/>
    </row>
    <row r="31" spans="2:32" hidden="1" x14ac:dyDescent="0.2"/>
    <row r="58" ht="14.25" customHeight="1" x14ac:dyDescent="0.2"/>
    <row r="59" ht="14.25" customHeight="1" x14ac:dyDescent="0.2"/>
    <row r="60" ht="19.5" customHeight="1" x14ac:dyDescent="0.2"/>
  </sheetData>
  <mergeCells count="2">
    <mergeCell ref="A2:Q2"/>
    <mergeCell ref="P6:T6"/>
  </mergeCells>
  <phoneticPr fontId="0" type="noConversion"/>
  <printOptions horizontalCentered="1"/>
  <pageMargins left="0.84" right="0.75" top="0.75" bottom="0.75" header="0.5" footer="0.5"/>
  <pageSetup scale="96" orientation="portrait" r:id="rId1"/>
  <headerFooter alignWithMargins="0"/>
  <ignoredErrors>
    <ignoredError sqref="R9:AA9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3">
    <tabColor indexed="45"/>
    <pageSetUpPr fitToPage="1"/>
  </sheetPr>
  <dimension ref="A1:AF52"/>
  <sheetViews>
    <sheetView view="pageBreakPreview" zoomScaleNormal="100" zoomScaleSheetLayoutView="100" workbookViewId="0">
      <selection activeCell="AL35" sqref="AL35"/>
    </sheetView>
  </sheetViews>
  <sheetFormatPr defaultRowHeight="12.75" x14ac:dyDescent="0.2"/>
  <cols>
    <col min="1" max="1" width="1.7109375" customWidth="1"/>
    <col min="2" max="2" width="20.7109375" customWidth="1"/>
    <col min="3" max="13" width="0" hidden="1" customWidth="1"/>
    <col min="14" max="17" width="9.7109375" hidden="1" customWidth="1"/>
    <col min="18" max="20" width="9.5703125" hidden="1" customWidth="1"/>
    <col min="21" max="27" width="0" hidden="1" customWidth="1"/>
  </cols>
  <sheetData>
    <row r="1" spans="1:32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22.5" customHeight="1" x14ac:dyDescent="0.35">
      <c r="A2" s="173" t="s">
        <v>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40"/>
      <c r="X2" s="140"/>
      <c r="Y2" s="140"/>
      <c r="Z2" s="140"/>
      <c r="AA2" s="140"/>
      <c r="AB2" s="140"/>
      <c r="AC2" s="140"/>
      <c r="AD2" s="140"/>
      <c r="AE2" s="140"/>
    </row>
    <row r="3" spans="1:32" ht="22.5" customHeight="1" x14ac:dyDescent="0.35">
      <c r="A3" s="139" t="s">
        <v>41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40"/>
      <c r="X3" s="140"/>
      <c r="Y3" s="140"/>
      <c r="Z3" s="140"/>
      <c r="AA3" s="140"/>
      <c r="AB3" s="140"/>
      <c r="AC3" s="140"/>
      <c r="AD3" s="140"/>
      <c r="AE3" s="140"/>
    </row>
    <row r="4" spans="1:32" ht="13.5" thickBot="1" x14ac:dyDescent="0.25"/>
    <row r="5" spans="1:32" ht="13.5" thickTop="1" x14ac:dyDescent="0.2">
      <c r="B5" s="31"/>
      <c r="C5" s="3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8"/>
      <c r="Q5" s="228"/>
      <c r="R5" s="228"/>
      <c r="S5" s="228"/>
      <c r="T5" s="228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33"/>
    </row>
    <row r="6" spans="1:32" ht="13.5" thickBot="1" x14ac:dyDescent="0.25">
      <c r="B6" s="34" t="s">
        <v>31</v>
      </c>
      <c r="C6" s="50" t="s">
        <v>1</v>
      </c>
      <c r="D6" s="51" t="s">
        <v>2</v>
      </c>
      <c r="E6" s="37" t="s">
        <v>3</v>
      </c>
      <c r="F6" s="36" t="s">
        <v>4</v>
      </c>
      <c r="G6" s="37" t="s">
        <v>5</v>
      </c>
      <c r="H6" s="36" t="s">
        <v>6</v>
      </c>
      <c r="I6" s="37" t="s">
        <v>21</v>
      </c>
      <c r="J6" s="36">
        <v>1997</v>
      </c>
      <c r="K6" s="38">
        <v>1998</v>
      </c>
      <c r="L6" s="38">
        <v>1999</v>
      </c>
      <c r="M6" s="38">
        <v>2000</v>
      </c>
      <c r="N6" s="38">
        <v>2001</v>
      </c>
      <c r="O6" s="37">
        <v>2002</v>
      </c>
      <c r="P6" s="37">
        <v>2003</v>
      </c>
      <c r="Q6" s="37">
        <v>2004</v>
      </c>
      <c r="R6" s="36">
        <v>2005</v>
      </c>
      <c r="S6" s="36">
        <v>2006</v>
      </c>
      <c r="T6" s="38">
        <v>2007</v>
      </c>
      <c r="U6" s="37">
        <v>2008</v>
      </c>
      <c r="V6" s="37">
        <v>2009</v>
      </c>
      <c r="W6" s="37">
        <v>2010</v>
      </c>
      <c r="X6" s="37">
        <v>2011</v>
      </c>
      <c r="Y6" s="37">
        <v>2012</v>
      </c>
      <c r="Z6" s="37">
        <v>2013</v>
      </c>
      <c r="AA6" s="37">
        <v>2014</v>
      </c>
      <c r="AB6" s="37">
        <v>2021</v>
      </c>
      <c r="AC6" s="189">
        <v>2022</v>
      </c>
      <c r="AD6" s="189">
        <v>2023</v>
      </c>
      <c r="AE6" s="36">
        <v>2024</v>
      </c>
      <c r="AF6" s="201">
        <v>2025</v>
      </c>
    </row>
    <row r="7" spans="1:32" ht="13.5" thickTop="1" x14ac:dyDescent="0.2">
      <c r="B7" s="31"/>
      <c r="C7" s="53"/>
      <c r="D7" s="54"/>
      <c r="E7" s="55"/>
      <c r="F7" s="54"/>
      <c r="G7" s="55"/>
      <c r="H7" s="54"/>
      <c r="I7" s="55"/>
      <c r="J7" s="54"/>
      <c r="K7" s="56"/>
      <c r="L7" s="56"/>
      <c r="M7" s="41"/>
      <c r="N7" s="41"/>
      <c r="O7" s="71"/>
      <c r="P7" s="12"/>
      <c r="Q7" s="12"/>
      <c r="R7" s="21"/>
      <c r="S7" s="21"/>
      <c r="T7" s="41"/>
      <c r="U7" s="71"/>
      <c r="V7" s="71"/>
      <c r="W7" s="71"/>
      <c r="X7" s="71"/>
      <c r="Y7" s="71"/>
      <c r="Z7" s="71"/>
      <c r="AA7" s="71"/>
      <c r="AB7" s="71"/>
      <c r="AC7" s="194"/>
      <c r="AD7" s="194"/>
      <c r="AE7" s="21"/>
      <c r="AF7" s="207"/>
    </row>
    <row r="8" spans="1:32" x14ac:dyDescent="0.2">
      <c r="B8" s="42" t="s">
        <v>7</v>
      </c>
      <c r="C8" s="43">
        <f t="shared" ref="C8:J8" si="0">SUM(C9:C10)</f>
        <v>0</v>
      </c>
      <c r="D8" s="1">
        <f t="shared" si="0"/>
        <v>0</v>
      </c>
      <c r="E8" s="2">
        <f t="shared" si="0"/>
        <v>752</v>
      </c>
      <c r="F8" s="1">
        <f t="shared" si="0"/>
        <v>710</v>
      </c>
      <c r="G8" s="2">
        <f t="shared" si="0"/>
        <v>722</v>
      </c>
      <c r="H8" s="1">
        <f t="shared" si="0"/>
        <v>744</v>
      </c>
      <c r="I8" s="2">
        <f t="shared" si="0"/>
        <v>701</v>
      </c>
      <c r="J8" s="1">
        <f t="shared" si="0"/>
        <v>615</v>
      </c>
      <c r="K8" s="17">
        <f>SUM(K9:K10)</f>
        <v>750</v>
      </c>
      <c r="L8" s="17">
        <f>SUM(L9:L10)</f>
        <v>788</v>
      </c>
      <c r="M8" s="17">
        <f>SUM(M9:M10)</f>
        <v>803</v>
      </c>
      <c r="N8" s="17">
        <f t="shared" ref="N8:S8" si="1">SUM(N9:N10)</f>
        <v>929</v>
      </c>
      <c r="O8" s="2">
        <f t="shared" si="1"/>
        <v>1005</v>
      </c>
      <c r="P8" s="2">
        <f t="shared" si="1"/>
        <v>898</v>
      </c>
      <c r="Q8" s="2">
        <f t="shared" si="1"/>
        <v>834</v>
      </c>
      <c r="R8" s="1">
        <f t="shared" si="1"/>
        <v>776</v>
      </c>
      <c r="S8" s="1">
        <f t="shared" si="1"/>
        <v>715</v>
      </c>
      <c r="T8" s="17">
        <f t="shared" ref="T8:Y8" si="2">SUM(T9:T10)</f>
        <v>712</v>
      </c>
      <c r="U8" s="2">
        <f t="shared" si="2"/>
        <v>704</v>
      </c>
      <c r="V8" s="2">
        <f t="shared" si="2"/>
        <v>642</v>
      </c>
      <c r="W8" s="2">
        <f t="shared" si="2"/>
        <v>661</v>
      </c>
      <c r="X8" s="2">
        <f t="shared" si="2"/>
        <v>674</v>
      </c>
      <c r="Y8" s="2">
        <f t="shared" si="2"/>
        <v>687</v>
      </c>
      <c r="Z8" s="2">
        <f t="shared" ref="Z8:AA8" si="3">SUM(Z9:Z10)</f>
        <v>607</v>
      </c>
      <c r="AA8" s="2">
        <f t="shared" si="3"/>
        <v>717</v>
      </c>
      <c r="AB8" s="2">
        <v>721</v>
      </c>
      <c r="AC8" s="183">
        <v>767</v>
      </c>
      <c r="AD8" s="183">
        <v>823</v>
      </c>
      <c r="AE8" s="1">
        <v>692</v>
      </c>
      <c r="AF8" s="211">
        <f>SUM(AF9:AF10)</f>
        <v>827</v>
      </c>
    </row>
    <row r="9" spans="1:32" x14ac:dyDescent="0.2">
      <c r="B9" s="44" t="s">
        <v>8</v>
      </c>
      <c r="C9" s="45"/>
      <c r="D9" s="3"/>
      <c r="E9" s="4">
        <f>6+383</f>
        <v>389</v>
      </c>
      <c r="F9" s="3">
        <f>5+396</f>
        <v>401</v>
      </c>
      <c r="G9" s="4">
        <v>411</v>
      </c>
      <c r="H9" s="3">
        <v>426</v>
      </c>
      <c r="I9" s="4">
        <v>427</v>
      </c>
      <c r="J9" s="3">
        <v>409</v>
      </c>
      <c r="K9" s="14">
        <v>482</v>
      </c>
      <c r="L9" s="14">
        <v>526</v>
      </c>
      <c r="M9" s="11">
        <v>558</v>
      </c>
      <c r="N9" s="11">
        <v>651</v>
      </c>
      <c r="O9" s="12">
        <v>658</v>
      </c>
      <c r="P9" s="12">
        <v>600</v>
      </c>
      <c r="Q9" s="23">
        <v>609</v>
      </c>
      <c r="R9" s="69">
        <v>535</v>
      </c>
      <c r="S9" s="69">
        <v>488</v>
      </c>
      <c r="T9" s="22">
        <v>456</v>
      </c>
      <c r="U9" s="23">
        <v>449</v>
      </c>
      <c r="V9" s="23">
        <v>415</v>
      </c>
      <c r="W9" s="23">
        <v>436</v>
      </c>
      <c r="X9" s="23">
        <v>462</v>
      </c>
      <c r="Y9" s="23">
        <v>478</v>
      </c>
      <c r="Z9" s="23">
        <v>454</v>
      </c>
      <c r="AA9" s="23">
        <v>512</v>
      </c>
      <c r="AB9" s="23">
        <v>543</v>
      </c>
      <c r="AC9" s="191">
        <v>584</v>
      </c>
      <c r="AD9" s="191">
        <v>597</v>
      </c>
      <c r="AE9" s="69">
        <v>564</v>
      </c>
      <c r="AF9" s="215">
        <v>560</v>
      </c>
    </row>
    <row r="10" spans="1:32" x14ac:dyDescent="0.2">
      <c r="B10" s="44" t="s">
        <v>9</v>
      </c>
      <c r="C10" s="45"/>
      <c r="D10" s="3"/>
      <c r="E10" s="4">
        <f>1+362</f>
        <v>363</v>
      </c>
      <c r="F10" s="3">
        <f>4+305</f>
        <v>309</v>
      </c>
      <c r="G10" s="4">
        <v>311</v>
      </c>
      <c r="H10" s="3">
        <v>318</v>
      </c>
      <c r="I10" s="4">
        <v>274</v>
      </c>
      <c r="J10" s="3">
        <v>206</v>
      </c>
      <c r="K10" s="14">
        <v>268</v>
      </c>
      <c r="L10" s="14">
        <v>262</v>
      </c>
      <c r="M10" s="11">
        <v>245</v>
      </c>
      <c r="N10" s="11">
        <v>278</v>
      </c>
      <c r="O10" s="12">
        <v>347</v>
      </c>
      <c r="P10" s="12">
        <v>298</v>
      </c>
      <c r="Q10" s="23">
        <v>225</v>
      </c>
      <c r="R10" s="69">
        <v>241</v>
      </c>
      <c r="S10" s="69">
        <v>227</v>
      </c>
      <c r="T10" s="22">
        <v>256</v>
      </c>
      <c r="U10" s="23">
        <v>255</v>
      </c>
      <c r="V10" s="23">
        <v>227</v>
      </c>
      <c r="W10" s="23">
        <v>225</v>
      </c>
      <c r="X10" s="23">
        <v>212</v>
      </c>
      <c r="Y10" s="23">
        <v>209</v>
      </c>
      <c r="Z10" s="23">
        <v>153</v>
      </c>
      <c r="AA10" s="23">
        <v>205</v>
      </c>
      <c r="AB10" s="23">
        <v>178</v>
      </c>
      <c r="AC10" s="191">
        <v>183</v>
      </c>
      <c r="AD10" s="191">
        <v>226</v>
      </c>
      <c r="AE10" s="69">
        <v>128</v>
      </c>
      <c r="AF10" s="215">
        <v>267</v>
      </c>
    </row>
    <row r="11" spans="1:32" x14ac:dyDescent="0.2">
      <c r="B11" s="44" t="s">
        <v>10</v>
      </c>
      <c r="C11" s="45"/>
      <c r="D11" s="3"/>
      <c r="E11" s="4">
        <f>7+714</f>
        <v>721</v>
      </c>
      <c r="F11" s="3">
        <f>8+677</f>
        <v>685</v>
      </c>
      <c r="G11" s="4">
        <v>702</v>
      </c>
      <c r="H11" s="3">
        <v>711</v>
      </c>
      <c r="I11" s="4">
        <v>670</v>
      </c>
      <c r="J11" s="3">
        <v>590</v>
      </c>
      <c r="K11" s="14">
        <v>721</v>
      </c>
      <c r="L11" s="14">
        <v>747</v>
      </c>
      <c r="M11" s="11">
        <v>749</v>
      </c>
      <c r="N11" s="11">
        <v>822</v>
      </c>
      <c r="O11" s="12">
        <v>932</v>
      </c>
      <c r="P11" s="12">
        <v>831</v>
      </c>
      <c r="Q11" s="23">
        <v>766</v>
      </c>
      <c r="R11" s="69">
        <v>717</v>
      </c>
      <c r="S11" s="69">
        <v>646</v>
      </c>
      <c r="T11" s="22">
        <v>631</v>
      </c>
      <c r="U11" s="23">
        <v>612</v>
      </c>
      <c r="V11" s="23">
        <v>544</v>
      </c>
      <c r="W11" s="23">
        <v>539</v>
      </c>
      <c r="X11" s="23">
        <v>537</v>
      </c>
      <c r="Y11" s="23">
        <v>516</v>
      </c>
      <c r="Z11" s="23">
        <v>467</v>
      </c>
      <c r="AA11" s="23">
        <v>488</v>
      </c>
      <c r="AB11" s="23">
        <v>482</v>
      </c>
      <c r="AC11" s="191">
        <v>509</v>
      </c>
      <c r="AD11" s="191">
        <v>576</v>
      </c>
      <c r="AE11" s="69">
        <v>487</v>
      </c>
      <c r="AF11" s="215">
        <v>615</v>
      </c>
    </row>
    <row r="12" spans="1:32" x14ac:dyDescent="0.2">
      <c r="B12" s="44" t="s">
        <v>11</v>
      </c>
      <c r="C12" s="45"/>
      <c r="D12" s="3"/>
      <c r="E12" s="4">
        <v>31</v>
      </c>
      <c r="F12" s="3">
        <f>1+24</f>
        <v>25</v>
      </c>
      <c r="G12" s="4">
        <v>20</v>
      </c>
      <c r="H12" s="3">
        <v>33</v>
      </c>
      <c r="I12" s="4">
        <v>31</v>
      </c>
      <c r="J12" s="3">
        <v>25</v>
      </c>
      <c r="K12" s="14">
        <v>29</v>
      </c>
      <c r="L12" s="14">
        <v>41</v>
      </c>
      <c r="M12" s="11">
        <v>54</v>
      </c>
      <c r="N12" s="11">
        <v>107</v>
      </c>
      <c r="O12" s="12">
        <v>73</v>
      </c>
      <c r="P12" s="12">
        <v>67</v>
      </c>
      <c r="Q12" s="23">
        <v>68</v>
      </c>
      <c r="R12" s="69">
        <v>59</v>
      </c>
      <c r="S12" s="69">
        <v>69</v>
      </c>
      <c r="T12" s="22">
        <v>81</v>
      </c>
      <c r="U12" s="23">
        <v>92</v>
      </c>
      <c r="V12" s="23">
        <v>98</v>
      </c>
      <c r="W12" s="23">
        <v>122</v>
      </c>
      <c r="X12" s="23">
        <v>137</v>
      </c>
      <c r="Y12" s="23">
        <v>171</v>
      </c>
      <c r="Z12" s="23">
        <v>140</v>
      </c>
      <c r="AA12" s="23">
        <v>229</v>
      </c>
      <c r="AB12" s="23">
        <v>239</v>
      </c>
      <c r="AC12" s="191">
        <v>258</v>
      </c>
      <c r="AD12" s="191">
        <v>247</v>
      </c>
      <c r="AE12" s="69">
        <v>205</v>
      </c>
      <c r="AF12" s="215">
        <v>212</v>
      </c>
    </row>
    <row r="13" spans="1:32" x14ac:dyDescent="0.2">
      <c r="B13" s="44" t="s">
        <v>12</v>
      </c>
      <c r="C13" s="45"/>
      <c r="D13" s="3"/>
      <c r="E13" s="4">
        <f>4+495</f>
        <v>499</v>
      </c>
      <c r="F13" s="3">
        <f>7+496</f>
        <v>503</v>
      </c>
      <c r="G13" s="4">
        <v>511</v>
      </c>
      <c r="H13" s="3">
        <v>517</v>
      </c>
      <c r="I13" s="4">
        <v>503</v>
      </c>
      <c r="J13" s="3">
        <v>466</v>
      </c>
      <c r="K13" s="14">
        <v>559</v>
      </c>
      <c r="L13" s="14">
        <v>595</v>
      </c>
      <c r="M13" s="11">
        <v>592</v>
      </c>
      <c r="N13" s="11">
        <v>706</v>
      </c>
      <c r="O13" s="12">
        <v>750</v>
      </c>
      <c r="P13" s="12">
        <v>666</v>
      </c>
      <c r="Q13" s="23">
        <v>634</v>
      </c>
      <c r="R13" s="69">
        <v>578</v>
      </c>
      <c r="S13" s="69">
        <v>527</v>
      </c>
      <c r="T13" s="22">
        <v>520</v>
      </c>
      <c r="U13" s="23">
        <v>515</v>
      </c>
      <c r="V13" s="23">
        <v>492</v>
      </c>
      <c r="W13" s="23">
        <v>507</v>
      </c>
      <c r="X13" s="23">
        <v>543</v>
      </c>
      <c r="Y13" s="23">
        <v>587</v>
      </c>
      <c r="Z13" s="23">
        <v>509</v>
      </c>
      <c r="AA13" s="23">
        <v>599</v>
      </c>
      <c r="AB13" s="23">
        <v>620</v>
      </c>
      <c r="AC13" s="191">
        <v>630</v>
      </c>
      <c r="AD13" s="191">
        <v>653</v>
      </c>
      <c r="AE13" s="69">
        <v>559</v>
      </c>
      <c r="AF13" s="215">
        <v>605</v>
      </c>
    </row>
    <row r="14" spans="1:32" x14ac:dyDescent="0.2">
      <c r="B14" s="44" t="s">
        <v>13</v>
      </c>
      <c r="C14" s="45"/>
      <c r="D14" s="3"/>
      <c r="E14" s="4">
        <f>3+250</f>
        <v>253</v>
      </c>
      <c r="F14" s="3">
        <f>2+205</f>
        <v>207</v>
      </c>
      <c r="G14" s="4">
        <v>211</v>
      </c>
      <c r="H14" s="3">
        <v>227</v>
      </c>
      <c r="I14" s="4">
        <v>198</v>
      </c>
      <c r="J14" s="3">
        <v>149</v>
      </c>
      <c r="K14" s="14">
        <v>191</v>
      </c>
      <c r="L14" s="14">
        <v>193</v>
      </c>
      <c r="M14" s="11">
        <v>211</v>
      </c>
      <c r="N14" s="11">
        <v>223</v>
      </c>
      <c r="O14" s="12">
        <v>255</v>
      </c>
      <c r="P14" s="12">
        <v>232</v>
      </c>
      <c r="Q14" s="23">
        <v>200</v>
      </c>
      <c r="R14" s="69">
        <v>198</v>
      </c>
      <c r="S14" s="69">
        <v>188</v>
      </c>
      <c r="T14" s="22">
        <v>192</v>
      </c>
      <c r="U14" s="23">
        <v>189</v>
      </c>
      <c r="V14" s="23">
        <v>150</v>
      </c>
      <c r="W14" s="23">
        <v>154</v>
      </c>
      <c r="X14" s="23">
        <v>131</v>
      </c>
      <c r="Y14" s="23">
        <v>100</v>
      </c>
      <c r="Z14" s="23">
        <v>98</v>
      </c>
      <c r="AA14" s="23">
        <v>118</v>
      </c>
      <c r="AB14" s="23">
        <v>101</v>
      </c>
      <c r="AC14" s="191">
        <v>137</v>
      </c>
      <c r="AD14" s="191">
        <v>170</v>
      </c>
      <c r="AE14" s="69">
        <v>133</v>
      </c>
      <c r="AF14" s="215">
        <v>222</v>
      </c>
    </row>
    <row r="15" spans="1:32" x14ac:dyDescent="0.2">
      <c r="B15" s="44" t="s">
        <v>14</v>
      </c>
      <c r="C15" s="45"/>
      <c r="D15" s="3"/>
      <c r="E15" s="4">
        <v>2</v>
      </c>
      <c r="F15" s="3">
        <v>3</v>
      </c>
      <c r="G15" s="4">
        <v>3</v>
      </c>
      <c r="H15" s="3">
        <v>4</v>
      </c>
      <c r="I15" s="4">
        <v>2</v>
      </c>
      <c r="J15" s="3">
        <v>3</v>
      </c>
      <c r="K15" s="14">
        <v>3</v>
      </c>
      <c r="L15" s="14">
        <v>0</v>
      </c>
      <c r="M15" s="11">
        <v>2</v>
      </c>
      <c r="N15" s="11">
        <v>1</v>
      </c>
      <c r="O15" s="12">
        <v>6</v>
      </c>
      <c r="P15" s="12">
        <v>3</v>
      </c>
      <c r="Q15" s="23">
        <v>9</v>
      </c>
      <c r="R15" s="69">
        <v>6</v>
      </c>
      <c r="S15" s="69">
        <v>15</v>
      </c>
      <c r="T15" s="22">
        <v>16</v>
      </c>
      <c r="U15" s="23">
        <v>26</v>
      </c>
      <c r="V15" s="23">
        <v>19</v>
      </c>
      <c r="W15" s="23">
        <v>14</v>
      </c>
      <c r="X15" s="23">
        <v>16</v>
      </c>
      <c r="Y15" s="23">
        <v>23</v>
      </c>
      <c r="Z15" s="23">
        <v>25</v>
      </c>
      <c r="AA15" s="23">
        <v>88</v>
      </c>
      <c r="AB15" s="23">
        <v>58</v>
      </c>
      <c r="AC15" s="191">
        <v>55</v>
      </c>
      <c r="AD15" s="191">
        <v>47</v>
      </c>
      <c r="AE15" s="69">
        <v>41</v>
      </c>
      <c r="AF15" s="215">
        <v>35</v>
      </c>
    </row>
    <row r="16" spans="1:32" x14ac:dyDescent="0.2">
      <c r="B16" s="44" t="s">
        <v>16</v>
      </c>
      <c r="C16" s="45"/>
      <c r="D16" s="3"/>
      <c r="E16" s="4">
        <v>5</v>
      </c>
      <c r="F16" s="3">
        <v>7</v>
      </c>
      <c r="G16" s="4">
        <v>10</v>
      </c>
      <c r="H16" s="3">
        <v>8</v>
      </c>
      <c r="I16" s="4">
        <v>8</v>
      </c>
      <c r="J16" s="3">
        <v>13</v>
      </c>
      <c r="K16" s="14">
        <v>9</v>
      </c>
      <c r="L16" s="14">
        <v>8</v>
      </c>
      <c r="M16" s="11">
        <v>5</v>
      </c>
      <c r="N16" s="11">
        <v>2</v>
      </c>
      <c r="O16" s="12">
        <v>3</v>
      </c>
      <c r="P16" s="12">
        <v>4</v>
      </c>
      <c r="Q16" s="23">
        <v>4</v>
      </c>
      <c r="R16" s="69">
        <v>3</v>
      </c>
      <c r="S16" s="69">
        <v>7</v>
      </c>
      <c r="T16" s="22">
        <v>6</v>
      </c>
      <c r="U16" s="23">
        <v>9</v>
      </c>
      <c r="V16" s="23">
        <v>7</v>
      </c>
      <c r="W16" s="23">
        <v>3</v>
      </c>
      <c r="X16" s="23">
        <v>3</v>
      </c>
      <c r="Y16" s="23">
        <v>3</v>
      </c>
      <c r="Z16" s="23">
        <v>2</v>
      </c>
      <c r="AA16" s="23">
        <v>6</v>
      </c>
      <c r="AB16" s="23">
        <v>4</v>
      </c>
      <c r="AC16" s="191">
        <v>2</v>
      </c>
      <c r="AD16" s="191">
        <v>2</v>
      </c>
      <c r="AE16" s="69">
        <v>3</v>
      </c>
      <c r="AF16" s="215">
        <v>2</v>
      </c>
    </row>
    <row r="17" spans="2:32" x14ac:dyDescent="0.2">
      <c r="B17" s="44" t="s">
        <v>17</v>
      </c>
      <c r="C17" s="45"/>
      <c r="D17" s="3"/>
      <c r="E17" s="4">
        <v>13</v>
      </c>
      <c r="F17" s="3">
        <v>9</v>
      </c>
      <c r="G17" s="4">
        <v>17</v>
      </c>
      <c r="H17" s="3">
        <v>14</v>
      </c>
      <c r="I17" s="4">
        <v>11</v>
      </c>
      <c r="J17" s="3">
        <v>5</v>
      </c>
      <c r="K17" s="14">
        <v>9</v>
      </c>
      <c r="L17" s="14">
        <v>10</v>
      </c>
      <c r="M17" s="11">
        <v>10</v>
      </c>
      <c r="N17" s="11">
        <v>8</v>
      </c>
      <c r="O17" s="12">
        <v>13</v>
      </c>
      <c r="P17" s="12">
        <v>14</v>
      </c>
      <c r="Q17" s="23">
        <v>11</v>
      </c>
      <c r="R17" s="69">
        <v>10</v>
      </c>
      <c r="S17" s="69">
        <v>12</v>
      </c>
      <c r="T17" s="22">
        <v>12</v>
      </c>
      <c r="U17" s="23">
        <v>12</v>
      </c>
      <c r="V17" s="23">
        <v>8</v>
      </c>
      <c r="W17" s="23">
        <v>15</v>
      </c>
      <c r="X17" s="23">
        <v>17</v>
      </c>
      <c r="Y17" s="23">
        <v>14</v>
      </c>
      <c r="Z17" s="23">
        <v>11</v>
      </c>
      <c r="AA17" s="23">
        <v>14</v>
      </c>
      <c r="AB17" s="23">
        <v>17</v>
      </c>
      <c r="AC17" s="191">
        <v>20</v>
      </c>
      <c r="AD17" s="191">
        <v>17</v>
      </c>
      <c r="AE17" s="69">
        <v>14</v>
      </c>
      <c r="AF17" s="215">
        <v>25</v>
      </c>
    </row>
    <row r="18" spans="2:32" x14ac:dyDescent="0.2">
      <c r="B18" s="44" t="s">
        <v>15</v>
      </c>
      <c r="C18" s="45"/>
      <c r="D18" s="3"/>
      <c r="E18" s="4">
        <v>13</v>
      </c>
      <c r="F18" s="3">
        <f>1+7</f>
        <v>8</v>
      </c>
      <c r="G18" s="4">
        <v>13</v>
      </c>
      <c r="H18" s="3">
        <v>14</v>
      </c>
      <c r="I18" s="4">
        <v>11</v>
      </c>
      <c r="J18" s="3">
        <v>11</v>
      </c>
      <c r="K18" s="14">
        <v>14</v>
      </c>
      <c r="L18" s="14">
        <v>11</v>
      </c>
      <c r="M18" s="11">
        <v>9</v>
      </c>
      <c r="N18" s="11">
        <v>11</v>
      </c>
      <c r="O18" s="12">
        <v>12</v>
      </c>
      <c r="P18" s="12">
        <v>13</v>
      </c>
      <c r="Q18" s="23">
        <v>13</v>
      </c>
      <c r="R18" s="69">
        <v>13</v>
      </c>
      <c r="S18" s="69">
        <v>21</v>
      </c>
      <c r="T18" s="22">
        <v>19</v>
      </c>
      <c r="U18" s="23">
        <v>22</v>
      </c>
      <c r="V18" s="23">
        <v>22</v>
      </c>
      <c r="W18" s="23">
        <v>37</v>
      </c>
      <c r="X18" s="23">
        <v>31</v>
      </c>
      <c r="Y18" s="23">
        <v>31</v>
      </c>
      <c r="Z18" s="23">
        <v>26</v>
      </c>
      <c r="AA18" s="23">
        <v>34</v>
      </c>
      <c r="AB18" s="23">
        <v>21</v>
      </c>
      <c r="AC18" s="191">
        <v>25</v>
      </c>
      <c r="AD18" s="191">
        <v>30</v>
      </c>
      <c r="AE18" s="69">
        <v>30</v>
      </c>
      <c r="AF18" s="215">
        <v>38</v>
      </c>
    </row>
    <row r="19" spans="2:32" x14ac:dyDescent="0.2">
      <c r="B19" s="44" t="s">
        <v>49</v>
      </c>
      <c r="C19" s="45"/>
      <c r="D19" s="3"/>
      <c r="E19" s="4"/>
      <c r="F19" s="3"/>
      <c r="G19" s="4"/>
      <c r="H19" s="3"/>
      <c r="I19" s="4"/>
      <c r="J19" s="3"/>
      <c r="K19" s="14"/>
      <c r="L19" s="14"/>
      <c r="M19" s="11"/>
      <c r="N19" s="11"/>
      <c r="O19" s="12"/>
      <c r="P19" s="12"/>
      <c r="Q19" s="23"/>
      <c r="R19" s="69"/>
      <c r="S19" s="69"/>
      <c r="T19" s="181"/>
      <c r="U19" s="23">
        <v>1</v>
      </c>
      <c r="V19" s="23">
        <v>2</v>
      </c>
      <c r="W19" s="23">
        <v>4</v>
      </c>
      <c r="X19" s="23">
        <v>2</v>
      </c>
      <c r="Y19" s="23">
        <v>3</v>
      </c>
      <c r="Z19" s="23">
        <v>0</v>
      </c>
      <c r="AA19" s="23">
        <v>0</v>
      </c>
      <c r="AB19" s="23">
        <v>2</v>
      </c>
      <c r="AC19" s="191">
        <v>3</v>
      </c>
      <c r="AD19" s="191">
        <v>2</v>
      </c>
      <c r="AE19" s="69">
        <v>2</v>
      </c>
      <c r="AF19" s="215">
        <v>1</v>
      </c>
    </row>
    <row r="20" spans="2:32" x14ac:dyDescent="0.2">
      <c r="B20" s="44" t="s">
        <v>18</v>
      </c>
      <c r="C20" s="45"/>
      <c r="D20" s="3"/>
      <c r="E20" s="4">
        <f>1+4+10</f>
        <v>15</v>
      </c>
      <c r="F20" s="3">
        <f>8+11</f>
        <v>19</v>
      </c>
      <c r="G20" s="4">
        <f>9+8</f>
        <v>17</v>
      </c>
      <c r="H20" s="3">
        <f>9+9</f>
        <v>18</v>
      </c>
      <c r="I20" s="4">
        <f>8+6</f>
        <v>14</v>
      </c>
      <c r="J20" s="3">
        <v>11</v>
      </c>
      <c r="K20" s="14">
        <f>10+7</f>
        <v>17</v>
      </c>
      <c r="L20" s="14">
        <f>12+5</f>
        <v>17</v>
      </c>
      <c r="M20" s="11">
        <f>5+9</f>
        <v>14</v>
      </c>
      <c r="N20" s="11">
        <v>23</v>
      </c>
      <c r="O20" s="12">
        <v>22</v>
      </c>
      <c r="P20" s="12">
        <v>15</v>
      </c>
      <c r="Q20" s="23">
        <v>12</v>
      </c>
      <c r="R20" s="69">
        <v>21</v>
      </c>
      <c r="S20" s="69">
        <v>13</v>
      </c>
      <c r="T20" s="22">
        <v>7</v>
      </c>
      <c r="U20" s="23">
        <f>15+8</f>
        <v>23</v>
      </c>
      <c r="V20" s="23">
        <v>23</v>
      </c>
      <c r="W20" s="23">
        <v>35</v>
      </c>
      <c r="X20" s="23">
        <v>33</v>
      </c>
      <c r="Y20" s="23">
        <v>45</v>
      </c>
      <c r="Z20" s="23">
        <v>35</v>
      </c>
      <c r="AA20" s="23">
        <v>41</v>
      </c>
      <c r="AB20" s="23">
        <v>68</v>
      </c>
      <c r="AC20" s="191">
        <v>79</v>
      </c>
      <c r="AD20" s="191">
        <v>72</v>
      </c>
      <c r="AE20" s="69">
        <v>67</v>
      </c>
      <c r="AF20" s="215">
        <v>89</v>
      </c>
    </row>
    <row r="21" spans="2:32" x14ac:dyDescent="0.2">
      <c r="B21" s="44" t="s">
        <v>50</v>
      </c>
      <c r="C21" s="45"/>
      <c r="D21" s="3"/>
      <c r="E21" s="4"/>
      <c r="F21" s="3"/>
      <c r="G21" s="4"/>
      <c r="H21" s="3"/>
      <c r="I21" s="4"/>
      <c r="J21" s="3">
        <v>4</v>
      </c>
      <c r="K21" s="14">
        <f>1+7+3</f>
        <v>11</v>
      </c>
      <c r="L21" s="14">
        <f>5+5+3</f>
        <v>13</v>
      </c>
      <c r="M21" s="11">
        <f>6+7+2</f>
        <v>15</v>
      </c>
      <c r="N21" s="11">
        <v>20</v>
      </c>
      <c r="O21" s="12">
        <v>33</v>
      </c>
      <c r="P21" s="12">
        <v>24</v>
      </c>
      <c r="Q21" s="23">
        <v>30</v>
      </c>
      <c r="R21" s="69">
        <v>20</v>
      </c>
      <c r="S21" s="69">
        <v>29</v>
      </c>
      <c r="T21" s="181"/>
      <c r="U21" s="23">
        <v>8</v>
      </c>
      <c r="V21" s="23">
        <v>11</v>
      </c>
      <c r="W21" s="23">
        <v>16</v>
      </c>
      <c r="X21" s="23">
        <v>20</v>
      </c>
      <c r="Y21" s="23">
        <v>26</v>
      </c>
      <c r="Z21" s="23">
        <v>22</v>
      </c>
      <c r="AA21" s="23">
        <v>22</v>
      </c>
      <c r="AB21" s="23">
        <v>31</v>
      </c>
      <c r="AC21" s="191">
        <v>37</v>
      </c>
      <c r="AD21" s="191">
        <v>35</v>
      </c>
      <c r="AE21" s="69">
        <v>25</v>
      </c>
      <c r="AF21" s="215">
        <v>37</v>
      </c>
    </row>
    <row r="22" spans="2:32" x14ac:dyDescent="0.2">
      <c r="B22" s="44" t="s">
        <v>32</v>
      </c>
      <c r="C22" s="45"/>
      <c r="D22" s="3"/>
      <c r="E22" s="4"/>
      <c r="F22" s="3"/>
      <c r="G22" s="4"/>
      <c r="H22" s="3"/>
      <c r="I22" s="4"/>
      <c r="J22" s="3"/>
      <c r="K22" s="14"/>
      <c r="L22" s="14"/>
      <c r="M22" s="11"/>
      <c r="N22" s="11"/>
      <c r="O22" s="12"/>
      <c r="P22" s="12"/>
      <c r="Q22" s="23"/>
      <c r="R22" s="69"/>
      <c r="S22" s="69"/>
      <c r="T22" s="22">
        <f>13+7+5+8</f>
        <v>33</v>
      </c>
      <c r="U22" s="23">
        <v>21</v>
      </c>
      <c r="V22" s="23">
        <v>18</v>
      </c>
      <c r="W22" s="23">
        <v>10</v>
      </c>
      <c r="X22" s="23">
        <v>9</v>
      </c>
      <c r="Y22" s="23">
        <v>17</v>
      </c>
      <c r="Z22" s="23">
        <v>12</v>
      </c>
      <c r="AA22" s="23">
        <v>14</v>
      </c>
      <c r="AB22" s="23">
        <v>7</v>
      </c>
      <c r="AC22" s="191">
        <v>9</v>
      </c>
      <c r="AD22" s="191">
        <v>14</v>
      </c>
      <c r="AE22" s="69">
        <v>8</v>
      </c>
      <c r="AF22" s="215">
        <v>10</v>
      </c>
    </row>
    <row r="23" spans="2:32" ht="13.5" thickBot="1" x14ac:dyDescent="0.25">
      <c r="B23" s="46" t="s">
        <v>19</v>
      </c>
      <c r="C23" s="47"/>
      <c r="D23" s="6"/>
      <c r="E23" s="7">
        <f>6+698</f>
        <v>704</v>
      </c>
      <c r="F23" s="6">
        <f>8+656</f>
        <v>664</v>
      </c>
      <c r="G23" s="7">
        <v>662</v>
      </c>
      <c r="H23" s="6">
        <v>686</v>
      </c>
      <c r="I23" s="7">
        <v>655</v>
      </c>
      <c r="J23" s="6">
        <v>568</v>
      </c>
      <c r="K23" s="48">
        <v>687</v>
      </c>
      <c r="L23" s="48">
        <v>729</v>
      </c>
      <c r="M23" s="57">
        <v>748</v>
      </c>
      <c r="N23" s="57">
        <v>864</v>
      </c>
      <c r="O23" s="72">
        <v>916</v>
      </c>
      <c r="P23" s="72">
        <v>825</v>
      </c>
      <c r="Q23" s="72">
        <v>755</v>
      </c>
      <c r="R23" s="27">
        <v>703</v>
      </c>
      <c r="S23" s="27">
        <v>618</v>
      </c>
      <c r="T23" s="57">
        <v>619</v>
      </c>
      <c r="U23" s="72">
        <v>582</v>
      </c>
      <c r="V23" s="72">
        <v>532</v>
      </c>
      <c r="W23" s="72">
        <v>527</v>
      </c>
      <c r="X23" s="72">
        <v>543</v>
      </c>
      <c r="Y23" s="72">
        <v>525</v>
      </c>
      <c r="Z23" s="72">
        <v>474</v>
      </c>
      <c r="AA23" s="72">
        <v>498</v>
      </c>
      <c r="AB23" s="72">
        <v>513</v>
      </c>
      <c r="AC23" s="196">
        <v>537</v>
      </c>
      <c r="AD23" s="196">
        <v>604</v>
      </c>
      <c r="AE23" s="27">
        <v>502</v>
      </c>
      <c r="AF23" s="208">
        <v>590</v>
      </c>
    </row>
    <row r="24" spans="2:32" ht="25.5" customHeight="1" thickTop="1" x14ac:dyDescent="0.2">
      <c r="B24" s="229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1"/>
    </row>
    <row r="25" spans="2:32" ht="11.25" customHeight="1" x14ac:dyDescent="0.2">
      <c r="B25" s="28"/>
    </row>
    <row r="26" spans="2:32" ht="6.75" customHeight="1" x14ac:dyDescent="0.2">
      <c r="B26" s="28"/>
    </row>
    <row r="27" spans="2:32" ht="6.75" customHeight="1" x14ac:dyDescent="0.2"/>
    <row r="48" ht="21" customHeight="1" x14ac:dyDescent="0.2"/>
    <row r="49" ht="21.75" customHeight="1" x14ac:dyDescent="0.2"/>
    <row r="51" ht="24" customHeight="1" x14ac:dyDescent="0.2"/>
    <row r="52" ht="110.25" customHeight="1" x14ac:dyDescent="0.2"/>
  </sheetData>
  <mergeCells count="2">
    <mergeCell ref="B24:S24"/>
    <mergeCell ref="P5:T5"/>
  </mergeCells>
  <phoneticPr fontId="0" type="noConversion"/>
  <printOptions horizontalCentered="1"/>
  <pageMargins left="0.73" right="0.75" top="0.75" bottom="0.75" header="0.5" footer="0.5"/>
  <pageSetup orientation="portrait" r:id="rId1"/>
  <headerFooter alignWithMargins="0"/>
  <ignoredErrors>
    <ignoredError sqref="R8:Z8 AA8:AA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5">
    <tabColor indexed="45"/>
    <pageSetUpPr fitToPage="1"/>
  </sheetPr>
  <dimension ref="A1:AF51"/>
  <sheetViews>
    <sheetView view="pageBreakPreview" zoomScale="95" zoomScaleNormal="100" zoomScaleSheetLayoutView="95" workbookViewId="0">
      <selection activeCell="AK14" sqref="AK14"/>
    </sheetView>
  </sheetViews>
  <sheetFormatPr defaultRowHeight="12.75" x14ac:dyDescent="0.2"/>
  <cols>
    <col min="1" max="1" width="2.42578125" customWidth="1"/>
    <col min="2" max="2" width="20.7109375" customWidth="1"/>
    <col min="3" max="16" width="0" hidden="1" customWidth="1"/>
    <col min="17" max="17" width="7.7109375" hidden="1" customWidth="1"/>
    <col min="18" max="26" width="0" hidden="1" customWidth="1"/>
    <col min="27" max="27" width="9.42578125" hidden="1" customWidth="1"/>
    <col min="28" max="31" width="9.42578125" customWidth="1"/>
  </cols>
  <sheetData>
    <row r="1" spans="1:32" ht="24.75" customHeight="1" x14ac:dyDescent="0.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32" ht="22.5" customHeight="1" x14ac:dyDescent="0.35">
      <c r="A2" s="139" t="s">
        <v>20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</row>
    <row r="3" spans="1:32" ht="22.5" customHeight="1" x14ac:dyDescent="0.35">
      <c r="A3" s="187" t="s">
        <v>55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</row>
    <row r="4" spans="1:32" ht="13.5" thickBot="1" x14ac:dyDescent="0.25">
      <c r="W4" s="27"/>
      <c r="X4" s="27"/>
      <c r="Y4" s="27"/>
      <c r="Z4" s="27"/>
      <c r="AA4" s="27"/>
      <c r="AB4" s="27"/>
      <c r="AC4" s="27"/>
      <c r="AD4" s="27"/>
      <c r="AE4" s="27"/>
    </row>
    <row r="5" spans="1:32" ht="13.5" thickTop="1" x14ac:dyDescent="0.2">
      <c r="B5" s="31"/>
      <c r="C5" s="3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8"/>
      <c r="Q5" s="228"/>
      <c r="R5" s="228"/>
      <c r="S5" s="228"/>
      <c r="T5" s="228"/>
      <c r="U5" s="228"/>
      <c r="V5" s="228"/>
      <c r="W5" s="21"/>
      <c r="X5" s="21"/>
      <c r="Y5" s="21"/>
      <c r="Z5" s="21"/>
      <c r="AA5" s="21"/>
      <c r="AB5" s="21"/>
      <c r="AC5" s="21"/>
      <c r="AD5" s="21"/>
      <c r="AE5" s="21"/>
      <c r="AF5" s="33"/>
    </row>
    <row r="6" spans="1:32" ht="13.5" thickBot="1" x14ac:dyDescent="0.25">
      <c r="B6" s="34" t="s">
        <v>31</v>
      </c>
      <c r="C6" s="50" t="s">
        <v>1</v>
      </c>
      <c r="D6" s="51" t="s">
        <v>2</v>
      </c>
      <c r="E6" s="37" t="s">
        <v>3</v>
      </c>
      <c r="F6" s="36" t="s">
        <v>4</v>
      </c>
      <c r="G6" s="37" t="s">
        <v>5</v>
      </c>
      <c r="H6" s="36" t="s">
        <v>6</v>
      </c>
      <c r="I6" s="37" t="s">
        <v>21</v>
      </c>
      <c r="J6" s="36">
        <v>1997</v>
      </c>
      <c r="K6" s="38">
        <v>1998</v>
      </c>
      <c r="L6" s="38">
        <v>1999</v>
      </c>
      <c r="M6" s="38">
        <v>2000</v>
      </c>
      <c r="N6" s="38">
        <v>2001</v>
      </c>
      <c r="O6" s="37">
        <v>2002</v>
      </c>
      <c r="P6" s="37">
        <v>2003</v>
      </c>
      <c r="Q6" s="37">
        <v>2004</v>
      </c>
      <c r="R6" s="37">
        <v>2005</v>
      </c>
      <c r="S6" s="36">
        <v>2006</v>
      </c>
      <c r="T6" s="38">
        <v>2007</v>
      </c>
      <c r="U6" s="37">
        <v>2008</v>
      </c>
      <c r="V6" s="37">
        <v>2009</v>
      </c>
      <c r="W6" s="37">
        <v>2010</v>
      </c>
      <c r="X6" s="37">
        <v>2011</v>
      </c>
      <c r="Y6" s="37">
        <v>2012</v>
      </c>
      <c r="Z6" s="37">
        <v>2013</v>
      </c>
      <c r="AA6" s="37">
        <v>2014</v>
      </c>
      <c r="AB6" s="37">
        <v>2021</v>
      </c>
      <c r="AC6" s="189">
        <v>2022</v>
      </c>
      <c r="AD6" s="189">
        <v>2023</v>
      </c>
      <c r="AE6" s="36">
        <v>2024</v>
      </c>
      <c r="AF6" s="201">
        <v>2025</v>
      </c>
    </row>
    <row r="7" spans="1:32" ht="13.5" thickTop="1" x14ac:dyDescent="0.2">
      <c r="B7" s="31"/>
      <c r="C7" s="53"/>
      <c r="D7" s="54"/>
      <c r="E7" s="55"/>
      <c r="F7" s="54"/>
      <c r="G7" s="55"/>
      <c r="H7" s="54"/>
      <c r="I7" s="55"/>
      <c r="J7" s="54"/>
      <c r="K7" s="56"/>
      <c r="L7" s="56"/>
      <c r="M7" s="41"/>
      <c r="N7" s="41"/>
      <c r="O7" s="71"/>
      <c r="P7" s="12"/>
      <c r="Q7" s="12"/>
      <c r="R7" s="12"/>
      <c r="S7" s="21"/>
      <c r="T7" s="41"/>
      <c r="U7" s="71"/>
      <c r="V7" s="71"/>
      <c r="W7" s="71"/>
      <c r="X7" s="71"/>
      <c r="Y7" s="71"/>
      <c r="Z7" s="71"/>
      <c r="AA7" s="71"/>
      <c r="AB7" s="71"/>
      <c r="AC7" s="194"/>
      <c r="AD7" s="194"/>
      <c r="AE7" s="21"/>
      <c r="AF7" s="207"/>
    </row>
    <row r="8" spans="1:32" x14ac:dyDescent="0.2">
      <c r="B8" s="42" t="s">
        <v>20</v>
      </c>
      <c r="C8" s="43">
        <f t="shared" ref="C8:J8" si="0">SUM(C9:C10)</f>
        <v>361</v>
      </c>
      <c r="D8" s="1">
        <f t="shared" si="0"/>
        <v>360</v>
      </c>
      <c r="E8" s="2">
        <f t="shared" si="0"/>
        <v>360</v>
      </c>
      <c r="F8" s="1">
        <f t="shared" si="0"/>
        <v>355</v>
      </c>
      <c r="G8" s="2">
        <f t="shared" si="0"/>
        <v>362</v>
      </c>
      <c r="H8" s="1">
        <f t="shared" si="0"/>
        <v>366</v>
      </c>
      <c r="I8" s="2">
        <f t="shared" si="0"/>
        <v>373</v>
      </c>
      <c r="J8" s="1">
        <f t="shared" si="0"/>
        <v>384</v>
      </c>
      <c r="K8" s="17">
        <f>SUM(K9:K10)</f>
        <v>395</v>
      </c>
      <c r="L8" s="17">
        <f>SUM(L9:L10)</f>
        <v>396</v>
      </c>
      <c r="M8" s="17">
        <f>SUM(M9:M10)</f>
        <v>400</v>
      </c>
      <c r="N8" s="17">
        <v>401</v>
      </c>
      <c r="O8" s="2">
        <v>405</v>
      </c>
      <c r="P8" s="2">
        <v>433</v>
      </c>
      <c r="Q8" s="2">
        <v>434</v>
      </c>
      <c r="R8" s="2">
        <f t="shared" ref="R8:W8" si="1">SUM(R9:R10)</f>
        <v>428</v>
      </c>
      <c r="S8" s="1">
        <f t="shared" si="1"/>
        <v>433</v>
      </c>
      <c r="T8" s="17">
        <f t="shared" si="1"/>
        <v>428</v>
      </c>
      <c r="U8" s="2">
        <f t="shared" si="1"/>
        <v>439</v>
      </c>
      <c r="V8" s="2">
        <f t="shared" si="1"/>
        <v>437</v>
      </c>
      <c r="W8" s="2">
        <f t="shared" si="1"/>
        <v>462</v>
      </c>
      <c r="X8" s="2">
        <f t="shared" ref="X8:AA8" si="2">SUM(X9:X10)</f>
        <v>457</v>
      </c>
      <c r="Y8" s="2">
        <f t="shared" si="2"/>
        <v>464</v>
      </c>
      <c r="Z8" s="2">
        <f t="shared" si="2"/>
        <v>465</v>
      </c>
      <c r="AA8" s="2">
        <f t="shared" si="2"/>
        <v>476</v>
      </c>
      <c r="AB8" s="2">
        <v>476</v>
      </c>
      <c r="AC8" s="183">
        <v>480</v>
      </c>
      <c r="AD8" s="183">
        <v>476</v>
      </c>
      <c r="AE8" s="1">
        <v>493</v>
      </c>
      <c r="AF8" s="211">
        <f>SUM(AF9:AF10)</f>
        <v>494</v>
      </c>
    </row>
    <row r="9" spans="1:32" x14ac:dyDescent="0.2">
      <c r="B9" s="44" t="s">
        <v>8</v>
      </c>
      <c r="C9" s="45">
        <f>47+37+147+130</f>
        <v>361</v>
      </c>
      <c r="D9" s="3">
        <f>48+40+137+132</f>
        <v>357</v>
      </c>
      <c r="E9" s="4">
        <f>47+44+140+125</f>
        <v>356</v>
      </c>
      <c r="F9" s="3">
        <f>189+163</f>
        <v>352</v>
      </c>
      <c r="G9" s="4">
        <f>47+50+142+122</f>
        <v>361</v>
      </c>
      <c r="H9" s="3">
        <f>179+185</f>
        <v>364</v>
      </c>
      <c r="I9" s="4">
        <v>367</v>
      </c>
      <c r="J9" s="3">
        <v>381</v>
      </c>
      <c r="K9" s="14">
        <v>394</v>
      </c>
      <c r="L9" s="14">
        <v>395</v>
      </c>
      <c r="M9" s="11">
        <v>399</v>
      </c>
      <c r="N9" s="11">
        <v>399</v>
      </c>
      <c r="O9" s="12">
        <v>403</v>
      </c>
      <c r="P9" s="12">
        <v>429</v>
      </c>
      <c r="Q9" s="23">
        <v>428</v>
      </c>
      <c r="R9" s="23">
        <v>420</v>
      </c>
      <c r="S9" s="69">
        <v>425</v>
      </c>
      <c r="T9" s="22">
        <v>423</v>
      </c>
      <c r="U9" s="23">
        <v>429</v>
      </c>
      <c r="V9" s="23">
        <v>432</v>
      </c>
      <c r="W9" s="23">
        <v>457</v>
      </c>
      <c r="X9" s="23">
        <v>451</v>
      </c>
      <c r="Y9" s="23">
        <v>452</v>
      </c>
      <c r="Z9" s="23">
        <v>447</v>
      </c>
      <c r="AA9" s="23">
        <v>452</v>
      </c>
      <c r="AB9" s="23">
        <v>476</v>
      </c>
      <c r="AC9" s="191">
        <v>477</v>
      </c>
      <c r="AD9" s="191">
        <v>469</v>
      </c>
      <c r="AE9" s="69">
        <v>490</v>
      </c>
      <c r="AF9" s="215">
        <v>490</v>
      </c>
    </row>
    <row r="10" spans="1:32" x14ac:dyDescent="0.2">
      <c r="B10" s="44" t="s">
        <v>9</v>
      </c>
      <c r="C10" s="45">
        <v>0</v>
      </c>
      <c r="D10" s="3">
        <v>3</v>
      </c>
      <c r="E10" s="4">
        <f>1+3</f>
        <v>4</v>
      </c>
      <c r="F10" s="3">
        <v>3</v>
      </c>
      <c r="G10" s="4">
        <v>1</v>
      </c>
      <c r="H10" s="3">
        <v>2</v>
      </c>
      <c r="I10" s="4">
        <v>6</v>
      </c>
      <c r="J10" s="3">
        <v>3</v>
      </c>
      <c r="K10" s="14">
        <v>1</v>
      </c>
      <c r="L10" s="14">
        <v>1</v>
      </c>
      <c r="M10" s="11">
        <v>1</v>
      </c>
      <c r="N10" s="11">
        <v>2</v>
      </c>
      <c r="O10" s="12">
        <v>2</v>
      </c>
      <c r="P10" s="12">
        <v>4</v>
      </c>
      <c r="Q10" s="23">
        <v>6</v>
      </c>
      <c r="R10" s="23">
        <v>8</v>
      </c>
      <c r="S10" s="69">
        <v>8</v>
      </c>
      <c r="T10" s="22">
        <v>5</v>
      </c>
      <c r="U10" s="23">
        <v>10</v>
      </c>
      <c r="V10" s="23">
        <v>5</v>
      </c>
      <c r="W10" s="23">
        <v>5</v>
      </c>
      <c r="X10" s="23">
        <v>6</v>
      </c>
      <c r="Y10" s="23">
        <v>12</v>
      </c>
      <c r="Z10" s="23">
        <v>18</v>
      </c>
      <c r="AA10" s="23">
        <v>24</v>
      </c>
      <c r="AB10" s="23">
        <v>0</v>
      </c>
      <c r="AC10" s="191">
        <v>3</v>
      </c>
      <c r="AD10" s="191">
        <v>7</v>
      </c>
      <c r="AE10" s="69">
        <v>3</v>
      </c>
      <c r="AF10" s="215">
        <v>4</v>
      </c>
    </row>
    <row r="11" spans="1:32" x14ac:dyDescent="0.2">
      <c r="B11" s="44" t="s">
        <v>10</v>
      </c>
      <c r="C11" s="45">
        <v>200</v>
      </c>
      <c r="D11" s="3">
        <v>190</v>
      </c>
      <c r="E11" s="4">
        <v>192</v>
      </c>
      <c r="F11" s="3">
        <v>186</v>
      </c>
      <c r="G11" s="4">
        <v>193</v>
      </c>
      <c r="H11" s="3">
        <v>197</v>
      </c>
      <c r="I11" s="4">
        <v>194</v>
      </c>
      <c r="J11" s="3">
        <v>196</v>
      </c>
      <c r="K11" s="14">
        <v>195</v>
      </c>
      <c r="L11" s="14">
        <v>192</v>
      </c>
      <c r="M11" s="11">
        <f>64+63+70+72</f>
        <v>269</v>
      </c>
      <c r="N11" s="11">
        <v>185</v>
      </c>
      <c r="O11" s="12">
        <v>187</v>
      </c>
      <c r="P11" s="12">
        <v>190</v>
      </c>
      <c r="Q11" s="23">
        <v>200</v>
      </c>
      <c r="R11" s="23">
        <v>201</v>
      </c>
      <c r="S11" s="69">
        <v>198</v>
      </c>
      <c r="T11" s="22">
        <v>188</v>
      </c>
      <c r="U11" s="23">
        <v>191</v>
      </c>
      <c r="V11" s="23">
        <v>175</v>
      </c>
      <c r="W11" s="23">
        <v>181</v>
      </c>
      <c r="X11" s="23">
        <v>182</v>
      </c>
      <c r="Y11" s="23">
        <v>180</v>
      </c>
      <c r="Z11" s="23">
        <v>184</v>
      </c>
      <c r="AA11" s="23">
        <v>182</v>
      </c>
      <c r="AB11" s="23">
        <v>207</v>
      </c>
      <c r="AC11" s="191">
        <v>202</v>
      </c>
      <c r="AD11" s="191">
        <v>217</v>
      </c>
      <c r="AE11" s="69">
        <v>228</v>
      </c>
      <c r="AF11" s="215">
        <v>235</v>
      </c>
    </row>
    <row r="12" spans="1:32" x14ac:dyDescent="0.2">
      <c r="B12" s="44" t="s">
        <v>11</v>
      </c>
      <c r="C12" s="45">
        <v>161</v>
      </c>
      <c r="D12" s="3">
        <v>170</v>
      </c>
      <c r="E12" s="4">
        <v>168</v>
      </c>
      <c r="F12" s="3">
        <v>169</v>
      </c>
      <c r="G12" s="4">
        <v>169</v>
      </c>
      <c r="H12" s="3">
        <v>169</v>
      </c>
      <c r="I12" s="4">
        <v>179</v>
      </c>
      <c r="J12" s="3">
        <v>188</v>
      </c>
      <c r="K12" s="14">
        <v>200</v>
      </c>
      <c r="L12" s="14">
        <v>204</v>
      </c>
      <c r="M12" s="11">
        <v>131</v>
      </c>
      <c r="N12" s="11">
        <v>216</v>
      </c>
      <c r="O12" s="12">
        <v>218</v>
      </c>
      <c r="P12" s="12">
        <v>243</v>
      </c>
      <c r="Q12" s="23">
        <v>234</v>
      </c>
      <c r="R12" s="23">
        <v>227</v>
      </c>
      <c r="S12" s="69">
        <v>235</v>
      </c>
      <c r="T12" s="22">
        <v>240</v>
      </c>
      <c r="U12" s="23">
        <v>248</v>
      </c>
      <c r="V12" s="23">
        <v>262</v>
      </c>
      <c r="W12" s="23">
        <v>281</v>
      </c>
      <c r="X12" s="23">
        <v>275</v>
      </c>
      <c r="Y12" s="23">
        <v>284</v>
      </c>
      <c r="Z12" s="23">
        <v>281</v>
      </c>
      <c r="AA12" s="23">
        <v>294</v>
      </c>
      <c r="AB12" s="23">
        <v>269</v>
      </c>
      <c r="AC12" s="191">
        <v>278</v>
      </c>
      <c r="AD12" s="191">
        <v>259</v>
      </c>
      <c r="AE12" s="69">
        <v>265</v>
      </c>
      <c r="AF12" s="215">
        <v>259</v>
      </c>
    </row>
    <row r="13" spans="1:32" x14ac:dyDescent="0.2">
      <c r="B13" s="44" t="s">
        <v>12</v>
      </c>
      <c r="C13" s="45">
        <f>47+147</f>
        <v>194</v>
      </c>
      <c r="D13" s="3">
        <f>48+137+1</f>
        <v>186</v>
      </c>
      <c r="E13" s="4">
        <f>47+140+1</f>
        <v>188</v>
      </c>
      <c r="F13" s="3">
        <f>3+189</f>
        <v>192</v>
      </c>
      <c r="G13" s="4">
        <f>47+142</f>
        <v>189</v>
      </c>
      <c r="H13" s="3">
        <f>179+2</f>
        <v>181</v>
      </c>
      <c r="I13" s="4">
        <v>177</v>
      </c>
      <c r="J13" s="3">
        <v>165</v>
      </c>
      <c r="K13" s="14">
        <v>163</v>
      </c>
      <c r="L13" s="14">
        <v>151</v>
      </c>
      <c r="M13" s="11">
        <f>1+138</f>
        <v>139</v>
      </c>
      <c r="N13" s="11">
        <v>140</v>
      </c>
      <c r="O13" s="12">
        <v>137</v>
      </c>
      <c r="P13" s="12">
        <v>142</v>
      </c>
      <c r="Q13" s="23">
        <v>142</v>
      </c>
      <c r="R13" s="23">
        <v>131</v>
      </c>
      <c r="S13" s="69">
        <v>124</v>
      </c>
      <c r="T13" s="22">
        <v>121</v>
      </c>
      <c r="U13" s="23">
        <v>120</v>
      </c>
      <c r="V13" s="23">
        <v>119</v>
      </c>
      <c r="W13" s="23">
        <v>118</v>
      </c>
      <c r="X13" s="23">
        <v>116</v>
      </c>
      <c r="Y13" s="23">
        <v>116</v>
      </c>
      <c r="Z13" s="23">
        <v>108</v>
      </c>
      <c r="AA13" s="23">
        <v>103</v>
      </c>
      <c r="AB13" s="23">
        <v>88</v>
      </c>
      <c r="AC13" s="191">
        <v>81</v>
      </c>
      <c r="AD13" s="191">
        <v>70</v>
      </c>
      <c r="AE13" s="69">
        <v>72</v>
      </c>
      <c r="AF13" s="215">
        <v>83</v>
      </c>
    </row>
    <row r="14" spans="1:32" x14ac:dyDescent="0.2">
      <c r="B14" s="44" t="s">
        <v>13</v>
      </c>
      <c r="C14" s="45">
        <f>37+130</f>
        <v>167</v>
      </c>
      <c r="D14" s="3">
        <f>2+40+132</f>
        <v>174</v>
      </c>
      <c r="E14" s="4">
        <f>3+44+125</f>
        <v>172</v>
      </c>
      <c r="F14" s="3">
        <v>163</v>
      </c>
      <c r="G14" s="4">
        <f>50+122+1</f>
        <v>173</v>
      </c>
      <c r="H14" s="3">
        <v>185</v>
      </c>
      <c r="I14" s="4">
        <v>196</v>
      </c>
      <c r="J14" s="3">
        <v>219</v>
      </c>
      <c r="K14" s="14">
        <v>232</v>
      </c>
      <c r="L14" s="14">
        <v>245</v>
      </c>
      <c r="M14" s="11">
        <v>261</v>
      </c>
      <c r="N14" s="11">
        <v>261</v>
      </c>
      <c r="O14" s="12">
        <v>268</v>
      </c>
      <c r="P14" s="12">
        <v>291</v>
      </c>
      <c r="Q14" s="23">
        <v>292</v>
      </c>
      <c r="R14" s="23">
        <v>297</v>
      </c>
      <c r="S14" s="69">
        <v>309</v>
      </c>
      <c r="T14" s="22">
        <v>307</v>
      </c>
      <c r="U14" s="23">
        <v>319</v>
      </c>
      <c r="V14" s="23">
        <v>318</v>
      </c>
      <c r="W14" s="23">
        <v>344</v>
      </c>
      <c r="X14" s="23">
        <v>341</v>
      </c>
      <c r="Y14" s="23">
        <v>348</v>
      </c>
      <c r="Z14" s="23">
        <v>357</v>
      </c>
      <c r="AA14" s="23">
        <v>373</v>
      </c>
      <c r="AB14" s="23">
        <v>388</v>
      </c>
      <c r="AC14" s="197">
        <v>399</v>
      </c>
      <c r="AD14" s="197">
        <v>406</v>
      </c>
      <c r="AE14" s="212">
        <v>421</v>
      </c>
      <c r="AF14" s="215">
        <v>411</v>
      </c>
    </row>
    <row r="15" spans="1:32" x14ac:dyDescent="0.2">
      <c r="B15" s="44" t="s">
        <v>14</v>
      </c>
      <c r="C15" s="45"/>
      <c r="D15" s="3"/>
      <c r="E15" s="4"/>
      <c r="F15" s="3"/>
      <c r="G15" s="4"/>
      <c r="H15" s="3"/>
      <c r="I15" s="4"/>
      <c r="J15" s="3"/>
      <c r="K15" s="14"/>
      <c r="L15" s="14">
        <v>0</v>
      </c>
      <c r="M15" s="11">
        <v>0</v>
      </c>
      <c r="N15" s="11">
        <v>0</v>
      </c>
      <c r="O15" s="12">
        <v>0</v>
      </c>
      <c r="P15" s="12">
        <v>1</v>
      </c>
      <c r="Q15" s="23">
        <v>1</v>
      </c>
      <c r="R15" s="23">
        <v>2</v>
      </c>
      <c r="S15" s="69">
        <v>1</v>
      </c>
      <c r="T15" s="22">
        <v>3</v>
      </c>
      <c r="U15" s="23">
        <v>4</v>
      </c>
      <c r="V15" s="23">
        <v>2</v>
      </c>
      <c r="W15" s="23">
        <v>6</v>
      </c>
      <c r="X15" s="23">
        <v>4</v>
      </c>
      <c r="Y15" s="23">
        <v>5</v>
      </c>
      <c r="Z15" s="23">
        <v>8</v>
      </c>
      <c r="AA15" s="23">
        <v>7</v>
      </c>
      <c r="AB15" s="23">
        <v>9</v>
      </c>
      <c r="AC15" s="197">
        <v>9</v>
      </c>
      <c r="AD15" s="197">
        <v>10</v>
      </c>
      <c r="AE15" s="212">
        <v>9</v>
      </c>
      <c r="AF15" s="215">
        <v>8</v>
      </c>
    </row>
    <row r="16" spans="1:32" x14ac:dyDescent="0.2">
      <c r="B16" s="44" t="s">
        <v>16</v>
      </c>
      <c r="C16" s="45"/>
      <c r="D16" s="3">
        <f>1+1</f>
        <v>2</v>
      </c>
      <c r="E16" s="4">
        <f>1+2</f>
        <v>3</v>
      </c>
      <c r="F16" s="3">
        <v>2</v>
      </c>
      <c r="G16" s="4">
        <v>2</v>
      </c>
      <c r="H16" s="3">
        <v>1</v>
      </c>
      <c r="I16" s="4">
        <v>1</v>
      </c>
      <c r="J16" s="3">
        <v>3</v>
      </c>
      <c r="K16" s="14">
        <v>3</v>
      </c>
      <c r="L16" s="14">
        <v>3</v>
      </c>
      <c r="M16" s="11">
        <v>2</v>
      </c>
      <c r="N16" s="11">
        <v>0</v>
      </c>
      <c r="O16" s="12">
        <v>0</v>
      </c>
      <c r="P16" s="12">
        <v>0</v>
      </c>
      <c r="Q16" s="23">
        <v>0</v>
      </c>
      <c r="R16" s="23">
        <v>1</v>
      </c>
      <c r="S16" s="69">
        <v>2</v>
      </c>
      <c r="T16" s="22">
        <v>2</v>
      </c>
      <c r="U16" s="23">
        <v>4</v>
      </c>
      <c r="V16" s="23">
        <v>5</v>
      </c>
      <c r="W16" s="23">
        <v>2</v>
      </c>
      <c r="X16" s="23">
        <v>2</v>
      </c>
      <c r="Y16" s="23">
        <v>2</v>
      </c>
      <c r="Z16" s="23">
        <v>1</v>
      </c>
      <c r="AA16" s="23">
        <v>2</v>
      </c>
      <c r="AB16" s="23">
        <v>1</v>
      </c>
      <c r="AC16" s="191">
        <v>3</v>
      </c>
      <c r="AD16" s="191">
        <v>2</v>
      </c>
      <c r="AE16" s="69">
        <v>3</v>
      </c>
      <c r="AF16" s="215">
        <v>3</v>
      </c>
    </row>
    <row r="17" spans="2:32" x14ac:dyDescent="0.2">
      <c r="B17" s="44" t="s">
        <v>17</v>
      </c>
      <c r="C17" s="45">
        <v>1</v>
      </c>
      <c r="D17" s="3">
        <f>1+1</f>
        <v>2</v>
      </c>
      <c r="E17" s="4">
        <v>2</v>
      </c>
      <c r="F17" s="3">
        <v>3</v>
      </c>
      <c r="G17" s="4">
        <f>2+1</f>
        <v>3</v>
      </c>
      <c r="H17" s="3">
        <v>2</v>
      </c>
      <c r="I17" s="4">
        <v>2</v>
      </c>
      <c r="J17" s="3">
        <v>2</v>
      </c>
      <c r="K17" s="14">
        <v>1</v>
      </c>
      <c r="L17" s="14">
        <v>1</v>
      </c>
      <c r="M17" s="11">
        <v>1</v>
      </c>
      <c r="N17" s="11">
        <v>1</v>
      </c>
      <c r="O17" s="12">
        <v>3</v>
      </c>
      <c r="P17" s="12">
        <v>4</v>
      </c>
      <c r="Q17" s="23">
        <v>4</v>
      </c>
      <c r="R17" s="23">
        <v>5</v>
      </c>
      <c r="S17" s="69">
        <v>7</v>
      </c>
      <c r="T17" s="22">
        <v>5</v>
      </c>
      <c r="U17" s="23">
        <f>8</f>
        <v>8</v>
      </c>
      <c r="V17" s="23">
        <v>12</v>
      </c>
      <c r="W17" s="23">
        <v>16</v>
      </c>
      <c r="X17" s="23">
        <v>19</v>
      </c>
      <c r="Y17" s="23">
        <v>19</v>
      </c>
      <c r="Z17" s="23">
        <v>19</v>
      </c>
      <c r="AA17" s="23">
        <v>19</v>
      </c>
      <c r="AB17" s="23">
        <v>12</v>
      </c>
      <c r="AC17" s="191">
        <v>12</v>
      </c>
      <c r="AD17" s="191">
        <v>12</v>
      </c>
      <c r="AE17" s="69">
        <v>7</v>
      </c>
      <c r="AF17" s="215">
        <v>8</v>
      </c>
    </row>
    <row r="18" spans="2:32" x14ac:dyDescent="0.2">
      <c r="B18" s="44" t="s">
        <v>15</v>
      </c>
      <c r="C18" s="45"/>
      <c r="D18" s="3">
        <v>1</v>
      </c>
      <c r="E18" s="4">
        <v>1</v>
      </c>
      <c r="F18" s="3">
        <v>1</v>
      </c>
      <c r="G18" s="4">
        <f>1+1</f>
        <v>2</v>
      </c>
      <c r="H18" s="3">
        <v>1</v>
      </c>
      <c r="I18" s="4">
        <v>1</v>
      </c>
      <c r="J18" s="3">
        <v>1</v>
      </c>
      <c r="K18" s="14">
        <v>1</v>
      </c>
      <c r="L18" s="14">
        <v>1</v>
      </c>
      <c r="M18" s="11">
        <v>1</v>
      </c>
      <c r="N18" s="11">
        <v>2</v>
      </c>
      <c r="O18" s="12">
        <v>1</v>
      </c>
      <c r="P18" s="12">
        <v>1</v>
      </c>
      <c r="Q18" s="23">
        <v>1</v>
      </c>
      <c r="R18" s="23">
        <v>1</v>
      </c>
      <c r="S18" s="69">
        <v>1</v>
      </c>
      <c r="T18" s="22">
        <v>2</v>
      </c>
      <c r="U18" s="23">
        <f>2</f>
        <v>2</v>
      </c>
      <c r="V18" s="23">
        <v>2</v>
      </c>
      <c r="W18" s="23">
        <v>0</v>
      </c>
      <c r="X18" s="23">
        <v>1</v>
      </c>
      <c r="Y18" s="23">
        <v>3</v>
      </c>
      <c r="Z18" s="23">
        <v>3</v>
      </c>
      <c r="AA18" s="23">
        <v>2</v>
      </c>
      <c r="AB18" s="23">
        <v>1</v>
      </c>
      <c r="AC18" s="13">
        <v>0</v>
      </c>
      <c r="AD18" s="13">
        <v>0</v>
      </c>
      <c r="AE18">
        <v>0</v>
      </c>
      <c r="AF18" s="215">
        <v>30</v>
      </c>
    </row>
    <row r="19" spans="2:32" x14ac:dyDescent="0.2">
      <c r="B19" s="44" t="s">
        <v>49</v>
      </c>
      <c r="C19" s="45"/>
      <c r="D19" s="3"/>
      <c r="E19" s="4"/>
      <c r="F19" s="3"/>
      <c r="G19" s="4"/>
      <c r="H19" s="3"/>
      <c r="I19" s="4"/>
      <c r="J19" s="3"/>
      <c r="K19" s="14"/>
      <c r="L19" s="14"/>
      <c r="M19" s="11"/>
      <c r="N19" s="11"/>
      <c r="O19" s="12"/>
      <c r="P19" s="12"/>
      <c r="Q19" s="23"/>
      <c r="R19" s="23"/>
      <c r="S19" s="69"/>
      <c r="T19" s="181"/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1</v>
      </c>
      <c r="AA19" s="23">
        <v>1</v>
      </c>
      <c r="AB19" s="23">
        <v>0</v>
      </c>
      <c r="AC19" s="191">
        <v>0</v>
      </c>
      <c r="AD19" s="191">
        <v>0</v>
      </c>
      <c r="AE19" s="69">
        <v>0</v>
      </c>
      <c r="AF19" s="215">
        <v>0</v>
      </c>
    </row>
    <row r="20" spans="2:32" x14ac:dyDescent="0.2">
      <c r="B20" s="44" t="s">
        <v>18</v>
      </c>
      <c r="C20" s="45">
        <f>1+5+3</f>
        <v>9</v>
      </c>
      <c r="D20" s="3">
        <f>1+3+3</f>
        <v>7</v>
      </c>
      <c r="E20" s="4">
        <f>1+4+2</f>
        <v>7</v>
      </c>
      <c r="F20" s="3">
        <f>4+1</f>
        <v>5</v>
      </c>
      <c r="G20" s="4">
        <f>1+1+4+1</f>
        <v>7</v>
      </c>
      <c r="H20" s="3">
        <f>3+2</f>
        <v>5</v>
      </c>
      <c r="I20" s="4">
        <v>7</v>
      </c>
      <c r="J20" s="3">
        <v>11</v>
      </c>
      <c r="K20" s="14">
        <v>10</v>
      </c>
      <c r="L20" s="14">
        <f>12+1</f>
        <v>13</v>
      </c>
      <c r="M20" s="11">
        <v>16</v>
      </c>
      <c r="N20" s="11">
        <v>10</v>
      </c>
      <c r="O20" s="12">
        <v>8</v>
      </c>
      <c r="P20" s="12">
        <v>6</v>
      </c>
      <c r="Q20" s="23">
        <v>6</v>
      </c>
      <c r="R20" s="23">
        <v>9</v>
      </c>
      <c r="S20" s="69">
        <v>5</v>
      </c>
      <c r="T20" s="22">
        <v>5</v>
      </c>
      <c r="U20" s="23">
        <f>1+9</f>
        <v>10</v>
      </c>
      <c r="V20" s="23">
        <v>14</v>
      </c>
      <c r="W20" s="23">
        <v>19</v>
      </c>
      <c r="X20" s="23">
        <v>17</v>
      </c>
      <c r="Y20" s="23">
        <v>17</v>
      </c>
      <c r="Z20" s="23">
        <v>15</v>
      </c>
      <c r="AA20" s="23">
        <v>20</v>
      </c>
      <c r="AB20" s="23">
        <v>25</v>
      </c>
      <c r="AC20" s="191">
        <v>25</v>
      </c>
      <c r="AD20" s="191">
        <v>25</v>
      </c>
      <c r="AE20" s="69">
        <v>29</v>
      </c>
      <c r="AF20" s="215">
        <v>30</v>
      </c>
    </row>
    <row r="21" spans="2:32" x14ac:dyDescent="0.2">
      <c r="B21" s="44" t="s">
        <v>33</v>
      </c>
      <c r="C21" s="45"/>
      <c r="D21" s="3"/>
      <c r="E21" s="4"/>
      <c r="F21" s="3"/>
      <c r="G21" s="4"/>
      <c r="H21" s="3"/>
      <c r="I21" s="4"/>
      <c r="J21" s="3">
        <v>0</v>
      </c>
      <c r="K21" s="14">
        <v>1</v>
      </c>
      <c r="L21" s="14">
        <v>0</v>
      </c>
      <c r="M21" s="11">
        <v>0</v>
      </c>
      <c r="N21" s="11">
        <v>0</v>
      </c>
      <c r="O21" s="12">
        <v>2</v>
      </c>
      <c r="P21" s="12">
        <v>5</v>
      </c>
      <c r="Q21" s="23">
        <v>4</v>
      </c>
      <c r="R21" s="23">
        <v>5</v>
      </c>
      <c r="S21" s="69">
        <v>5</v>
      </c>
      <c r="T21" s="181"/>
      <c r="U21" s="23">
        <v>5</v>
      </c>
      <c r="V21" s="23">
        <v>4</v>
      </c>
      <c r="W21" s="23">
        <v>13</v>
      </c>
      <c r="X21" s="23">
        <v>14</v>
      </c>
      <c r="Y21" s="23">
        <v>11</v>
      </c>
      <c r="Z21" s="23">
        <v>11</v>
      </c>
      <c r="AA21" s="23">
        <v>12</v>
      </c>
      <c r="AB21" s="23">
        <v>18</v>
      </c>
      <c r="AC21" s="191">
        <v>20</v>
      </c>
      <c r="AD21" s="191">
        <v>17</v>
      </c>
      <c r="AE21" s="69">
        <v>16</v>
      </c>
      <c r="AF21" s="215">
        <v>16</v>
      </c>
    </row>
    <row r="22" spans="2:32" x14ac:dyDescent="0.2">
      <c r="B22" s="44" t="s">
        <v>32</v>
      </c>
      <c r="C22" s="45"/>
      <c r="D22" s="3"/>
      <c r="E22" s="4"/>
      <c r="F22" s="3"/>
      <c r="G22" s="4"/>
      <c r="H22" s="3"/>
      <c r="I22" s="4"/>
      <c r="J22" s="3"/>
      <c r="K22" s="14"/>
      <c r="L22" s="14"/>
      <c r="M22" s="11"/>
      <c r="N22" s="11"/>
      <c r="O22" s="12"/>
      <c r="P22" s="12"/>
      <c r="Q22" s="23"/>
      <c r="R22" s="23"/>
      <c r="S22" s="69"/>
      <c r="T22" s="22">
        <f>1+5+3</f>
        <v>9</v>
      </c>
      <c r="U22" s="23">
        <v>14</v>
      </c>
      <c r="V22" s="23">
        <v>41</v>
      </c>
      <c r="W22" s="23">
        <v>19</v>
      </c>
      <c r="X22" s="23">
        <v>37</v>
      </c>
      <c r="Y22" s="23">
        <v>49</v>
      </c>
      <c r="Z22" s="23">
        <v>42</v>
      </c>
      <c r="AA22" s="23">
        <v>30</v>
      </c>
      <c r="AB22" s="23">
        <v>4</v>
      </c>
      <c r="AC22" s="191">
        <v>4</v>
      </c>
      <c r="AD22" s="191">
        <v>3</v>
      </c>
      <c r="AE22" s="69">
        <v>3</v>
      </c>
      <c r="AF22" s="215">
        <v>2</v>
      </c>
    </row>
    <row r="23" spans="2:32" ht="13.5" thickBot="1" x14ac:dyDescent="0.25">
      <c r="B23" s="46" t="s">
        <v>19</v>
      </c>
      <c r="C23" s="47">
        <f>46+36+142+127</f>
        <v>351</v>
      </c>
      <c r="D23" s="6">
        <f>46+38+134+127+3</f>
        <v>348</v>
      </c>
      <c r="E23" s="7">
        <f>46+43+135+119+1+3</f>
        <v>347</v>
      </c>
      <c r="F23" s="6">
        <f>135+49+44+113+3</f>
        <v>344</v>
      </c>
      <c r="G23" s="7">
        <f>43+49+137+118+1</f>
        <v>348</v>
      </c>
      <c r="H23" s="6">
        <f>132+128+41+54+2</f>
        <v>357</v>
      </c>
      <c r="I23" s="7">
        <v>362</v>
      </c>
      <c r="J23" s="6">
        <v>367</v>
      </c>
      <c r="K23" s="48">
        <v>379</v>
      </c>
      <c r="L23" s="48">
        <v>378</v>
      </c>
      <c r="M23" s="57">
        <f>379+1</f>
        <v>380</v>
      </c>
      <c r="N23" s="57">
        <v>388</v>
      </c>
      <c r="O23" s="72">
        <v>391</v>
      </c>
      <c r="P23" s="72">
        <v>416</v>
      </c>
      <c r="Q23" s="77">
        <v>417</v>
      </c>
      <c r="R23" s="77">
        <v>405</v>
      </c>
      <c r="S23" s="121">
        <v>412</v>
      </c>
      <c r="T23" s="138">
        <v>402</v>
      </c>
      <c r="U23" s="77">
        <v>392</v>
      </c>
      <c r="V23" s="77">
        <v>357</v>
      </c>
      <c r="W23" s="77">
        <v>387</v>
      </c>
      <c r="X23" s="77">
        <v>363</v>
      </c>
      <c r="Y23" s="77">
        <v>358</v>
      </c>
      <c r="Z23" s="77">
        <v>365</v>
      </c>
      <c r="AA23" s="77">
        <v>383</v>
      </c>
      <c r="AB23" s="77">
        <v>406</v>
      </c>
      <c r="AC23" s="198">
        <v>407</v>
      </c>
      <c r="AD23" s="198">
        <v>407</v>
      </c>
      <c r="AE23" s="121">
        <v>426</v>
      </c>
      <c r="AF23" s="218">
        <v>427</v>
      </c>
    </row>
    <row r="24" spans="2:32" ht="20.25" customHeight="1" thickTop="1" x14ac:dyDescent="0.2">
      <c r="B24" s="229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27"/>
      <c r="P24" s="227"/>
    </row>
    <row r="25" spans="2:32" ht="11.25" customHeight="1" x14ac:dyDescent="0.2">
      <c r="B25" s="28"/>
    </row>
    <row r="47" ht="21" customHeight="1" x14ac:dyDescent="0.2"/>
    <row r="48" ht="21.75" customHeight="1" x14ac:dyDescent="0.2"/>
    <row r="49" ht="34.5" customHeight="1" x14ac:dyDescent="0.2"/>
    <row r="50" ht="47.25" customHeight="1" x14ac:dyDescent="0.2"/>
    <row r="51" ht="47.25" customHeight="1" x14ac:dyDescent="0.2"/>
  </sheetData>
  <mergeCells count="2">
    <mergeCell ref="B24:P24"/>
    <mergeCell ref="P5:V5"/>
  </mergeCells>
  <phoneticPr fontId="0" type="noConversion"/>
  <printOptions horizontalCentered="1"/>
  <pageMargins left="0.6" right="0.75" top="0.75" bottom="0.75" header="0.5" footer="0.5"/>
  <pageSetup orientation="portrait" r:id="rId1"/>
  <headerFooter alignWithMargins="0"/>
  <ignoredErrors>
    <ignoredError sqref="R8:AA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7046EDE9E0344B532F1CE2356DE02" ma:contentTypeVersion="14" ma:contentTypeDescription="Create a new document." ma:contentTypeScope="" ma:versionID="67d20dd3923714d864e99e5d01f2ec4d">
  <xsd:schema xmlns:xsd="http://www.w3.org/2001/XMLSchema" xmlns:xs="http://www.w3.org/2001/XMLSchema" xmlns:p="http://schemas.microsoft.com/office/2006/metadata/properties" xmlns:ns2="a1f33c3a-ad8c-49cb-b126-4e700016790f" xmlns:ns3="0eb0abdb-1613-4d86-ab04-d85a3be54dba" targetNamespace="http://schemas.microsoft.com/office/2006/metadata/properties" ma:root="true" ma:fieldsID="6c94c4aac428efeea8e1c3f6a340d0e4" ns2:_="" ns3:_="">
    <xsd:import namespace="a1f33c3a-ad8c-49cb-b126-4e700016790f"/>
    <xsd:import namespace="0eb0abdb-1613-4d86-ab04-d85a3be54d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33c3a-ad8c-49cb-b126-4e7000167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0abdb-1613-4d86-ab04-d85a3be54d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33c3a-ad8c-49cb-b126-4e70001679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E2992F-AABF-4AC3-8B4A-CE7B9F7A10F9}"/>
</file>

<file path=customXml/itemProps2.xml><?xml version="1.0" encoding="utf-8"?>
<ds:datastoreItem xmlns:ds="http://schemas.openxmlformats.org/officeDocument/2006/customXml" ds:itemID="{3D155B20-6B35-4C7A-961D-41A0233A25E1}"/>
</file>

<file path=customXml/itemProps3.xml><?xml version="1.0" encoding="utf-8"?>
<ds:datastoreItem xmlns:ds="http://schemas.openxmlformats.org/officeDocument/2006/customXml" ds:itemID="{8C3003BF-54AD-47EE-BBBE-F27548D069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Agriculture</vt:lpstr>
      <vt:lpstr>Architecture</vt:lpstr>
      <vt:lpstr>Arts &amp; Sciences</vt:lpstr>
      <vt:lpstr>Business</vt:lpstr>
      <vt:lpstr>Education</vt:lpstr>
      <vt:lpstr>Engineering</vt:lpstr>
      <vt:lpstr>Health and Human Sciences</vt:lpstr>
      <vt:lpstr>Technology</vt:lpstr>
      <vt:lpstr>Vet Med</vt:lpstr>
      <vt:lpstr>Salina campus only</vt:lpstr>
      <vt:lpstr>Olathe campus only</vt:lpstr>
      <vt:lpstr>Agriculture!Print_Area</vt:lpstr>
      <vt:lpstr>Architecture!Print_Area</vt:lpstr>
      <vt:lpstr>'Arts &amp; Sciences'!Print_Area</vt:lpstr>
      <vt:lpstr>Business!Print_Area</vt:lpstr>
      <vt:lpstr>Education!Print_Area</vt:lpstr>
      <vt:lpstr>Engineering!Print_Area</vt:lpstr>
      <vt:lpstr>'Health and Human Sciences'!Print_Area</vt:lpstr>
      <vt:lpstr>'Olathe campus only'!Print_Area</vt:lpstr>
      <vt:lpstr>'Salina campus only'!Print_Area</vt:lpstr>
      <vt:lpstr>Technology!Print_Area</vt:lpstr>
      <vt:lpstr>'Vet Med'!Print_Area</vt:lpstr>
    </vt:vector>
  </TitlesOfParts>
  <Company>PASS - KSU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jstroade</dc:creator>
  <cp:lastModifiedBy>Yuhao Liu</cp:lastModifiedBy>
  <cp:lastPrinted>2021-10-22T19:15:45Z</cp:lastPrinted>
  <dcterms:created xsi:type="dcterms:W3CDTF">2004-05-20T15:37:32Z</dcterms:created>
  <dcterms:modified xsi:type="dcterms:W3CDTF">2025-10-16T19:55:43Z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0x010100BFB7046EDE9E0344B532F1CE2356DE02</vt:lpwstr>
  </property>
</Properties>
</file>