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jbaker\Documents\PA\deptprofiles\"/>
    </mc:Choice>
  </mc:AlternateContent>
  <bookViews>
    <workbookView xWindow="0" yWindow="0" windowWidth="9525" windowHeight="10575" tabRatio="665" firstSheet="5" activeTab="5"/>
  </bookViews>
  <sheets>
    <sheet name="Dean_VM" sheetId="4" state="hidden" r:id="rId1"/>
    <sheet name="Anatomy_Phy" sheetId="1" state="hidden" r:id="rId2"/>
    <sheet name="Path" sheetId="2" state="hidden" r:id="rId3"/>
    <sheet name="Clincial_Sci" sheetId="3" state="hidden" r:id="rId4"/>
    <sheet name="Veterinary Health Center" sheetId="5" state="hidden" r:id="rId5"/>
    <sheet name="Vet Med Summary" sheetId="7" r:id="rId6"/>
  </sheets>
  <definedNames>
    <definedName name="_xlnm.Print_Area" localSheetId="1">Anatomy_Phy!$A$1:$AD$99</definedName>
    <definedName name="_xlnm.Print_Area" localSheetId="3">Clincial_Sci!$A$1:$AC$97</definedName>
    <definedName name="_xlnm.Print_Area" localSheetId="0">Dean_VM!$A$1:$AD$104</definedName>
    <definedName name="_xlnm.Print_Area" localSheetId="2">Path!$A$1:$AD$97</definedName>
    <definedName name="_xlnm.Print_Area" localSheetId="5">'Vet Med Summary'!$A$1:$Z$103</definedName>
    <definedName name="_xlnm.Print_Area" localSheetId="4">'Veterinary Health Center'!$A$1:$AC$52</definedName>
    <definedName name="_xlnm.Print_Titles" localSheetId="1">Anatomy_Phy!$1:$3</definedName>
    <definedName name="_xlnm.Print_Titles" localSheetId="3">Clincial_Sci!$1:$3</definedName>
    <definedName name="_xlnm.Print_Titles" localSheetId="0">Dean_VM!$1:$3</definedName>
    <definedName name="_xlnm.Print_Titles" localSheetId="2">Path!$1:$3</definedName>
    <definedName name="_xlnm.Print_Titles" localSheetId="5">'Vet Med Summary'!$1:$2</definedName>
    <definedName name="_xlnm.Print_Titles" localSheetId="4">'Veterinary Health Center'!$1:$3</definedName>
  </definedNames>
  <calcPr calcId="152511"/>
</workbook>
</file>

<file path=xl/calcChain.xml><?xml version="1.0" encoding="utf-8"?>
<calcChain xmlns="http://schemas.openxmlformats.org/spreadsheetml/2006/main">
  <c r="R77" i="7" l="1"/>
  <c r="R76" i="7"/>
  <c r="R75" i="7"/>
  <c r="R73" i="7"/>
  <c r="R72" i="7"/>
  <c r="T77" i="7"/>
  <c r="T76" i="7"/>
  <c r="T75" i="7"/>
  <c r="T73" i="7"/>
  <c r="T72" i="7"/>
  <c r="V77" i="7"/>
  <c r="V76" i="7"/>
  <c r="V75" i="7"/>
  <c r="V73" i="7"/>
  <c r="V72" i="7"/>
  <c r="Z77" i="7"/>
  <c r="Z76" i="7"/>
  <c r="Z75" i="7"/>
  <c r="Z73" i="7"/>
  <c r="Z72" i="7"/>
  <c r="X77" i="7"/>
  <c r="X76" i="7"/>
  <c r="X75" i="7"/>
  <c r="X73" i="7"/>
  <c r="X72" i="7"/>
  <c r="AC73" i="2"/>
  <c r="Y14" i="7" l="1"/>
  <c r="X51" i="7" l="1"/>
  <c r="AC65" i="7" l="1"/>
  <c r="X65" i="7"/>
  <c r="X64" i="7"/>
  <c r="AC64" i="7" s="1"/>
  <c r="AC35" i="5"/>
  <c r="AC34" i="5"/>
  <c r="AC26" i="5"/>
  <c r="AC25" i="5"/>
  <c r="X59" i="3"/>
  <c r="X58" i="3"/>
  <c r="AC59" i="3"/>
  <c r="AC58" i="3"/>
  <c r="AC50" i="3"/>
  <c r="AC49" i="3"/>
  <c r="AC59" i="2"/>
  <c r="AC58" i="2"/>
  <c r="AC50" i="2"/>
  <c r="AC49" i="2"/>
  <c r="AC60" i="1"/>
  <c r="AC59" i="1"/>
  <c r="AC51" i="1"/>
  <c r="AC50" i="1"/>
  <c r="AC64" i="4" l="1"/>
  <c r="AC65" i="4"/>
  <c r="AC57" i="4"/>
  <c r="AC56" i="4"/>
  <c r="AC51" i="7" l="1"/>
  <c r="X52" i="7"/>
  <c r="AC52" i="7" s="1"/>
  <c r="W55" i="7" l="1"/>
  <c r="W57" i="7" s="1"/>
  <c r="X55" i="7"/>
  <c r="X57" i="7" s="1"/>
  <c r="W59" i="7"/>
  <c r="W61" i="7" s="1"/>
  <c r="X59" i="7"/>
  <c r="X61" i="7" s="1"/>
  <c r="X14" i="7" l="1"/>
  <c r="X12" i="7"/>
  <c r="X11" i="7"/>
  <c r="X10" i="7"/>
  <c r="AC61" i="7" l="1"/>
  <c r="AB61" i="7"/>
  <c r="AC60" i="7"/>
  <c r="AB60" i="7"/>
  <c r="AC59" i="7"/>
  <c r="AB59" i="7"/>
  <c r="AC57" i="7"/>
  <c r="AB57" i="7"/>
  <c r="AC56" i="7"/>
  <c r="AB56" i="7"/>
  <c r="AC55" i="7"/>
  <c r="AB55" i="7"/>
  <c r="AC48" i="7"/>
  <c r="AC46" i="7"/>
  <c r="AC40" i="7"/>
  <c r="AC28" i="7"/>
  <c r="AC27" i="7"/>
  <c r="AC26" i="7"/>
  <c r="AC14" i="7"/>
  <c r="AC12" i="7"/>
  <c r="AC11" i="7"/>
  <c r="AC10" i="7"/>
  <c r="AC52" i="5"/>
  <c r="AB52" i="5"/>
  <c r="AC51" i="5"/>
  <c r="AB51" i="5"/>
  <c r="AC50" i="5"/>
  <c r="AB50" i="5"/>
  <c r="AC46" i="5"/>
  <c r="AC45" i="5"/>
  <c r="AC43" i="5"/>
  <c r="AC42" i="5"/>
  <c r="AC31" i="5"/>
  <c r="AB31" i="5"/>
  <c r="AC29" i="5"/>
  <c r="AB29" i="5"/>
  <c r="AC21" i="5"/>
  <c r="AC19" i="5"/>
  <c r="AC17" i="5"/>
  <c r="AC16" i="5"/>
  <c r="AC27" i="3"/>
  <c r="AC97" i="3"/>
  <c r="AB97" i="3"/>
  <c r="AC96" i="3"/>
  <c r="AB96" i="3"/>
  <c r="AC95" i="3"/>
  <c r="AB95" i="3"/>
  <c r="AB92" i="3"/>
  <c r="AB91" i="3"/>
  <c r="AB90" i="3"/>
  <c r="AB89" i="3"/>
  <c r="AB87" i="3"/>
  <c r="AB86" i="3"/>
  <c r="AB85" i="3"/>
  <c r="AB83" i="3"/>
  <c r="AB82" i="3"/>
  <c r="AB80" i="3"/>
  <c r="AB79" i="3"/>
  <c r="AB78" i="3"/>
  <c r="AB77" i="3"/>
  <c r="AB76" i="3"/>
  <c r="AB75" i="3"/>
  <c r="AB74" i="3"/>
  <c r="AB73" i="3"/>
  <c r="AC70" i="3"/>
  <c r="AC69" i="3"/>
  <c r="AC67" i="3"/>
  <c r="AC66" i="3"/>
  <c r="AC55" i="3"/>
  <c r="AB55" i="3"/>
  <c r="AC53" i="3"/>
  <c r="AB53" i="3"/>
  <c r="AC45" i="3"/>
  <c r="AC43" i="3"/>
  <c r="AC38" i="3"/>
  <c r="AC35" i="3"/>
  <c r="AC26" i="3"/>
  <c r="AC25" i="3"/>
  <c r="AC21" i="3"/>
  <c r="AC20" i="3"/>
  <c r="AC97" i="2"/>
  <c r="AB97" i="2"/>
  <c r="AC96" i="2"/>
  <c r="AB96" i="2"/>
  <c r="AC95" i="2"/>
  <c r="AB95" i="2"/>
  <c r="AB92" i="2"/>
  <c r="AB91" i="2"/>
  <c r="AB90" i="2"/>
  <c r="AB89" i="2"/>
  <c r="AB87" i="2"/>
  <c r="AB86" i="2"/>
  <c r="AB85" i="2"/>
  <c r="AB83" i="2"/>
  <c r="AB82" i="2"/>
  <c r="AB80" i="2"/>
  <c r="AB79" i="2"/>
  <c r="AB78" i="2"/>
  <c r="AB77" i="2"/>
  <c r="AB76" i="2"/>
  <c r="AB75" i="2"/>
  <c r="AB74" i="2"/>
  <c r="AB73" i="2"/>
  <c r="AC70" i="2"/>
  <c r="AC69" i="2"/>
  <c r="AC67" i="2"/>
  <c r="AC66" i="2"/>
  <c r="AC55" i="2"/>
  <c r="AB55" i="2"/>
  <c r="AC53" i="2"/>
  <c r="AB53" i="2"/>
  <c r="AC45" i="2"/>
  <c r="AC43" i="2"/>
  <c r="AC40" i="2"/>
  <c r="AC38" i="2"/>
  <c r="AC36" i="2"/>
  <c r="AC35" i="2"/>
  <c r="AC27" i="2"/>
  <c r="AC26" i="2"/>
  <c r="AC25" i="2"/>
  <c r="AC22" i="2"/>
  <c r="AC21" i="2"/>
  <c r="AC20" i="2"/>
  <c r="AC19" i="2"/>
  <c r="AC13" i="2"/>
  <c r="AB13" i="2"/>
  <c r="AC98" i="1"/>
  <c r="AB98" i="1"/>
  <c r="AC97" i="1"/>
  <c r="AB97" i="1"/>
  <c r="AC96" i="1"/>
  <c r="AB96" i="1"/>
  <c r="AB93" i="1"/>
  <c r="AB92" i="1"/>
  <c r="AB91" i="1"/>
  <c r="AB90" i="1"/>
  <c r="AB88" i="1"/>
  <c r="AB87" i="1"/>
  <c r="AB86" i="1"/>
  <c r="AB84" i="1"/>
  <c r="AB83" i="1"/>
  <c r="AB81" i="1"/>
  <c r="AB80" i="1"/>
  <c r="AB79" i="1"/>
  <c r="AB78" i="1"/>
  <c r="AB77" i="1"/>
  <c r="AB76" i="1"/>
  <c r="AB75" i="1"/>
  <c r="AB74" i="1"/>
  <c r="AC72" i="1"/>
  <c r="AC71" i="1"/>
  <c r="AC70" i="1"/>
  <c r="AC68" i="1"/>
  <c r="AC67" i="1"/>
  <c r="AC56" i="1"/>
  <c r="AB56" i="1"/>
  <c r="AC54" i="1"/>
  <c r="AB54" i="1"/>
  <c r="AC46" i="1"/>
  <c r="AC44" i="1"/>
  <c r="AC41" i="1"/>
  <c r="AC40" i="1"/>
  <c r="AC39" i="1"/>
  <c r="AC37" i="1"/>
  <c r="AC36" i="1"/>
  <c r="AC28" i="1"/>
  <c r="AB28" i="1"/>
  <c r="AC27" i="1"/>
  <c r="AC26" i="1"/>
  <c r="AC23" i="1"/>
  <c r="AC22" i="1"/>
  <c r="AC13" i="1"/>
  <c r="AB13" i="1"/>
  <c r="AC103" i="4"/>
  <c r="AB103" i="4"/>
  <c r="AC102" i="4"/>
  <c r="AB102" i="4"/>
  <c r="AC101" i="4"/>
  <c r="AB101" i="4"/>
  <c r="AB98" i="4"/>
  <c r="AB97" i="4"/>
  <c r="AB96" i="4"/>
  <c r="AB95" i="4"/>
  <c r="AB91" i="4"/>
  <c r="AB93" i="4"/>
  <c r="AB92" i="4"/>
  <c r="AB89" i="4"/>
  <c r="AB88" i="4"/>
  <c r="AB86" i="4"/>
  <c r="AB85" i="4"/>
  <c r="AB84" i="4"/>
  <c r="AB83" i="4"/>
  <c r="AB82" i="4"/>
  <c r="AB81" i="4"/>
  <c r="AB80" i="4"/>
  <c r="AB79" i="4"/>
  <c r="AC76" i="4"/>
  <c r="AC75" i="4"/>
  <c r="AC73" i="4"/>
  <c r="AC72" i="4"/>
  <c r="AC61" i="4"/>
  <c r="AB61" i="4"/>
  <c r="AC60" i="4"/>
  <c r="AB60" i="4"/>
  <c r="AC52" i="4"/>
  <c r="AC50" i="4"/>
  <c r="AC47" i="4"/>
  <c r="AC45" i="4"/>
  <c r="AC42" i="4"/>
  <c r="AC40" i="4"/>
  <c r="AC34" i="4"/>
  <c r="AC33" i="4"/>
  <c r="AC32" i="4"/>
  <c r="AC28" i="4"/>
  <c r="AC19" i="4"/>
  <c r="AB19" i="4"/>
  <c r="AC18" i="4"/>
  <c r="AB18" i="4"/>
  <c r="AC16" i="4"/>
  <c r="AB16" i="4"/>
  <c r="AB14" i="4"/>
  <c r="AC12" i="4"/>
  <c r="AB12" i="4"/>
  <c r="Z30" i="4"/>
  <c r="Y34" i="4"/>
  <c r="AB34" i="4" s="1"/>
  <c r="Z43" i="4"/>
  <c r="Z48" i="4"/>
  <c r="AC48" i="4" s="1"/>
  <c r="Z53" i="4"/>
  <c r="AC53" i="4" s="1"/>
  <c r="Z77" i="4"/>
  <c r="Z83" i="4" s="1"/>
  <c r="AC83" i="4" s="1"/>
  <c r="Z79" i="4"/>
  <c r="AC79" i="4" s="1"/>
  <c r="Z24" i="1"/>
  <c r="Y28" i="1"/>
  <c r="Z37" i="1"/>
  <c r="Z42" i="1"/>
  <c r="AC42" i="1" s="1"/>
  <c r="Z47" i="1"/>
  <c r="AC47" i="1" s="1"/>
  <c r="Z72" i="1"/>
  <c r="Z76" i="1" s="1"/>
  <c r="AC76" i="1" s="1"/>
  <c r="Z74" i="1"/>
  <c r="AC74" i="1" s="1"/>
  <c r="Z75" i="1"/>
  <c r="AC75" i="1" s="1"/>
  <c r="Z78" i="1"/>
  <c r="AC78" i="1" s="1"/>
  <c r="Z81" i="1"/>
  <c r="AC81" i="1" s="1"/>
  <c r="Z93" i="1"/>
  <c r="AC93" i="1" s="1"/>
  <c r="Z23" i="2"/>
  <c r="Y27" i="2"/>
  <c r="AB27" i="2" s="1"/>
  <c r="Z36" i="2"/>
  <c r="Z41" i="2"/>
  <c r="AC41" i="2" s="1"/>
  <c r="Z46" i="2"/>
  <c r="AC46" i="2" s="1"/>
  <c r="Z71" i="2"/>
  <c r="Z77" i="2" s="1"/>
  <c r="AC77" i="2" s="1"/>
  <c r="Z73" i="2"/>
  <c r="Z23" i="3"/>
  <c r="Y27" i="3"/>
  <c r="AB27" i="3" s="1"/>
  <c r="Z36" i="3"/>
  <c r="Z41" i="3"/>
  <c r="AC41" i="3" s="1"/>
  <c r="Z46" i="3"/>
  <c r="AC46" i="3" s="1"/>
  <c r="Z71" i="3"/>
  <c r="Z73" i="3" s="1"/>
  <c r="AC73" i="3" s="1"/>
  <c r="Z12" i="5"/>
  <c r="Z17" i="5"/>
  <c r="Z22" i="5"/>
  <c r="AC22" i="5" s="1"/>
  <c r="Z47" i="5"/>
  <c r="AC47" i="5" s="1"/>
  <c r="Y10" i="7"/>
  <c r="Y11" i="7"/>
  <c r="AB11" i="7" s="1"/>
  <c r="Y12" i="7"/>
  <c r="AB12" i="7" s="1"/>
  <c r="AB14" i="7"/>
  <c r="Z20" i="7"/>
  <c r="Z21" i="7"/>
  <c r="Z24" i="7" s="1"/>
  <c r="Z22" i="7"/>
  <c r="Z23" i="7"/>
  <c r="Y28" i="7"/>
  <c r="AB28" i="7" s="1"/>
  <c r="Z34" i="7"/>
  <c r="AC34" i="7" s="1"/>
  <c r="Z36" i="7"/>
  <c r="AC36" i="7" s="1"/>
  <c r="Z39" i="7"/>
  <c r="AC39" i="7" s="1"/>
  <c r="Z40" i="7"/>
  <c r="Z41" i="7"/>
  <c r="AC41" i="7" s="1"/>
  <c r="Z44" i="7"/>
  <c r="AC44" i="7" s="1"/>
  <c r="Z46" i="7"/>
  <c r="AC72" i="7"/>
  <c r="AC73" i="7"/>
  <c r="AC75" i="7"/>
  <c r="AC76" i="7"/>
  <c r="Y79" i="7"/>
  <c r="AB79" i="7" s="1"/>
  <c r="Y80" i="7"/>
  <c r="AB80" i="7" s="1"/>
  <c r="Y81" i="7"/>
  <c r="AB81" i="7" s="1"/>
  <c r="Y82" i="7"/>
  <c r="AB82" i="7" s="1"/>
  <c r="Y83" i="7"/>
  <c r="AB83" i="7" s="1"/>
  <c r="Y84" i="7"/>
  <c r="AB84" i="7" s="1"/>
  <c r="Y85" i="7"/>
  <c r="AB85" i="7" s="1"/>
  <c r="Y86" i="7"/>
  <c r="AB86" i="7" s="1"/>
  <c r="Y88" i="7"/>
  <c r="AB88" i="7" s="1"/>
  <c r="Y89" i="7"/>
  <c r="AB89" i="7" s="1"/>
  <c r="Y91" i="7"/>
  <c r="AB91" i="7" s="1"/>
  <c r="Y92" i="7"/>
  <c r="AB92" i="7" s="1"/>
  <c r="Y93" i="7"/>
  <c r="AB93" i="7" s="1"/>
  <c r="Y95" i="7"/>
  <c r="AB95" i="7" s="1"/>
  <c r="Y96" i="7"/>
  <c r="AB96" i="7" s="1"/>
  <c r="Y97" i="7"/>
  <c r="AB97" i="7" s="1"/>
  <c r="Y98" i="7"/>
  <c r="AB98" i="7" s="1"/>
  <c r="Y101" i="7"/>
  <c r="AB101" i="7" s="1"/>
  <c r="Z101" i="7"/>
  <c r="AC101" i="7" s="1"/>
  <c r="Y102" i="7"/>
  <c r="AB102" i="7" s="1"/>
  <c r="Z102" i="7"/>
  <c r="AC102" i="7" s="1"/>
  <c r="Y103" i="7"/>
  <c r="AB103" i="7" s="1"/>
  <c r="Z103" i="7"/>
  <c r="AC103" i="7" s="1"/>
  <c r="Z82" i="3" l="1"/>
  <c r="AC82" i="3" s="1"/>
  <c r="Z90" i="3"/>
  <c r="AC90" i="3" s="1"/>
  <c r="Z77" i="3"/>
  <c r="AC77" i="3" s="1"/>
  <c r="Z87" i="3"/>
  <c r="AC87" i="3" s="1"/>
  <c r="Z76" i="3"/>
  <c r="AC76" i="3" s="1"/>
  <c r="Z86" i="3"/>
  <c r="AC86" i="3" s="1"/>
  <c r="Z75" i="3"/>
  <c r="AC75" i="3" s="1"/>
  <c r="AC71" i="3"/>
  <c r="Z85" i="3"/>
  <c r="AC85" i="3" s="1"/>
  <c r="Z74" i="3"/>
  <c r="AC74" i="3" s="1"/>
  <c r="Z83" i="3"/>
  <c r="AC83" i="3" s="1"/>
  <c r="Z92" i="3"/>
  <c r="AC92" i="3" s="1"/>
  <c r="Z80" i="3"/>
  <c r="AC80" i="3" s="1"/>
  <c r="Z91" i="3"/>
  <c r="AC91" i="3" s="1"/>
  <c r="Z79" i="3"/>
  <c r="AC79" i="3" s="1"/>
  <c r="Z89" i="3"/>
  <c r="AC89" i="3" s="1"/>
  <c r="Z78" i="3"/>
  <c r="AC78" i="3" s="1"/>
  <c r="Z92" i="2"/>
  <c r="AC92" i="2" s="1"/>
  <c r="Z86" i="2"/>
  <c r="AC86" i="2" s="1"/>
  <c r="Z82" i="2"/>
  <c r="AC82" i="2" s="1"/>
  <c r="Z76" i="2"/>
  <c r="AC76" i="2" s="1"/>
  <c r="Z75" i="2"/>
  <c r="AC75" i="2" s="1"/>
  <c r="Z74" i="2"/>
  <c r="AC74" i="2" s="1"/>
  <c r="Z85" i="2"/>
  <c r="AC85" i="2" s="1"/>
  <c r="Z83" i="2"/>
  <c r="AC83" i="2" s="1"/>
  <c r="AC71" i="2"/>
  <c r="Z90" i="2"/>
  <c r="AC90" i="2" s="1"/>
  <c r="Z79" i="2"/>
  <c r="AC79" i="2" s="1"/>
  <c r="Z80" i="2"/>
  <c r="AC80" i="2" s="1"/>
  <c r="Z89" i="2"/>
  <c r="AC89" i="2" s="1"/>
  <c r="Z78" i="2"/>
  <c r="AC78" i="2" s="1"/>
  <c r="Z91" i="2"/>
  <c r="AC91" i="2" s="1"/>
  <c r="Z87" i="2"/>
  <c r="AC87" i="2" s="1"/>
  <c r="Z90" i="1"/>
  <c r="AC90" i="1" s="1"/>
  <c r="Z88" i="1"/>
  <c r="AC88" i="1" s="1"/>
  <c r="Z92" i="1"/>
  <c r="AC92" i="1" s="1"/>
  <c r="Z83" i="1"/>
  <c r="AC83" i="1" s="1"/>
  <c r="Z84" i="1"/>
  <c r="AC84" i="1" s="1"/>
  <c r="Z79" i="1"/>
  <c r="AC79" i="1" s="1"/>
  <c r="Z91" i="1"/>
  <c r="AC91" i="1" s="1"/>
  <c r="Z80" i="1"/>
  <c r="AC80" i="1" s="1"/>
  <c r="Z87" i="1"/>
  <c r="AC87" i="1" s="1"/>
  <c r="Z77" i="1"/>
  <c r="AC77" i="1" s="1"/>
  <c r="Z86" i="1"/>
  <c r="AC86" i="1" s="1"/>
  <c r="Z88" i="4"/>
  <c r="AC88" i="4" s="1"/>
  <c r="Z98" i="4"/>
  <c r="AC98" i="4" s="1"/>
  <c r="Z92" i="4"/>
  <c r="AC92" i="4" s="1"/>
  <c r="Z82" i="4"/>
  <c r="AC82" i="4" s="1"/>
  <c r="Z91" i="4"/>
  <c r="AC91" i="4" s="1"/>
  <c r="Z81" i="4"/>
  <c r="AC81" i="4" s="1"/>
  <c r="AC77" i="7"/>
  <c r="Z89" i="4"/>
  <c r="AC89" i="4" s="1"/>
  <c r="Z80" i="4"/>
  <c r="AC80" i="4" s="1"/>
  <c r="Z85" i="4"/>
  <c r="AC85" i="4" s="1"/>
  <c r="Z95" i="4"/>
  <c r="AC95" i="4" s="1"/>
  <c r="Z84" i="4"/>
  <c r="AC84" i="4" s="1"/>
  <c r="Z97" i="4"/>
  <c r="AC97" i="4" s="1"/>
  <c r="Z86" i="4"/>
  <c r="AC86" i="4" s="1"/>
  <c r="Z96" i="4"/>
  <c r="AC96" i="4" s="1"/>
  <c r="AC77" i="4"/>
  <c r="Z93" i="4"/>
  <c r="AC93" i="4" s="1"/>
  <c r="Z23" i="5"/>
  <c r="AC23" i="5" s="1"/>
  <c r="Z47" i="3"/>
  <c r="AC47" i="3" s="1"/>
  <c r="AC36" i="3"/>
  <c r="Z47" i="2"/>
  <c r="AC47" i="2" s="1"/>
  <c r="Z48" i="1"/>
  <c r="AC48" i="1" s="1"/>
  <c r="Z54" i="4"/>
  <c r="AC54" i="4" s="1"/>
  <c r="Z37" i="7"/>
  <c r="AC37" i="7" s="1"/>
  <c r="AC43" i="4"/>
  <c r="Z42" i="7"/>
  <c r="AC42" i="7" s="1"/>
  <c r="Z47" i="7"/>
  <c r="AC47" i="7" s="1"/>
  <c r="Z83" i="7" l="1"/>
  <c r="Z85" i="7"/>
  <c r="Z84" i="7"/>
  <c r="Z86" i="7"/>
  <c r="Z88" i="7"/>
  <c r="Z82" i="7"/>
  <c r="Z91" i="7"/>
  <c r="Z89" i="7"/>
  <c r="Z93" i="7"/>
  <c r="Z92" i="7"/>
  <c r="Z96" i="7"/>
  <c r="Z95" i="7"/>
  <c r="Z79" i="7"/>
  <c r="Z98" i="7"/>
  <c r="Z97" i="7"/>
  <c r="Z81" i="7"/>
  <c r="Z80" i="7"/>
  <c r="Z49" i="7"/>
  <c r="AC49" i="7" s="1"/>
  <c r="V34" i="5"/>
  <c r="V64" i="7"/>
  <c r="V65" i="7"/>
  <c r="V25" i="5" l="1"/>
  <c r="V51" i="7" s="1"/>
  <c r="V52" i="7"/>
  <c r="W28" i="7" l="1"/>
  <c r="V59" i="7" l="1"/>
  <c r="V61" i="7" s="1"/>
  <c r="U59" i="7"/>
  <c r="U61" i="7" s="1"/>
  <c r="V55" i="7"/>
  <c r="V57" i="7" s="1"/>
  <c r="U55" i="7"/>
  <c r="U57" i="7" s="1"/>
  <c r="X36" i="7" l="1"/>
  <c r="X39" i="7"/>
  <c r="X40" i="7"/>
  <c r="X41" i="7"/>
  <c r="X44" i="7"/>
  <c r="X46" i="7"/>
  <c r="X34" i="7"/>
  <c r="X37" i="7" s="1"/>
  <c r="X17" i="5"/>
  <c r="X47" i="7" l="1"/>
  <c r="X42" i="7"/>
  <c r="V14" i="7" l="1"/>
  <c r="V12" i="7"/>
  <c r="V11" i="7"/>
  <c r="V10" i="7"/>
  <c r="W10" i="7"/>
  <c r="W11" i="7"/>
  <c r="W12" i="7"/>
  <c r="W14" i="7"/>
  <c r="X20" i="7"/>
  <c r="AC20" i="7" s="1"/>
  <c r="X21" i="7"/>
  <c r="AC21" i="7" s="1"/>
  <c r="X22" i="7"/>
  <c r="AC22" i="7" s="1"/>
  <c r="X23" i="7"/>
  <c r="AC23" i="7" s="1"/>
  <c r="W79" i="7"/>
  <c r="W80" i="7"/>
  <c r="W81" i="7"/>
  <c r="W82" i="7"/>
  <c r="W83" i="7"/>
  <c r="W84" i="7"/>
  <c r="W85" i="7"/>
  <c r="W86" i="7"/>
  <c r="W88" i="7"/>
  <c r="W89" i="7"/>
  <c r="W91" i="7"/>
  <c r="W92" i="7"/>
  <c r="W93" i="7"/>
  <c r="W95" i="7"/>
  <c r="W96" i="7"/>
  <c r="W97" i="7"/>
  <c r="W98" i="7"/>
  <c r="W101" i="7"/>
  <c r="X101" i="7"/>
  <c r="W102" i="7"/>
  <c r="X102" i="7"/>
  <c r="W103" i="7"/>
  <c r="X103" i="7"/>
  <c r="X12" i="5"/>
  <c r="X22" i="5"/>
  <c r="X47" i="5"/>
  <c r="X23" i="3"/>
  <c r="AC23" i="3" s="1"/>
  <c r="W27" i="3"/>
  <c r="X36" i="3"/>
  <c r="X41" i="3"/>
  <c r="X46" i="3"/>
  <c r="X71" i="3"/>
  <c r="X23" i="2"/>
  <c r="AC23" i="2" s="1"/>
  <c r="W27" i="2"/>
  <c r="X36" i="2"/>
  <c r="X41" i="2"/>
  <c r="X46" i="2"/>
  <c r="X71" i="2"/>
  <c r="X24" i="1"/>
  <c r="AC24" i="1" s="1"/>
  <c r="W28" i="1"/>
  <c r="X37" i="1"/>
  <c r="X42" i="1"/>
  <c r="X47" i="1"/>
  <c r="X72" i="1"/>
  <c r="X30" i="4"/>
  <c r="AC30" i="4" s="1"/>
  <c r="W34" i="4"/>
  <c r="X43" i="4"/>
  <c r="X48" i="4"/>
  <c r="X53" i="4"/>
  <c r="X77" i="4"/>
  <c r="X86" i="4" s="1"/>
  <c r="X97" i="4"/>
  <c r="U10" i="7"/>
  <c r="V30" i="4"/>
  <c r="V24" i="1"/>
  <c r="V23" i="2"/>
  <c r="V23" i="3"/>
  <c r="V23" i="7"/>
  <c r="V22" i="7"/>
  <c r="V21" i="7"/>
  <c r="V20" i="7"/>
  <c r="U101" i="7"/>
  <c r="V101" i="7"/>
  <c r="U102" i="7"/>
  <c r="V102" i="7"/>
  <c r="U103" i="7"/>
  <c r="V103" i="7"/>
  <c r="T57" i="4"/>
  <c r="T25" i="5"/>
  <c r="T50" i="3"/>
  <c r="T50" i="2"/>
  <c r="T51" i="1"/>
  <c r="U98" i="7"/>
  <c r="U97" i="7"/>
  <c r="U96" i="7"/>
  <c r="U95" i="7"/>
  <c r="U93" i="7"/>
  <c r="U92" i="7"/>
  <c r="U91" i="7"/>
  <c r="U89" i="7"/>
  <c r="U88" i="7"/>
  <c r="U86" i="7"/>
  <c r="U85" i="7"/>
  <c r="U84" i="7"/>
  <c r="U83" i="7"/>
  <c r="U82" i="7"/>
  <c r="U81" i="7"/>
  <c r="U80" i="7"/>
  <c r="U79" i="7"/>
  <c r="V47" i="5"/>
  <c r="T59" i="7"/>
  <c r="S59" i="7"/>
  <c r="T55" i="7"/>
  <c r="S55" i="7"/>
  <c r="T64" i="7"/>
  <c r="T65" i="7"/>
  <c r="U11" i="7"/>
  <c r="U12" i="7"/>
  <c r="U14" i="7"/>
  <c r="V34" i="7"/>
  <c r="V36" i="7"/>
  <c r="V39" i="7"/>
  <c r="V40" i="7"/>
  <c r="V41" i="7"/>
  <c r="V44" i="7"/>
  <c r="V46" i="7"/>
  <c r="T36" i="3"/>
  <c r="V36" i="3"/>
  <c r="U34" i="4"/>
  <c r="V43" i="4"/>
  <c r="V48" i="4"/>
  <c r="V53" i="4"/>
  <c r="V77" i="4"/>
  <c r="V79" i="4"/>
  <c r="V92" i="4"/>
  <c r="V95" i="4"/>
  <c r="V96" i="4"/>
  <c r="V97" i="4"/>
  <c r="V98" i="4"/>
  <c r="U28" i="1"/>
  <c r="V37" i="1"/>
  <c r="V42" i="1"/>
  <c r="V47" i="1"/>
  <c r="V72" i="1"/>
  <c r="V92" i="1"/>
  <c r="U27" i="2"/>
  <c r="V36" i="2"/>
  <c r="V41" i="2"/>
  <c r="V46" i="2"/>
  <c r="V71" i="2"/>
  <c r="V85" i="2"/>
  <c r="V90" i="2"/>
  <c r="U27" i="3"/>
  <c r="V41" i="3"/>
  <c r="V46" i="3"/>
  <c r="V71" i="3"/>
  <c r="V79" i="3"/>
  <c r="V82" i="3"/>
  <c r="V85" i="3"/>
  <c r="V87" i="3"/>
  <c r="V90" i="3"/>
  <c r="V92" i="3"/>
  <c r="V12" i="5"/>
  <c r="V17" i="5"/>
  <c r="V22" i="5"/>
  <c r="T10" i="7"/>
  <c r="T20" i="7"/>
  <c r="T21" i="7"/>
  <c r="T22" i="7"/>
  <c r="T23" i="7"/>
  <c r="S92" i="3"/>
  <c r="S91" i="3"/>
  <c r="S90" i="3"/>
  <c r="S89" i="3"/>
  <c r="S87" i="3"/>
  <c r="S86" i="3"/>
  <c r="S85" i="3"/>
  <c r="S83" i="3"/>
  <c r="S82" i="3"/>
  <c r="S80" i="3"/>
  <c r="S79" i="3"/>
  <c r="S78" i="3"/>
  <c r="S77" i="3"/>
  <c r="S76" i="3"/>
  <c r="S75" i="3"/>
  <c r="S74" i="3"/>
  <c r="S73" i="3"/>
  <c r="S89" i="2"/>
  <c r="S87" i="2"/>
  <c r="S85" i="2"/>
  <c r="S82" i="2"/>
  <c r="S73" i="2"/>
  <c r="S92" i="2"/>
  <c r="S91" i="2"/>
  <c r="S90" i="2"/>
  <c r="S86" i="2"/>
  <c r="S83" i="2"/>
  <c r="S80" i="2"/>
  <c r="S79" i="2"/>
  <c r="S78" i="2"/>
  <c r="S77" i="2"/>
  <c r="S76" i="2"/>
  <c r="S75" i="2"/>
  <c r="S74" i="2"/>
  <c r="S90" i="1"/>
  <c r="S88" i="1"/>
  <c r="S87" i="1"/>
  <c r="S86" i="1"/>
  <c r="S84" i="1"/>
  <c r="S83" i="1"/>
  <c r="S81" i="1"/>
  <c r="S79" i="1"/>
  <c r="S78" i="1"/>
  <c r="S74" i="1"/>
  <c r="S75" i="1"/>
  <c r="S93" i="1"/>
  <c r="S92" i="1"/>
  <c r="S91" i="1"/>
  <c r="S80" i="1"/>
  <c r="S77" i="1"/>
  <c r="S76" i="1"/>
  <c r="T71" i="3"/>
  <c r="T91" i="3"/>
  <c r="T89" i="3"/>
  <c r="T86" i="3"/>
  <c r="T83" i="3"/>
  <c r="T80" i="3"/>
  <c r="T78" i="3"/>
  <c r="T76" i="3"/>
  <c r="T74" i="3"/>
  <c r="T71" i="2"/>
  <c r="T89" i="2"/>
  <c r="T83" i="2"/>
  <c r="T78" i="2"/>
  <c r="T74" i="2"/>
  <c r="T72" i="1"/>
  <c r="T92" i="1"/>
  <c r="T90" i="1"/>
  <c r="T87" i="1"/>
  <c r="T84" i="1"/>
  <c r="T81" i="1"/>
  <c r="T79" i="1"/>
  <c r="T77" i="1"/>
  <c r="T75" i="1"/>
  <c r="T77" i="4"/>
  <c r="T95" i="4"/>
  <c r="T89" i="4"/>
  <c r="T84" i="4"/>
  <c r="T80" i="4"/>
  <c r="I10" i="7"/>
  <c r="K10" i="7"/>
  <c r="M10" i="7"/>
  <c r="I11" i="7"/>
  <c r="K11" i="7"/>
  <c r="M11" i="7"/>
  <c r="O11" i="7"/>
  <c r="Q11" i="7"/>
  <c r="O18" i="4"/>
  <c r="L18" i="4"/>
  <c r="Q55" i="7"/>
  <c r="Q57" i="7" s="1"/>
  <c r="R55" i="7"/>
  <c r="R57" i="7" s="1"/>
  <c r="Q59" i="7"/>
  <c r="Q61" i="7" s="1"/>
  <c r="R59" i="7"/>
  <c r="R61" i="7" s="1"/>
  <c r="T22" i="5"/>
  <c r="R22" i="5"/>
  <c r="T17" i="5"/>
  <c r="T23" i="5" s="1"/>
  <c r="T46" i="7"/>
  <c r="T46" i="3"/>
  <c r="T41" i="3"/>
  <c r="T36" i="2"/>
  <c r="T46" i="2"/>
  <c r="T41" i="2"/>
  <c r="T47" i="1"/>
  <c r="T42" i="1"/>
  <c r="T37" i="1"/>
  <c r="T53" i="4"/>
  <c r="T48" i="4"/>
  <c r="T43" i="4"/>
  <c r="R51" i="7"/>
  <c r="R65" i="7"/>
  <c r="R64" i="7"/>
  <c r="S11" i="7"/>
  <c r="T11" i="7"/>
  <c r="S12" i="7"/>
  <c r="T12" i="7"/>
  <c r="S14" i="7"/>
  <c r="T14" i="7"/>
  <c r="T34" i="7"/>
  <c r="T36" i="7"/>
  <c r="T39" i="7"/>
  <c r="T40" i="7"/>
  <c r="T41" i="7"/>
  <c r="T44" i="7"/>
  <c r="S79" i="7"/>
  <c r="S81" i="7"/>
  <c r="S83" i="7"/>
  <c r="S85" i="7"/>
  <c r="S88" i="7"/>
  <c r="S91" i="7"/>
  <c r="S93" i="7"/>
  <c r="S96" i="7"/>
  <c r="S98" i="7"/>
  <c r="S101" i="7"/>
  <c r="T101" i="7"/>
  <c r="S102" i="7"/>
  <c r="T102" i="7"/>
  <c r="S103" i="7"/>
  <c r="T103" i="7"/>
  <c r="T12" i="5"/>
  <c r="T47" i="5"/>
  <c r="R50" i="3"/>
  <c r="S27" i="3"/>
  <c r="T23" i="3"/>
  <c r="R50" i="2"/>
  <c r="S27" i="2"/>
  <c r="S12" i="4"/>
  <c r="T23" i="2"/>
  <c r="R51" i="1"/>
  <c r="S28" i="1"/>
  <c r="T24" i="1"/>
  <c r="R57" i="4"/>
  <c r="R52" i="7" s="1"/>
  <c r="S34" i="4"/>
  <c r="T30" i="4"/>
  <c r="R10" i="7"/>
  <c r="R14" i="7"/>
  <c r="R12" i="7"/>
  <c r="R11" i="7"/>
  <c r="R23" i="3"/>
  <c r="R23" i="7"/>
  <c r="R22" i="7"/>
  <c r="P50" i="3"/>
  <c r="P50" i="2"/>
  <c r="P51" i="1"/>
  <c r="P57" i="4"/>
  <c r="P64" i="7"/>
  <c r="P65" i="7"/>
  <c r="Q80" i="7"/>
  <c r="Q81" i="7"/>
  <c r="Q82" i="7"/>
  <c r="Q83" i="7"/>
  <c r="Q84" i="7"/>
  <c r="Q85" i="7"/>
  <c r="Q86" i="7"/>
  <c r="Q88" i="7"/>
  <c r="Q89" i="7"/>
  <c r="Q91" i="7"/>
  <c r="Q92" i="7"/>
  <c r="Q93" i="7"/>
  <c r="Q95" i="7"/>
  <c r="Q96" i="7"/>
  <c r="Q97" i="7"/>
  <c r="Q98" i="7"/>
  <c r="Q79" i="7"/>
  <c r="H80" i="7"/>
  <c r="H81" i="7"/>
  <c r="H82" i="7"/>
  <c r="H83" i="7"/>
  <c r="H84" i="7"/>
  <c r="H86" i="7"/>
  <c r="H88" i="7"/>
  <c r="H89" i="7"/>
  <c r="H91" i="7"/>
  <c r="H92" i="7"/>
  <c r="H93" i="7"/>
  <c r="H95" i="7"/>
  <c r="H96" i="7"/>
  <c r="H97" i="7"/>
  <c r="H98" i="7"/>
  <c r="Q101" i="7"/>
  <c r="R101" i="7"/>
  <c r="Q102" i="7"/>
  <c r="R102" i="7"/>
  <c r="Q103" i="7"/>
  <c r="R103" i="7"/>
  <c r="O59" i="7"/>
  <c r="O61" i="7" s="1"/>
  <c r="O55" i="7"/>
  <c r="O57" i="7" s="1"/>
  <c r="P59" i="7"/>
  <c r="P61" i="7" s="1"/>
  <c r="P55" i="7"/>
  <c r="P57" i="7" s="1"/>
  <c r="P51" i="7"/>
  <c r="P52" i="7"/>
  <c r="P23" i="3"/>
  <c r="N23" i="3"/>
  <c r="Q27" i="2"/>
  <c r="Q28" i="1"/>
  <c r="N10" i="7"/>
  <c r="J10" i="7"/>
  <c r="P39" i="7"/>
  <c r="P40" i="7"/>
  <c r="P41" i="7"/>
  <c r="P44" i="7"/>
  <c r="J40" i="7"/>
  <c r="L40" i="7"/>
  <c r="N40" i="7"/>
  <c r="R40" i="7"/>
  <c r="R34" i="7"/>
  <c r="R36" i="7"/>
  <c r="R39" i="7"/>
  <c r="R41" i="7"/>
  <c r="R44" i="7"/>
  <c r="R46" i="7"/>
  <c r="Q14" i="7"/>
  <c r="P10" i="7"/>
  <c r="P11" i="7"/>
  <c r="P12" i="7"/>
  <c r="Q12" i="7"/>
  <c r="P14" i="7"/>
  <c r="Q12" i="4"/>
  <c r="Q10" i="7" s="1"/>
  <c r="O12" i="4"/>
  <c r="O10" i="7" s="1"/>
  <c r="A1" i="5"/>
  <c r="A1" i="3"/>
  <c r="A1" i="2"/>
  <c r="A1" i="1"/>
  <c r="R30" i="4"/>
  <c r="R43" i="4"/>
  <c r="R48" i="4"/>
  <c r="R53" i="4"/>
  <c r="R77" i="4"/>
  <c r="R79" i="4" s="1"/>
  <c r="R82" i="4"/>
  <c r="R89" i="4"/>
  <c r="R92" i="4"/>
  <c r="R95" i="4"/>
  <c r="R97" i="4"/>
  <c r="R24" i="1"/>
  <c r="R37" i="1"/>
  <c r="R42" i="1"/>
  <c r="R47" i="1"/>
  <c r="R72" i="1"/>
  <c r="R80" i="1" s="1"/>
  <c r="R74" i="1"/>
  <c r="R23" i="2"/>
  <c r="R41" i="2"/>
  <c r="R46" i="2"/>
  <c r="R47" i="2"/>
  <c r="R71" i="2"/>
  <c r="R78" i="2"/>
  <c r="R82" i="2"/>
  <c r="R85" i="2"/>
  <c r="R87" i="2"/>
  <c r="R90" i="2"/>
  <c r="R92" i="2"/>
  <c r="R36" i="3"/>
  <c r="R47" i="3" s="1"/>
  <c r="R41" i="3"/>
  <c r="R46" i="3"/>
  <c r="R71" i="3"/>
  <c r="R79" i="3"/>
  <c r="R89" i="3"/>
  <c r="R91" i="3"/>
  <c r="R12" i="5"/>
  <c r="R17" i="5"/>
  <c r="R47" i="5"/>
  <c r="L23" i="7"/>
  <c r="J23" i="7"/>
  <c r="H23" i="7"/>
  <c r="P23" i="7"/>
  <c r="N23" i="7"/>
  <c r="J22" i="7"/>
  <c r="H22" i="7"/>
  <c r="H24" i="7" s="1"/>
  <c r="P22" i="7"/>
  <c r="P24" i="7" s="1"/>
  <c r="N22" i="7"/>
  <c r="N24" i="7" s="1"/>
  <c r="P30" i="4"/>
  <c r="P23" i="2"/>
  <c r="P24" i="1"/>
  <c r="E27" i="2"/>
  <c r="G27" i="2"/>
  <c r="I27" i="2"/>
  <c r="K27" i="2"/>
  <c r="M27" i="2"/>
  <c r="O27" i="2"/>
  <c r="L21" i="2"/>
  <c r="L22" i="7" s="1"/>
  <c r="N26" i="5"/>
  <c r="N50" i="3"/>
  <c r="N50" i="2"/>
  <c r="N51" i="1"/>
  <c r="N57" i="4"/>
  <c r="N51" i="7"/>
  <c r="P72" i="7"/>
  <c r="P73" i="7"/>
  <c r="P42" i="4"/>
  <c r="N65" i="7"/>
  <c r="N64" i="7"/>
  <c r="G10" i="7"/>
  <c r="H10" i="7"/>
  <c r="F10" i="7"/>
  <c r="K60" i="7"/>
  <c r="I60" i="7"/>
  <c r="G60" i="7"/>
  <c r="E60" i="7"/>
  <c r="M60" i="7"/>
  <c r="L60" i="7"/>
  <c r="J60" i="7"/>
  <c r="H60" i="7"/>
  <c r="F60" i="7"/>
  <c r="N60" i="7"/>
  <c r="K56" i="7"/>
  <c r="I56" i="7"/>
  <c r="G56" i="7"/>
  <c r="E56" i="7"/>
  <c r="M56" i="7"/>
  <c r="L56" i="7"/>
  <c r="J56" i="7"/>
  <c r="H56" i="7"/>
  <c r="F56" i="7"/>
  <c r="N56" i="7"/>
  <c r="K55" i="7"/>
  <c r="I55" i="7"/>
  <c r="G55" i="7"/>
  <c r="E55" i="7"/>
  <c r="M55" i="7"/>
  <c r="H55" i="7"/>
  <c r="H57" i="7" s="1"/>
  <c r="J55" i="7"/>
  <c r="L55" i="7"/>
  <c r="L57" i="7" s="1"/>
  <c r="N55" i="7"/>
  <c r="G59" i="7"/>
  <c r="H59" i="7"/>
  <c r="I59" i="7"/>
  <c r="J59" i="7"/>
  <c r="K59" i="7"/>
  <c r="K61" i="7" s="1"/>
  <c r="L59" i="7"/>
  <c r="M59" i="7"/>
  <c r="N59" i="7"/>
  <c r="F59" i="7"/>
  <c r="F61" i="7" s="1"/>
  <c r="E59" i="7"/>
  <c r="F55" i="7"/>
  <c r="F57" i="7" s="1"/>
  <c r="C55" i="7"/>
  <c r="C57" i="7" s="1"/>
  <c r="C59" i="7"/>
  <c r="C61" i="7" s="1"/>
  <c r="D55" i="7"/>
  <c r="D57" i="7" s="1"/>
  <c r="D59" i="7"/>
  <c r="D61" i="7" s="1"/>
  <c r="L64" i="7"/>
  <c r="J64" i="7"/>
  <c r="L14" i="7"/>
  <c r="J14" i="7"/>
  <c r="H14" i="7"/>
  <c r="F14" i="7"/>
  <c r="N14" i="7"/>
  <c r="L12" i="7"/>
  <c r="H12" i="7"/>
  <c r="F12" i="7"/>
  <c r="N12" i="7"/>
  <c r="J11" i="7"/>
  <c r="H11" i="7"/>
  <c r="F11" i="7"/>
  <c r="N11" i="7"/>
  <c r="F22" i="7"/>
  <c r="F23" i="7"/>
  <c r="AC12" i="1"/>
  <c r="G11" i="7"/>
  <c r="K101" i="7"/>
  <c r="I101" i="7"/>
  <c r="G101" i="7"/>
  <c r="O101" i="7"/>
  <c r="M81" i="7"/>
  <c r="K81" i="7"/>
  <c r="I81" i="7"/>
  <c r="O81" i="7"/>
  <c r="L65" i="7"/>
  <c r="J51" i="7"/>
  <c r="H51" i="7"/>
  <c r="F51" i="7"/>
  <c r="L103" i="7"/>
  <c r="J103" i="7"/>
  <c r="H103" i="7"/>
  <c r="P103" i="7"/>
  <c r="N103" i="7"/>
  <c r="L102" i="7"/>
  <c r="J102" i="7"/>
  <c r="H102" i="7"/>
  <c r="P102" i="7"/>
  <c r="N102" i="7"/>
  <c r="L101" i="7"/>
  <c r="J101" i="7"/>
  <c r="H101" i="7"/>
  <c r="P101" i="7"/>
  <c r="K98" i="7"/>
  <c r="D73" i="7"/>
  <c r="D76" i="7"/>
  <c r="I98" i="7"/>
  <c r="O98" i="7"/>
  <c r="M98" i="7"/>
  <c r="K97" i="7"/>
  <c r="I97" i="7"/>
  <c r="O97" i="7"/>
  <c r="M97" i="7"/>
  <c r="K96" i="7"/>
  <c r="I96" i="7"/>
  <c r="O96" i="7"/>
  <c r="M96" i="7"/>
  <c r="K95" i="7"/>
  <c r="I95" i="7"/>
  <c r="O95" i="7"/>
  <c r="M95" i="7"/>
  <c r="K93" i="7"/>
  <c r="I93" i="7"/>
  <c r="O93" i="7"/>
  <c r="M93" i="7"/>
  <c r="K92" i="7"/>
  <c r="I92" i="7"/>
  <c r="O92" i="7"/>
  <c r="M92" i="7"/>
  <c r="K91" i="7"/>
  <c r="I91" i="7"/>
  <c r="O91" i="7"/>
  <c r="M91" i="7"/>
  <c r="K89" i="7"/>
  <c r="I89" i="7"/>
  <c r="O89" i="7"/>
  <c r="M89" i="7"/>
  <c r="K88" i="7"/>
  <c r="I88" i="7"/>
  <c r="O88" i="7"/>
  <c r="M88" i="7"/>
  <c r="K86" i="7"/>
  <c r="I86" i="7"/>
  <c r="O86" i="7"/>
  <c r="M86" i="7"/>
  <c r="K84" i="7"/>
  <c r="I84" i="7"/>
  <c r="O84" i="7"/>
  <c r="M84" i="7"/>
  <c r="K83" i="7"/>
  <c r="I83" i="7"/>
  <c r="O83" i="7"/>
  <c r="M83" i="7"/>
  <c r="K82" i="7"/>
  <c r="I82" i="7"/>
  <c r="O82" i="7"/>
  <c r="M82" i="7"/>
  <c r="K80" i="7"/>
  <c r="I80" i="7"/>
  <c r="O80" i="7"/>
  <c r="M80" i="7"/>
  <c r="K79" i="7"/>
  <c r="L72" i="7"/>
  <c r="L73" i="7"/>
  <c r="L75" i="7"/>
  <c r="L76" i="7"/>
  <c r="I79" i="7"/>
  <c r="J72" i="7"/>
  <c r="J73" i="7"/>
  <c r="J75" i="7"/>
  <c r="J76" i="7"/>
  <c r="H79" i="7"/>
  <c r="O79" i="7"/>
  <c r="P75" i="7"/>
  <c r="P76" i="7"/>
  <c r="M79" i="7"/>
  <c r="N72" i="7"/>
  <c r="N73" i="7"/>
  <c r="N75" i="7"/>
  <c r="N76" i="7"/>
  <c r="L34" i="7"/>
  <c r="L36" i="7"/>
  <c r="L39" i="7"/>
  <c r="J34" i="7"/>
  <c r="J36" i="7"/>
  <c r="J39" i="7"/>
  <c r="H34" i="7"/>
  <c r="H36" i="7"/>
  <c r="H39" i="7"/>
  <c r="P34" i="7"/>
  <c r="P36" i="7"/>
  <c r="P46" i="7"/>
  <c r="P47" i="7" s="1"/>
  <c r="N34" i="7"/>
  <c r="N39" i="7"/>
  <c r="N41" i="7"/>
  <c r="N44" i="7"/>
  <c r="N46" i="7"/>
  <c r="M103" i="7"/>
  <c r="K103" i="7"/>
  <c r="I103" i="7"/>
  <c r="G103" i="7"/>
  <c r="O103" i="7"/>
  <c r="M102" i="7"/>
  <c r="K102" i="7"/>
  <c r="I102" i="7"/>
  <c r="G102" i="7"/>
  <c r="O102" i="7"/>
  <c r="O12" i="7"/>
  <c r="M12" i="7"/>
  <c r="K12" i="7"/>
  <c r="I12" i="7"/>
  <c r="G12" i="7"/>
  <c r="P47" i="5"/>
  <c r="P17" i="5"/>
  <c r="P22" i="5"/>
  <c r="P71" i="3"/>
  <c r="P92" i="3" s="1"/>
  <c r="P36" i="3"/>
  <c r="P41" i="3"/>
  <c r="P46" i="3"/>
  <c r="P71" i="2"/>
  <c r="P92" i="2" s="1"/>
  <c r="P86" i="2"/>
  <c r="P75" i="2"/>
  <c r="P41" i="2"/>
  <c r="P46" i="2"/>
  <c r="P47" i="2" s="1"/>
  <c r="L23" i="2"/>
  <c r="P72" i="1"/>
  <c r="P92" i="1" s="1"/>
  <c r="P90" i="1"/>
  <c r="P84" i="1"/>
  <c r="P78" i="1"/>
  <c r="P74" i="1"/>
  <c r="P37" i="1"/>
  <c r="P48" i="1" s="1"/>
  <c r="P42" i="1"/>
  <c r="P47" i="1"/>
  <c r="AB12" i="1"/>
  <c r="P77" i="4"/>
  <c r="P98" i="4" s="1"/>
  <c r="P97" i="4"/>
  <c r="P86" i="4"/>
  <c r="P43" i="4"/>
  <c r="P54" i="4" s="1"/>
  <c r="P48" i="4"/>
  <c r="P53" i="4"/>
  <c r="N48" i="4"/>
  <c r="N53" i="4"/>
  <c r="P12" i="5"/>
  <c r="O27" i="3"/>
  <c r="O28" i="1"/>
  <c r="O34" i="4"/>
  <c r="H30" i="4"/>
  <c r="E10" i="7"/>
  <c r="C11" i="7"/>
  <c r="C10" i="7"/>
  <c r="F103" i="7"/>
  <c r="E103" i="7"/>
  <c r="F102" i="7"/>
  <c r="E102" i="7"/>
  <c r="F101" i="7"/>
  <c r="E101" i="7"/>
  <c r="E98" i="7"/>
  <c r="E97" i="7"/>
  <c r="E96" i="7"/>
  <c r="E95" i="7"/>
  <c r="E93" i="7"/>
  <c r="E92" i="7"/>
  <c r="E91" i="7"/>
  <c r="E89" i="7"/>
  <c r="E88" i="7"/>
  <c r="E86" i="7"/>
  <c r="E84" i="7"/>
  <c r="E83" i="7"/>
  <c r="E82" i="7"/>
  <c r="E81" i="7"/>
  <c r="E80" i="7"/>
  <c r="E79" i="7"/>
  <c r="F72" i="7"/>
  <c r="F73" i="7"/>
  <c r="F75" i="7"/>
  <c r="F76" i="7"/>
  <c r="D65" i="7"/>
  <c r="D51" i="7"/>
  <c r="F34" i="7"/>
  <c r="F36" i="7"/>
  <c r="F39" i="7"/>
  <c r="F41" i="7"/>
  <c r="D22" i="7"/>
  <c r="D23" i="7"/>
  <c r="D12" i="7"/>
  <c r="D14" i="7"/>
  <c r="D11" i="7"/>
  <c r="E11" i="7"/>
  <c r="N95" i="2"/>
  <c r="M95" i="2"/>
  <c r="C102" i="7"/>
  <c r="D102" i="7"/>
  <c r="C103" i="7"/>
  <c r="D103" i="7"/>
  <c r="D101" i="7"/>
  <c r="C101" i="7"/>
  <c r="M28" i="7"/>
  <c r="K28" i="7"/>
  <c r="G28" i="7"/>
  <c r="E28" i="7"/>
  <c r="C28" i="7"/>
  <c r="M27" i="3"/>
  <c r="K27" i="3"/>
  <c r="I27" i="3"/>
  <c r="G27" i="3"/>
  <c r="E27" i="3"/>
  <c r="C27" i="3"/>
  <c r="C27" i="2"/>
  <c r="M28" i="1"/>
  <c r="K28" i="1"/>
  <c r="I28" i="1"/>
  <c r="G28" i="1"/>
  <c r="E28" i="1"/>
  <c r="C28" i="1"/>
  <c r="M34" i="4"/>
  <c r="E34" i="4"/>
  <c r="C34" i="4"/>
  <c r="L26" i="5"/>
  <c r="L50" i="3"/>
  <c r="L50" i="2"/>
  <c r="L51" i="1"/>
  <c r="L57" i="4"/>
  <c r="L52" i="7" s="1"/>
  <c r="L25" i="5"/>
  <c r="L49" i="3"/>
  <c r="L49" i="2"/>
  <c r="L50" i="1"/>
  <c r="L56" i="4"/>
  <c r="N42" i="4"/>
  <c r="N36" i="7"/>
  <c r="D67" i="1"/>
  <c r="D72" i="1"/>
  <c r="D75" i="1" s="1"/>
  <c r="D66" i="3"/>
  <c r="D72" i="7"/>
  <c r="D69" i="3"/>
  <c r="D75" i="7"/>
  <c r="N47" i="5"/>
  <c r="N17" i="5"/>
  <c r="N22" i="5"/>
  <c r="N23" i="5"/>
  <c r="N12" i="5"/>
  <c r="N77" i="4"/>
  <c r="N98" i="4" s="1"/>
  <c r="N86" i="4"/>
  <c r="N43" i="4"/>
  <c r="N54" i="4" s="1"/>
  <c r="N72" i="1"/>
  <c r="N93" i="1" s="1"/>
  <c r="N84" i="1"/>
  <c r="N37" i="1"/>
  <c r="N42" i="1"/>
  <c r="N47" i="1"/>
  <c r="N71" i="2"/>
  <c r="N92" i="2" s="1"/>
  <c r="N41" i="2"/>
  <c r="N46" i="2"/>
  <c r="N47" i="2"/>
  <c r="N71" i="3"/>
  <c r="N92" i="3"/>
  <c r="N91" i="3"/>
  <c r="N89" i="3"/>
  <c r="N86" i="3"/>
  <c r="N83" i="3"/>
  <c r="N80" i="3"/>
  <c r="N77" i="3"/>
  <c r="N75" i="3"/>
  <c r="N73" i="3"/>
  <c r="N36" i="3"/>
  <c r="N41" i="3"/>
  <c r="N46" i="3"/>
  <c r="N47" i="3"/>
  <c r="L13" i="2"/>
  <c r="L11" i="7"/>
  <c r="L12" i="2"/>
  <c r="L47" i="5"/>
  <c r="H50" i="2"/>
  <c r="H51" i="1"/>
  <c r="H57" i="4"/>
  <c r="H52" i="7"/>
  <c r="J57" i="4"/>
  <c r="J52" i="7"/>
  <c r="H50" i="3"/>
  <c r="D12" i="2"/>
  <c r="D10" i="7" s="1"/>
  <c r="H64" i="4"/>
  <c r="F64" i="4"/>
  <c r="F64" i="7" s="1"/>
  <c r="D64" i="4"/>
  <c r="D64" i="7" s="1"/>
  <c r="L47" i="4"/>
  <c r="L41" i="7" s="1"/>
  <c r="L50" i="4"/>
  <c r="L44" i="7" s="1"/>
  <c r="L52" i="4"/>
  <c r="J47" i="4"/>
  <c r="J41" i="7" s="1"/>
  <c r="J50" i="4"/>
  <c r="J53" i="4" s="1"/>
  <c r="J54" i="4" s="1"/>
  <c r="J52" i="4"/>
  <c r="J46" i="7"/>
  <c r="H47" i="4"/>
  <c r="H41" i="7"/>
  <c r="H50" i="4"/>
  <c r="H44" i="7"/>
  <c r="H52" i="4"/>
  <c r="H46" i="7"/>
  <c r="F50" i="4"/>
  <c r="F44" i="7"/>
  <c r="F52" i="4"/>
  <c r="F46" i="7"/>
  <c r="D34" i="7"/>
  <c r="D36" i="7"/>
  <c r="D39" i="7"/>
  <c r="D41" i="7"/>
  <c r="D50" i="4"/>
  <c r="D44" i="7"/>
  <c r="D46" i="7"/>
  <c r="L17" i="5"/>
  <c r="L22" i="5"/>
  <c r="L12" i="5"/>
  <c r="F43" i="4"/>
  <c r="D43" i="4"/>
  <c r="D54" i="4" s="1"/>
  <c r="L43" i="4"/>
  <c r="J43" i="4"/>
  <c r="L72" i="1"/>
  <c r="L90" i="1"/>
  <c r="L84" i="1"/>
  <c r="L74" i="1"/>
  <c r="L37" i="1"/>
  <c r="L42" i="1"/>
  <c r="L48" i="1" s="1"/>
  <c r="L47" i="1"/>
  <c r="L24" i="1"/>
  <c r="L71" i="3"/>
  <c r="L89" i="3"/>
  <c r="L83" i="3"/>
  <c r="L73" i="3"/>
  <c r="L36" i="3"/>
  <c r="L41" i="3"/>
  <c r="L46" i="3"/>
  <c r="L23" i="3"/>
  <c r="L71" i="2"/>
  <c r="L89" i="2"/>
  <c r="L83" i="2"/>
  <c r="L73" i="2"/>
  <c r="L41" i="2"/>
  <c r="L46" i="2"/>
  <c r="L47" i="2" s="1"/>
  <c r="L77" i="4"/>
  <c r="L97" i="4"/>
  <c r="L95" i="4"/>
  <c r="L92" i="4"/>
  <c r="L89" i="4"/>
  <c r="L86" i="4"/>
  <c r="L83" i="4"/>
  <c r="L81" i="4"/>
  <c r="L79" i="4"/>
  <c r="L30" i="4"/>
  <c r="J47" i="5"/>
  <c r="J72" i="1"/>
  <c r="J74" i="1" s="1"/>
  <c r="J71" i="3"/>
  <c r="J71" i="2"/>
  <c r="J91" i="2" s="1"/>
  <c r="J77" i="4"/>
  <c r="J98" i="4" s="1"/>
  <c r="J17" i="5"/>
  <c r="J22" i="5"/>
  <c r="J23" i="5"/>
  <c r="J12" i="5"/>
  <c r="J75" i="1"/>
  <c r="J37" i="1"/>
  <c r="J42" i="1"/>
  <c r="J48" i="1" s="1"/>
  <c r="J47" i="1"/>
  <c r="J24" i="1"/>
  <c r="J91" i="3"/>
  <c r="J89" i="3"/>
  <c r="J86" i="3"/>
  <c r="J83" i="3"/>
  <c r="J80" i="3"/>
  <c r="J77" i="3"/>
  <c r="J75" i="3"/>
  <c r="J73" i="3"/>
  <c r="J36" i="3"/>
  <c r="J41" i="3"/>
  <c r="J46" i="3"/>
  <c r="J47" i="3"/>
  <c r="J23" i="3"/>
  <c r="J92" i="2"/>
  <c r="J41" i="2"/>
  <c r="J46" i="2"/>
  <c r="J47" i="2"/>
  <c r="J23" i="2"/>
  <c r="J96" i="4"/>
  <c r="J84" i="4"/>
  <c r="J48" i="4"/>
  <c r="J30" i="4"/>
  <c r="H23" i="3"/>
  <c r="H24" i="1"/>
  <c r="H23" i="2"/>
  <c r="H93" i="1"/>
  <c r="H92" i="1"/>
  <c r="H91" i="1"/>
  <c r="H90" i="1"/>
  <c r="H88" i="1"/>
  <c r="H87" i="1"/>
  <c r="H86" i="1"/>
  <c r="H84" i="1"/>
  <c r="H83" i="1"/>
  <c r="H81" i="1"/>
  <c r="H79" i="1"/>
  <c r="H78" i="1"/>
  <c r="H77" i="1"/>
  <c r="H76" i="1"/>
  <c r="H75" i="1"/>
  <c r="H74" i="1"/>
  <c r="H92" i="3"/>
  <c r="H91" i="3"/>
  <c r="H90" i="3"/>
  <c r="H89" i="3"/>
  <c r="H87" i="3"/>
  <c r="H86" i="3"/>
  <c r="H85" i="3"/>
  <c r="H83" i="3"/>
  <c r="H82" i="3"/>
  <c r="H80" i="3"/>
  <c r="H78" i="3"/>
  <c r="H77" i="3"/>
  <c r="H76" i="3"/>
  <c r="H75" i="3"/>
  <c r="H74" i="3"/>
  <c r="H73" i="3"/>
  <c r="H92" i="2"/>
  <c r="H91" i="2"/>
  <c r="H90" i="2"/>
  <c r="H89" i="2"/>
  <c r="H87" i="2"/>
  <c r="H86" i="2"/>
  <c r="H85" i="2"/>
  <c r="H83" i="2"/>
  <c r="H82" i="2"/>
  <c r="H80" i="2"/>
  <c r="H78" i="2"/>
  <c r="H77" i="2"/>
  <c r="H76" i="2"/>
  <c r="H75" i="2"/>
  <c r="H74" i="2"/>
  <c r="H73" i="2"/>
  <c r="H98" i="4"/>
  <c r="H97" i="4"/>
  <c r="H96" i="4"/>
  <c r="H95" i="4"/>
  <c r="H93" i="4"/>
  <c r="H92" i="4"/>
  <c r="H91" i="4"/>
  <c r="H89" i="4"/>
  <c r="H88" i="4"/>
  <c r="H86" i="4"/>
  <c r="H84" i="4"/>
  <c r="H83" i="4"/>
  <c r="H82" i="4"/>
  <c r="H81" i="4"/>
  <c r="H80" i="4"/>
  <c r="H79" i="4"/>
  <c r="F50" i="2"/>
  <c r="F52" i="7"/>
  <c r="H46" i="2"/>
  <c r="H41" i="2"/>
  <c r="H47" i="2" s="1"/>
  <c r="H22" i="5"/>
  <c r="H17" i="5"/>
  <c r="H23" i="5" s="1"/>
  <c r="H36" i="3"/>
  <c r="H41" i="3"/>
  <c r="H46" i="3"/>
  <c r="H47" i="3" s="1"/>
  <c r="H37" i="1"/>
  <c r="H42" i="1"/>
  <c r="H47" i="1"/>
  <c r="H53" i="4"/>
  <c r="H48" i="4"/>
  <c r="H43" i="4"/>
  <c r="H54" i="4" s="1"/>
  <c r="H12" i="5"/>
  <c r="F72" i="1"/>
  <c r="F93" i="1" s="1"/>
  <c r="F76" i="1"/>
  <c r="D51" i="1"/>
  <c r="F24" i="1"/>
  <c r="F37" i="1"/>
  <c r="F42" i="1"/>
  <c r="F48" i="1" s="1"/>
  <c r="F47" i="1"/>
  <c r="D42" i="1"/>
  <c r="D47" i="1"/>
  <c r="D37" i="1"/>
  <c r="D48" i="1" s="1"/>
  <c r="D24" i="1"/>
  <c r="F71" i="3"/>
  <c r="F92" i="3" s="1"/>
  <c r="F91" i="3"/>
  <c r="F86" i="3"/>
  <c r="F80" i="3"/>
  <c r="F75" i="3"/>
  <c r="D71" i="3"/>
  <c r="D78" i="3" s="1"/>
  <c r="D50" i="3"/>
  <c r="F23" i="3"/>
  <c r="D90" i="3"/>
  <c r="F36" i="3"/>
  <c r="F41" i="3"/>
  <c r="F46" i="3"/>
  <c r="D41" i="3"/>
  <c r="D46" i="3"/>
  <c r="D36" i="3"/>
  <c r="D47" i="3" s="1"/>
  <c r="D23" i="3"/>
  <c r="E16" i="4"/>
  <c r="E12" i="7" s="1"/>
  <c r="F77" i="4"/>
  <c r="F80" i="4" s="1"/>
  <c r="D77" i="4"/>
  <c r="D83" i="4" s="1"/>
  <c r="F30" i="4"/>
  <c r="F48" i="4"/>
  <c r="F53" i="4"/>
  <c r="F54" i="4" s="1"/>
  <c r="D48" i="4"/>
  <c r="D53" i="4"/>
  <c r="D30" i="4"/>
  <c r="F71" i="2"/>
  <c r="F91" i="2"/>
  <c r="F80" i="2"/>
  <c r="F75" i="2"/>
  <c r="D71" i="2"/>
  <c r="D73" i="2"/>
  <c r="D50" i="2"/>
  <c r="D52" i="7"/>
  <c r="F23" i="2"/>
  <c r="D78" i="2"/>
  <c r="D90" i="2"/>
  <c r="F41" i="2"/>
  <c r="F46" i="2"/>
  <c r="F36" i="2"/>
  <c r="F47" i="2" s="1"/>
  <c r="D41" i="2"/>
  <c r="D46" i="2"/>
  <c r="D36" i="2"/>
  <c r="D23" i="2"/>
  <c r="D26" i="5"/>
  <c r="F17" i="5"/>
  <c r="F22" i="5"/>
  <c r="F12" i="5"/>
  <c r="F23" i="5" s="1"/>
  <c r="D17" i="5"/>
  <c r="D22" i="5"/>
  <c r="D12" i="5"/>
  <c r="F47" i="5"/>
  <c r="D47" i="5"/>
  <c r="C79" i="7"/>
  <c r="C80" i="7"/>
  <c r="C81" i="7"/>
  <c r="C82" i="7"/>
  <c r="C83" i="7"/>
  <c r="C84" i="7"/>
  <c r="C86" i="7"/>
  <c r="C88" i="7"/>
  <c r="C89" i="7"/>
  <c r="C91" i="7"/>
  <c r="C92" i="7"/>
  <c r="C93" i="7"/>
  <c r="C95" i="7"/>
  <c r="C96" i="7"/>
  <c r="C97" i="7"/>
  <c r="C98" i="7"/>
  <c r="R54" i="4"/>
  <c r="R92" i="1"/>
  <c r="R81" i="1"/>
  <c r="R80" i="3"/>
  <c r="R75" i="3"/>
  <c r="R23" i="5"/>
  <c r="D86" i="2"/>
  <c r="D80" i="2"/>
  <c r="D75" i="2"/>
  <c r="D95" i="4"/>
  <c r="D79" i="4"/>
  <c r="D82" i="4"/>
  <c r="D88" i="4"/>
  <c r="D93" i="4"/>
  <c r="D98" i="4"/>
  <c r="D91" i="3"/>
  <c r="D80" i="3"/>
  <c r="D75" i="3"/>
  <c r="F75" i="1"/>
  <c r="F79" i="1"/>
  <c r="F86" i="1"/>
  <c r="F91" i="1"/>
  <c r="J76" i="1"/>
  <c r="J81" i="1"/>
  <c r="J87" i="1"/>
  <c r="L93" i="1"/>
  <c r="L91" i="1"/>
  <c r="L46" i="7"/>
  <c r="J12" i="7"/>
  <c r="N74" i="3"/>
  <c r="N76" i="3"/>
  <c r="N78" i="3"/>
  <c r="N82" i="3"/>
  <c r="N85" i="3"/>
  <c r="N87" i="3"/>
  <c r="N90" i="3"/>
  <c r="N76" i="2"/>
  <c r="N82" i="2"/>
  <c r="N87" i="2"/>
  <c r="L51" i="7"/>
  <c r="P74" i="3"/>
  <c r="P76" i="3"/>
  <c r="P78" i="3"/>
  <c r="P82" i="3"/>
  <c r="P85" i="3"/>
  <c r="P87" i="3"/>
  <c r="P90" i="3"/>
  <c r="R48" i="1"/>
  <c r="F88" i="1"/>
  <c r="F83" i="1"/>
  <c r="F77" i="1"/>
  <c r="R78" i="1"/>
  <c r="R90" i="1"/>
  <c r="F81" i="1"/>
  <c r="F92" i="1"/>
  <c r="N48" i="1"/>
  <c r="N76" i="1"/>
  <c r="N81" i="1"/>
  <c r="N87" i="1"/>
  <c r="N92" i="1"/>
  <c r="P75" i="1"/>
  <c r="P77" i="1"/>
  <c r="P79" i="1"/>
  <c r="P83" i="1"/>
  <c r="P86" i="1"/>
  <c r="P88" i="1"/>
  <c r="P91" i="1"/>
  <c r="P93" i="1"/>
  <c r="R88" i="1"/>
  <c r="F87" i="1"/>
  <c r="N90" i="1"/>
  <c r="F84" i="4"/>
  <c r="F96" i="4"/>
  <c r="F74" i="1"/>
  <c r="F78" i="1"/>
  <c r="F84" i="1"/>
  <c r="F90" i="1"/>
  <c r="J83" i="1"/>
  <c r="J93" i="1"/>
  <c r="L75" i="1"/>
  <c r="L77" i="1"/>
  <c r="L79" i="1"/>
  <c r="L83" i="1"/>
  <c r="L86" i="1"/>
  <c r="L88" i="1"/>
  <c r="N75" i="1"/>
  <c r="N77" i="1"/>
  <c r="N79" i="1"/>
  <c r="N83" i="1"/>
  <c r="N86" i="1"/>
  <c r="N88" i="1"/>
  <c r="N91" i="1"/>
  <c r="R86" i="1"/>
  <c r="J24" i="7"/>
  <c r="R83" i="3"/>
  <c r="R86" i="3"/>
  <c r="R78" i="3"/>
  <c r="R74" i="3"/>
  <c r="R77" i="3"/>
  <c r="R92" i="3"/>
  <c r="R90" i="3"/>
  <c r="R87" i="3"/>
  <c r="R85" i="3"/>
  <c r="R82" i="3"/>
  <c r="R76" i="3"/>
  <c r="R73" i="3"/>
  <c r="R76" i="2"/>
  <c r="R74" i="2"/>
  <c r="R91" i="2"/>
  <c r="R89" i="2"/>
  <c r="R86" i="2"/>
  <c r="R83" i="2"/>
  <c r="R80" i="2"/>
  <c r="R77" i="2"/>
  <c r="R75" i="2"/>
  <c r="R73" i="2"/>
  <c r="R79" i="2"/>
  <c r="R79" i="1"/>
  <c r="R91" i="1"/>
  <c r="R77" i="1"/>
  <c r="R84" i="1"/>
  <c r="R76" i="1"/>
  <c r="R87" i="1"/>
  <c r="R75" i="1"/>
  <c r="R83" i="1"/>
  <c r="R93" i="1"/>
  <c r="R81" i="4"/>
  <c r="R80" i="4"/>
  <c r="D76" i="3"/>
  <c r="D87" i="3"/>
  <c r="J92" i="1"/>
  <c r="J79" i="1"/>
  <c r="L92" i="2"/>
  <c r="L90" i="2"/>
  <c r="L87" i="2"/>
  <c r="L85" i="2"/>
  <c r="L82" i="2"/>
  <c r="L78" i="2"/>
  <c r="L76" i="2"/>
  <c r="L74" i="2"/>
  <c r="L47" i="3"/>
  <c r="L92" i="3"/>
  <c r="L90" i="3"/>
  <c r="L87" i="3"/>
  <c r="L85" i="3"/>
  <c r="L82" i="3"/>
  <c r="L78" i="3"/>
  <c r="L76" i="3"/>
  <c r="L74" i="3"/>
  <c r="D83" i="3"/>
  <c r="D77" i="2"/>
  <c r="D83" i="2"/>
  <c r="D89" i="2"/>
  <c r="D91" i="2"/>
  <c r="D87" i="2"/>
  <c r="D82" i="2"/>
  <c r="D76" i="2"/>
  <c r="D85" i="3"/>
  <c r="J86" i="1"/>
  <c r="J97" i="4"/>
  <c r="J95" i="4"/>
  <c r="J92" i="4"/>
  <c r="J89" i="4"/>
  <c r="J86" i="4"/>
  <c r="J83" i="4"/>
  <c r="J81" i="4"/>
  <c r="J79" i="4"/>
  <c r="J92" i="3"/>
  <c r="J90" i="3"/>
  <c r="J87" i="3"/>
  <c r="J85" i="3"/>
  <c r="J82" i="3"/>
  <c r="J78" i="3"/>
  <c r="J76" i="3"/>
  <c r="J74" i="3"/>
  <c r="L98" i="4"/>
  <c r="L96" i="4"/>
  <c r="L93" i="4"/>
  <c r="L91" i="4"/>
  <c r="L88" i="4"/>
  <c r="L84" i="4"/>
  <c r="L82" i="4"/>
  <c r="L80" i="4"/>
  <c r="L75" i="2"/>
  <c r="L80" i="2"/>
  <c r="L86" i="2"/>
  <c r="L91" i="2"/>
  <c r="L75" i="3"/>
  <c r="L80" i="3"/>
  <c r="L86" i="3"/>
  <c r="L91" i="3"/>
  <c r="L92" i="1"/>
  <c r="L87" i="1"/>
  <c r="L81" i="1"/>
  <c r="L76" i="1"/>
  <c r="L23" i="5"/>
  <c r="R89" i="7"/>
  <c r="L48" i="4"/>
  <c r="H64" i="7"/>
  <c r="L10" i="7"/>
  <c r="N77" i="2"/>
  <c r="N89" i="2"/>
  <c r="N78" i="1"/>
  <c r="P80" i="4"/>
  <c r="P84" i="4"/>
  <c r="P91" i="4"/>
  <c r="P96" i="4"/>
  <c r="P76" i="2"/>
  <c r="P82" i="2"/>
  <c r="P87" i="2"/>
  <c r="R85" i="4"/>
  <c r="T47" i="3"/>
  <c r="T47" i="2"/>
  <c r="T48" i="1"/>
  <c r="T54" i="4"/>
  <c r="D81" i="4"/>
  <c r="F83" i="4"/>
  <c r="P79" i="4"/>
  <c r="P89" i="4"/>
  <c r="F74" i="2"/>
  <c r="F76" i="2"/>
  <c r="F78" i="2"/>
  <c r="F82" i="2"/>
  <c r="F85" i="2"/>
  <c r="F87" i="2"/>
  <c r="F90" i="2"/>
  <c r="D86" i="4"/>
  <c r="J73" i="2"/>
  <c r="J77" i="2"/>
  <c r="J83" i="2"/>
  <c r="J89" i="2"/>
  <c r="L77" i="2"/>
  <c r="L77" i="3"/>
  <c r="L78" i="1"/>
  <c r="N75" i="2"/>
  <c r="N80" i="4"/>
  <c r="N84" i="4"/>
  <c r="N91" i="4"/>
  <c r="N96" i="4"/>
  <c r="R86" i="4"/>
  <c r="R83" i="4"/>
  <c r="D86" i="1"/>
  <c r="D93" i="1"/>
  <c r="D87" i="1"/>
  <c r="D76" i="1"/>
  <c r="D79" i="1"/>
  <c r="D88" i="1"/>
  <c r="D90" i="1"/>
  <c r="D78" i="1"/>
  <c r="D92" i="2"/>
  <c r="D85" i="2"/>
  <c r="D74" i="2"/>
  <c r="F73" i="2"/>
  <c r="F77" i="2"/>
  <c r="F83" i="2"/>
  <c r="F89" i="2"/>
  <c r="F74" i="3"/>
  <c r="F78" i="3"/>
  <c r="F85" i="3"/>
  <c r="F90" i="3"/>
  <c r="J78" i="2"/>
  <c r="J90" i="2"/>
  <c r="N74" i="1"/>
  <c r="V54" i="4"/>
  <c r="V76" i="3"/>
  <c r="V74" i="3"/>
  <c r="V77" i="3"/>
  <c r="V75" i="3"/>
  <c r="V73" i="3"/>
  <c r="V79" i="2"/>
  <c r="V82" i="2"/>
  <c r="V76" i="2"/>
  <c r="V91" i="2"/>
  <c r="V89" i="2"/>
  <c r="V86" i="2"/>
  <c r="V83" i="2"/>
  <c r="V80" i="2"/>
  <c r="V78" i="2"/>
  <c r="V74" i="2"/>
  <c r="V77" i="2"/>
  <c r="V75" i="2"/>
  <c r="V93" i="4"/>
  <c r="V86" i="4"/>
  <c r="V89" i="4"/>
  <c r="V82" i="4"/>
  <c r="V84" i="4"/>
  <c r="V80" i="4"/>
  <c r="V91" i="4"/>
  <c r="V88" i="4"/>
  <c r="V85" i="4"/>
  <c r="V83" i="4"/>
  <c r="V87" i="1"/>
  <c r="V81" i="1"/>
  <c r="V75" i="1"/>
  <c r="V91" i="1"/>
  <c r="V86" i="1"/>
  <c r="V80" i="1"/>
  <c r="V76" i="1"/>
  <c r="F86" i="4"/>
  <c r="F89" i="4"/>
  <c r="D92" i="4"/>
  <c r="F88" i="4"/>
  <c r="D96" i="4"/>
  <c r="D91" i="4"/>
  <c r="D84" i="4"/>
  <c r="D80" i="4"/>
  <c r="D89" i="4"/>
  <c r="D97" i="4"/>
  <c r="F97" i="4"/>
  <c r="J82" i="4"/>
  <c r="J88" i="4"/>
  <c r="J93" i="4"/>
  <c r="N89" i="4"/>
  <c r="V81" i="4"/>
  <c r="R84" i="4"/>
  <c r="L54" i="4" l="1"/>
  <c r="T98" i="4"/>
  <c r="T96" i="4"/>
  <c r="T93" i="4"/>
  <c r="T91" i="4"/>
  <c r="T88" i="4"/>
  <c r="T85" i="4"/>
  <c r="T83" i="4"/>
  <c r="T81" i="4"/>
  <c r="T79" i="4"/>
  <c r="T92" i="2"/>
  <c r="T90" i="2"/>
  <c r="T87" i="2"/>
  <c r="T82" i="2"/>
  <c r="T79" i="2"/>
  <c r="T77" i="2"/>
  <c r="T75" i="2"/>
  <c r="V47" i="2"/>
  <c r="V74" i="1"/>
  <c r="V90" i="1"/>
  <c r="V47" i="3"/>
  <c r="S61" i="7"/>
  <c r="T52" i="7"/>
  <c r="T51" i="7"/>
  <c r="N95" i="4"/>
  <c r="F82" i="4"/>
  <c r="F93" i="4"/>
  <c r="F79" i="4"/>
  <c r="F81" i="4"/>
  <c r="F98" i="4"/>
  <c r="V78" i="1"/>
  <c r="V83" i="1"/>
  <c r="V88" i="1"/>
  <c r="V93" i="1"/>
  <c r="V77" i="1"/>
  <c r="V79" i="1"/>
  <c r="V48" i="1"/>
  <c r="J44" i="7"/>
  <c r="J47" i="7" s="1"/>
  <c r="J85" i="2"/>
  <c r="J74" i="2"/>
  <c r="F87" i="3"/>
  <c r="F82" i="3"/>
  <c r="F76" i="3"/>
  <c r="D84" i="1"/>
  <c r="D91" i="1"/>
  <c r="D77" i="1"/>
  <c r="D74" i="1"/>
  <c r="D81" i="1"/>
  <c r="D92" i="1"/>
  <c r="D83" i="1"/>
  <c r="N93" i="4"/>
  <c r="N88" i="4"/>
  <c r="N82" i="4"/>
  <c r="N86" i="2"/>
  <c r="J86" i="2"/>
  <c r="J80" i="2"/>
  <c r="J75" i="2"/>
  <c r="F92" i="4"/>
  <c r="P95" i="4"/>
  <c r="P83" i="4"/>
  <c r="F95" i="4"/>
  <c r="P90" i="2"/>
  <c r="P85" i="2"/>
  <c r="P78" i="2"/>
  <c r="P74" i="2"/>
  <c r="P93" i="4"/>
  <c r="P88" i="4"/>
  <c r="P82" i="4"/>
  <c r="N83" i="2"/>
  <c r="N73" i="2"/>
  <c r="D74" i="3"/>
  <c r="D92" i="3"/>
  <c r="D89" i="3"/>
  <c r="L53" i="4"/>
  <c r="J91" i="1"/>
  <c r="D82" i="3"/>
  <c r="D73" i="3"/>
  <c r="J88" i="1"/>
  <c r="J77" i="1"/>
  <c r="F91" i="4"/>
  <c r="P91" i="3"/>
  <c r="P89" i="3"/>
  <c r="P86" i="3"/>
  <c r="P83" i="3"/>
  <c r="P80" i="3"/>
  <c r="P77" i="3"/>
  <c r="P75" i="3"/>
  <c r="P73" i="3"/>
  <c r="N90" i="2"/>
  <c r="N85" i="2"/>
  <c r="N78" i="2"/>
  <c r="N74" i="2"/>
  <c r="J90" i="1"/>
  <c r="J84" i="1"/>
  <c r="J78" i="1"/>
  <c r="D77" i="3"/>
  <c r="D86" i="3"/>
  <c r="D23" i="5"/>
  <c r="D47" i="2"/>
  <c r="F73" i="3"/>
  <c r="F77" i="3"/>
  <c r="F83" i="3"/>
  <c r="F89" i="3"/>
  <c r="H48" i="1"/>
  <c r="J82" i="2"/>
  <c r="N91" i="2"/>
  <c r="N81" i="4"/>
  <c r="N97" i="4"/>
  <c r="P81" i="4"/>
  <c r="P92" i="4"/>
  <c r="P80" i="2"/>
  <c r="P91" i="2"/>
  <c r="P47" i="3"/>
  <c r="P23" i="5"/>
  <c r="N61" i="7"/>
  <c r="L61" i="7"/>
  <c r="N52" i="7"/>
  <c r="R42" i="7"/>
  <c r="T96" i="7"/>
  <c r="S10" i="7"/>
  <c r="AB10" i="7" s="1"/>
  <c r="T82" i="4"/>
  <c r="T86" i="4"/>
  <c r="T92" i="4"/>
  <c r="T97" i="4"/>
  <c r="T80" i="1"/>
  <c r="T78" i="1"/>
  <c r="T76" i="1"/>
  <c r="T76" i="2"/>
  <c r="T80" i="2"/>
  <c r="T86" i="2"/>
  <c r="T91" i="2"/>
  <c r="T92" i="3"/>
  <c r="T90" i="3"/>
  <c r="T87" i="3"/>
  <c r="T85" i="3"/>
  <c r="T82" i="3"/>
  <c r="T79" i="3"/>
  <c r="T77" i="3"/>
  <c r="T75" i="3"/>
  <c r="T73" i="3"/>
  <c r="T91" i="1"/>
  <c r="T93" i="1"/>
  <c r="T74" i="1"/>
  <c r="T83" i="1"/>
  <c r="T86" i="1"/>
  <c r="T88" i="1"/>
  <c r="S80" i="7"/>
  <c r="S82" i="7"/>
  <c r="S84" i="7"/>
  <c r="S86" i="7"/>
  <c r="T86" i="7" s="1"/>
  <c r="S92" i="7"/>
  <c r="S97" i="7"/>
  <c r="T97" i="7" s="1"/>
  <c r="T73" i="2"/>
  <c r="T85" i="2"/>
  <c r="S95" i="7"/>
  <c r="T95" i="7" s="1"/>
  <c r="S89" i="7"/>
  <c r="T89" i="7" s="1"/>
  <c r="V78" i="3"/>
  <c r="V80" i="3"/>
  <c r="V83" i="3"/>
  <c r="V86" i="3"/>
  <c r="V89" i="3"/>
  <c r="V91" i="3"/>
  <c r="V80" i="7"/>
  <c r="V73" i="2"/>
  <c r="V87" i="2"/>
  <c r="V92" i="2"/>
  <c r="V84" i="1"/>
  <c r="V23" i="5"/>
  <c r="T57" i="7"/>
  <c r="X24" i="7"/>
  <c r="AC24" i="7" s="1"/>
  <c r="X75" i="1"/>
  <c r="X81" i="1"/>
  <c r="X74" i="3"/>
  <c r="X74" i="2"/>
  <c r="X80" i="4"/>
  <c r="X92" i="4"/>
  <c r="X82" i="4"/>
  <c r="F92" i="2"/>
  <c r="F86" i="2"/>
  <c r="F47" i="3"/>
  <c r="J80" i="4"/>
  <c r="J91" i="4"/>
  <c r="J76" i="2"/>
  <c r="J87" i="2"/>
  <c r="N80" i="2"/>
  <c r="N79" i="4"/>
  <c r="N83" i="4"/>
  <c r="N92" i="4"/>
  <c r="M101" i="7"/>
  <c r="N101" i="7"/>
  <c r="P76" i="1"/>
  <c r="P81" i="1"/>
  <c r="P87" i="1"/>
  <c r="P73" i="2"/>
  <c r="P77" i="2"/>
  <c r="P83" i="2"/>
  <c r="P89" i="2"/>
  <c r="R98" i="4"/>
  <c r="R96" i="4"/>
  <c r="R93" i="4"/>
  <c r="R91" i="4"/>
  <c r="R88" i="4"/>
  <c r="R37" i="7"/>
  <c r="X92" i="1"/>
  <c r="X77" i="1"/>
  <c r="X76" i="3"/>
  <c r="E61" i="7"/>
  <c r="H61" i="7"/>
  <c r="R95" i="7"/>
  <c r="N47" i="7"/>
  <c r="N37" i="7"/>
  <c r="J61" i="7"/>
  <c r="N57" i="7"/>
  <c r="M57" i="7"/>
  <c r="K57" i="7"/>
  <c r="L47" i="7"/>
  <c r="G61" i="7"/>
  <c r="I57" i="7"/>
  <c r="P42" i="7"/>
  <c r="X23" i="5"/>
  <c r="H47" i="7"/>
  <c r="M61" i="7"/>
  <c r="I61" i="7"/>
  <c r="E57" i="7"/>
  <c r="J37" i="7"/>
  <c r="D47" i="7"/>
  <c r="L37" i="7"/>
  <c r="J57" i="7"/>
  <c r="G57" i="7"/>
  <c r="X91" i="3"/>
  <c r="X80" i="3"/>
  <c r="X86" i="3"/>
  <c r="X47" i="3"/>
  <c r="X90" i="3"/>
  <c r="X85" i="3"/>
  <c r="X79" i="3"/>
  <c r="X75" i="3"/>
  <c r="X92" i="3"/>
  <c r="X87" i="3"/>
  <c r="X82" i="3"/>
  <c r="X77" i="3"/>
  <c r="X73" i="3"/>
  <c r="X89" i="3"/>
  <c r="X83" i="3"/>
  <c r="X78" i="3"/>
  <c r="L42" i="7"/>
  <c r="R80" i="7"/>
  <c r="R83" i="7"/>
  <c r="T81" i="7"/>
  <c r="V47" i="7"/>
  <c r="V84" i="7"/>
  <c r="R24" i="7"/>
  <c r="H37" i="7"/>
  <c r="R97" i="7"/>
  <c r="T98" i="7"/>
  <c r="X86" i="2"/>
  <c r="X80" i="2"/>
  <c r="X91" i="2"/>
  <c r="X76" i="2"/>
  <c r="X47" i="2"/>
  <c r="X90" i="2"/>
  <c r="X85" i="2"/>
  <c r="X79" i="2"/>
  <c r="X75" i="2"/>
  <c r="X92" i="2"/>
  <c r="X87" i="2"/>
  <c r="X82" i="2"/>
  <c r="X77" i="2"/>
  <c r="X73" i="2"/>
  <c r="X89" i="2"/>
  <c r="X83" i="2"/>
  <c r="X78" i="2"/>
  <c r="R98" i="7"/>
  <c r="D42" i="7"/>
  <c r="R82" i="7"/>
  <c r="V37" i="7"/>
  <c r="T24" i="7"/>
  <c r="R79" i="7"/>
  <c r="F37" i="7"/>
  <c r="P37" i="7"/>
  <c r="L77" i="7"/>
  <c r="L82" i="7" s="1"/>
  <c r="F24" i="7"/>
  <c r="V81" i="7"/>
  <c r="V24" i="7"/>
  <c r="R92" i="7"/>
  <c r="R47" i="7"/>
  <c r="R86" i="7"/>
  <c r="R84" i="7"/>
  <c r="R81" i="7"/>
  <c r="T47" i="7"/>
  <c r="T37" i="7"/>
  <c r="V92" i="7"/>
  <c r="X87" i="1"/>
  <c r="X48" i="1"/>
  <c r="X91" i="1"/>
  <c r="X86" i="1"/>
  <c r="X80" i="1"/>
  <c r="X76" i="1"/>
  <c r="X93" i="1"/>
  <c r="X88" i="1"/>
  <c r="X83" i="1"/>
  <c r="X78" i="1"/>
  <c r="X74" i="1"/>
  <c r="X90" i="1"/>
  <c r="X84" i="1"/>
  <c r="X79" i="1"/>
  <c r="H42" i="7"/>
  <c r="S57" i="7"/>
  <c r="R91" i="7"/>
  <c r="F47" i="7"/>
  <c r="F42" i="7"/>
  <c r="F77" i="7"/>
  <c r="F79" i="7" s="1"/>
  <c r="J77" i="7"/>
  <c r="J84" i="7" s="1"/>
  <c r="R96" i="7"/>
  <c r="T42" i="7"/>
  <c r="V42" i="7"/>
  <c r="J42" i="7"/>
  <c r="R93" i="7"/>
  <c r="L24" i="7"/>
  <c r="D24" i="7"/>
  <c r="N42" i="7"/>
  <c r="X54" i="4"/>
  <c r="X96" i="4"/>
  <c r="X85" i="4"/>
  <c r="X98" i="4"/>
  <c r="X93" i="4"/>
  <c r="X88" i="4"/>
  <c r="X83" i="4"/>
  <c r="X79" i="4"/>
  <c r="X91" i="4"/>
  <c r="X81" i="4"/>
  <c r="X95" i="4"/>
  <c r="X89" i="4"/>
  <c r="X84" i="4"/>
  <c r="D37" i="7"/>
  <c r="D77" i="7"/>
  <c r="D89" i="7" s="1"/>
  <c r="N77" i="7"/>
  <c r="T61" i="7"/>
  <c r="T93" i="7"/>
  <c r="R88" i="7"/>
  <c r="P77" i="7"/>
  <c r="P84" i="7" s="1"/>
  <c r="R85" i="7"/>
  <c r="T88" i="7"/>
  <c r="T92" i="7" l="1"/>
  <c r="R49" i="7"/>
  <c r="V98" i="7"/>
  <c r="L88" i="7"/>
  <c r="L49" i="7"/>
  <c r="L83" i="7"/>
  <c r="V93" i="7"/>
  <c r="T82" i="7"/>
  <c r="V91" i="7"/>
  <c r="P49" i="7"/>
  <c r="T91" i="7"/>
  <c r="V79" i="7"/>
  <c r="V97" i="7"/>
  <c r="T83" i="7"/>
  <c r="L84" i="7"/>
  <c r="N49" i="7"/>
  <c r="V89" i="7"/>
  <c r="T80" i="7"/>
  <c r="V83" i="7"/>
  <c r="H49" i="7"/>
  <c r="L95" i="7"/>
  <c r="V82" i="7"/>
  <c r="T79" i="7"/>
  <c r="V95" i="7"/>
  <c r="V96" i="7"/>
  <c r="V85" i="7"/>
  <c r="L81" i="7"/>
  <c r="V86" i="7"/>
  <c r="T84" i="7"/>
  <c r="T85" i="7"/>
  <c r="V88" i="7"/>
  <c r="X98" i="7"/>
  <c r="X49" i="7"/>
  <c r="X82" i="7"/>
  <c r="AC82" i="7" s="1"/>
  <c r="X92" i="7"/>
  <c r="AC92" i="7" s="1"/>
  <c r="X80" i="7"/>
  <c r="AC80" i="7" s="1"/>
  <c r="X89" i="7"/>
  <c r="X79" i="7"/>
  <c r="X88" i="7"/>
  <c r="AC88" i="7" s="1"/>
  <c r="L86" i="7"/>
  <c r="X81" i="7"/>
  <c r="AC81" i="7" s="1"/>
  <c r="X85" i="7"/>
  <c r="AC85" i="7" s="1"/>
  <c r="X91" i="7"/>
  <c r="AC91" i="7" s="1"/>
  <c r="X96" i="7"/>
  <c r="AC96" i="7" s="1"/>
  <c r="X86" i="7"/>
  <c r="X97" i="7"/>
  <c r="AC97" i="7" s="1"/>
  <c r="X84" i="7"/>
  <c r="AC84" i="7" s="1"/>
  <c r="X95" i="7"/>
  <c r="AC95" i="7" s="1"/>
  <c r="X83" i="7"/>
  <c r="X93" i="7"/>
  <c r="AC93" i="7" s="1"/>
  <c r="J82" i="7"/>
  <c r="L93" i="7"/>
  <c r="J49" i="7"/>
  <c r="D49" i="7"/>
  <c r="F49" i="7"/>
  <c r="V49" i="7"/>
  <c r="L96" i="7"/>
  <c r="J80" i="7"/>
  <c r="L80" i="7"/>
  <c r="L97" i="7"/>
  <c r="L91" i="7"/>
  <c r="L79" i="7"/>
  <c r="J93" i="7"/>
  <c r="J96" i="7"/>
  <c r="J91" i="7"/>
  <c r="T49" i="7"/>
  <c r="L98" i="7"/>
  <c r="L92" i="7"/>
  <c r="J97" i="7"/>
  <c r="L89" i="7"/>
  <c r="P83" i="7"/>
  <c r="J79" i="7"/>
  <c r="J88" i="7"/>
  <c r="J81" i="7"/>
  <c r="J89" i="7"/>
  <c r="J83" i="7"/>
  <c r="J95" i="7"/>
  <c r="J92" i="7"/>
  <c r="J86" i="7"/>
  <c r="P95" i="7"/>
  <c r="F91" i="7"/>
  <c r="D92" i="7"/>
  <c r="P92" i="7"/>
  <c r="F93" i="7"/>
  <c r="D84" i="7"/>
  <c r="N93" i="7"/>
  <c r="N84" i="7"/>
  <c r="N80" i="7"/>
  <c r="N88" i="7"/>
  <c r="N91" i="7"/>
  <c r="N95" i="7"/>
  <c r="N86" i="7"/>
  <c r="N82" i="7"/>
  <c r="N81" i="7"/>
  <c r="N79" i="7"/>
  <c r="N96" i="7"/>
  <c r="N83" i="7"/>
  <c r="N89" i="7"/>
  <c r="N98" i="7"/>
  <c r="N97" i="7"/>
  <c r="N92" i="7"/>
  <c r="F84" i="7"/>
  <c r="P96" i="7"/>
  <c r="F88" i="7"/>
  <c r="D79" i="7"/>
  <c r="F86" i="7"/>
  <c r="F97" i="7"/>
  <c r="D81" i="7"/>
  <c r="D82" i="7"/>
  <c r="F83" i="7"/>
  <c r="D88" i="7"/>
  <c r="D96" i="7"/>
  <c r="F95" i="7"/>
  <c r="F81" i="7"/>
  <c r="J98" i="7"/>
  <c r="F92" i="7"/>
  <c r="D86" i="7"/>
  <c r="F89" i="7"/>
  <c r="D95" i="7"/>
  <c r="D93" i="7"/>
  <c r="F80" i="7"/>
  <c r="D98" i="7"/>
  <c r="D97" i="7"/>
  <c r="D91" i="7"/>
  <c r="F98" i="7"/>
  <c r="F82" i="7"/>
  <c r="D80" i="7"/>
  <c r="P79" i="7"/>
  <c r="P91" i="7"/>
  <c r="P98" i="7"/>
  <c r="P97" i="7"/>
  <c r="P88" i="7"/>
  <c r="P81" i="7"/>
  <c r="P86" i="7"/>
  <c r="P82" i="7"/>
  <c r="P89" i="7"/>
  <c r="F96" i="7"/>
  <c r="P93" i="7"/>
  <c r="P80" i="7"/>
  <c r="D83" i="7"/>
  <c r="AC98" i="7" l="1"/>
  <c r="AC79" i="7"/>
  <c r="AC86" i="7"/>
  <c r="AC89" i="7"/>
  <c r="AC83" i="7"/>
</calcChain>
</file>

<file path=xl/sharedStrings.xml><?xml version="1.0" encoding="utf-8"?>
<sst xmlns="http://schemas.openxmlformats.org/spreadsheetml/2006/main" count="1573" uniqueCount="147">
  <si>
    <t xml:space="preserve">Department:  Anatomy &amp; Physiology </t>
  </si>
  <si>
    <t># of</t>
  </si>
  <si>
    <t>Degrees</t>
  </si>
  <si>
    <t>Majors</t>
  </si>
  <si>
    <t>Conferred</t>
  </si>
  <si>
    <t># of Majors &amp; Degrees Conferred:</t>
  </si>
  <si>
    <t>Masters Program</t>
  </si>
  <si>
    <t>Doctorate Program</t>
  </si>
  <si>
    <t>Student Credit Hours Generated:</t>
  </si>
  <si>
    <t>(Base courses only)</t>
  </si>
  <si>
    <t>Lower Division (0-299 level)</t>
  </si>
  <si>
    <t>Upper Division (300-699 level)</t>
  </si>
  <si>
    <t>Graduate I (700-899 level)</t>
  </si>
  <si>
    <t>Graduate II (900-999 level)</t>
  </si>
  <si>
    <t>Total</t>
  </si>
  <si>
    <t>Instructional Expenditures</t>
  </si>
  <si>
    <t>Research/Public Serv. Expenditures</t>
  </si>
  <si>
    <t>Grants/Contracts Awarded:</t>
  </si>
  <si>
    <t>FTE</t>
  </si>
  <si>
    <t xml:space="preserve">Department:  Clinical Sciences </t>
  </si>
  <si>
    <t xml:space="preserve"> </t>
  </si>
  <si>
    <t>Professional Program (DVM)</t>
  </si>
  <si>
    <t>Department:   Dean of Veterinary Medicine</t>
  </si>
  <si>
    <t xml:space="preserve">Department:  Diagnostic Medicine/Pathobiology </t>
  </si>
  <si>
    <t>FY 2004</t>
  </si>
  <si>
    <t>FY 2005</t>
  </si>
  <si>
    <t>Faculty Demographics:</t>
  </si>
  <si>
    <t xml:space="preserve">Instructional </t>
  </si>
  <si>
    <t>Full-time</t>
  </si>
  <si>
    <t xml:space="preserve">Research </t>
  </si>
  <si>
    <t>Grants/Contracts Proposed:</t>
  </si>
  <si>
    <t>Veterinary Sciences/Vet. Clinical Sciences, General -  51.2501</t>
  </si>
  <si>
    <t>B. Financial Information:</t>
  </si>
  <si>
    <t>Budgeted Dollars:</t>
  </si>
  <si>
    <t>Main Campus</t>
  </si>
  <si>
    <t>General Use</t>
  </si>
  <si>
    <t>Total Main Campus</t>
  </si>
  <si>
    <t>Research &amp; Extension</t>
  </si>
  <si>
    <t>Total Research &amp; Extension</t>
  </si>
  <si>
    <t>Total Department</t>
  </si>
  <si>
    <t>Expenditures (General Use Only)</t>
  </si>
  <si>
    <t>A.  Student Information</t>
  </si>
  <si>
    <t>C. Faculty Information</t>
  </si>
  <si>
    <t>C. Facutly Information</t>
  </si>
  <si>
    <t>Total Veterinary Medicine</t>
  </si>
  <si>
    <t>Veterinary Medicine</t>
  </si>
  <si>
    <t>Foundation Accounts:</t>
  </si>
  <si>
    <t xml:space="preserve">  </t>
  </si>
  <si>
    <t>Total Donations</t>
  </si>
  <si>
    <t>Endowed Chairs</t>
  </si>
  <si>
    <t>Certificate Programs</t>
  </si>
  <si>
    <t>Doctorate Programs</t>
  </si>
  <si>
    <t>Certificates</t>
  </si>
  <si>
    <t>White</t>
  </si>
  <si>
    <t>Black</t>
  </si>
  <si>
    <t>Hispanic</t>
  </si>
  <si>
    <t>Native American</t>
  </si>
  <si>
    <t xml:space="preserve">Asian </t>
  </si>
  <si>
    <t>Non-Resident</t>
  </si>
  <si>
    <t>Unknown</t>
  </si>
  <si>
    <t>Male</t>
  </si>
  <si>
    <t>Female</t>
  </si>
  <si>
    <t>Tenure</t>
  </si>
  <si>
    <t>Tenure-Track</t>
  </si>
  <si>
    <t>Non-Tenured</t>
  </si>
  <si>
    <t>Ph. D.</t>
  </si>
  <si>
    <t>M.S.</t>
  </si>
  <si>
    <t>B.S.</t>
  </si>
  <si>
    <t>Other</t>
  </si>
  <si>
    <t>N</t>
  </si>
  <si>
    <t>%</t>
  </si>
  <si>
    <t>Ethnicity</t>
  </si>
  <si>
    <t>Gender</t>
  </si>
  <si>
    <t>Tenure Status</t>
  </si>
  <si>
    <t>Highest Degree</t>
  </si>
  <si>
    <t>$</t>
  </si>
  <si>
    <t>FY 2006</t>
  </si>
  <si>
    <t>Total Annual Donations</t>
  </si>
  <si>
    <t>Endowed Faculty Support Funds-cumulative total</t>
  </si>
  <si>
    <t xml:space="preserve">Research &amp; Extension Units </t>
  </si>
  <si>
    <t xml:space="preserve">Total College </t>
  </si>
  <si>
    <t xml:space="preserve">Total Academic Departments </t>
  </si>
  <si>
    <t xml:space="preserve">Academic Units </t>
  </si>
  <si>
    <t xml:space="preserve">Total Grants &amp; Contracts Proposed </t>
  </si>
  <si>
    <t xml:space="preserve">Total Grants &amp; Contracts </t>
  </si>
  <si>
    <t>* Number of majors &amp; degrees conferred include second majors.</t>
  </si>
  <si>
    <t>FY 2007</t>
  </si>
  <si>
    <t>FY 2008</t>
  </si>
  <si>
    <t>Pathology/Experimental Pathology - 26.0910</t>
  </si>
  <si>
    <t>Veterinary Medicine - 51.2401</t>
  </si>
  <si>
    <t>FY 2009</t>
  </si>
  <si>
    <t>VM Graduate Non-Degree DCE</t>
  </si>
  <si>
    <t xml:space="preserve">Graduate Assistants </t>
  </si>
  <si>
    <t>Fall 2003</t>
  </si>
  <si>
    <t>Fall 2004</t>
  </si>
  <si>
    <t>Fall 2005</t>
  </si>
  <si>
    <t>Fall 2006</t>
  </si>
  <si>
    <t>Fall 2007</t>
  </si>
  <si>
    <t>Fall 2008</t>
  </si>
  <si>
    <t>GRAs</t>
  </si>
  <si>
    <t>GTAs</t>
  </si>
  <si>
    <t>GAs</t>
  </si>
  <si>
    <t>% Departmental SCH taken by:</t>
  </si>
  <si>
    <t xml:space="preserve">     3.  Non-Majors</t>
  </si>
  <si>
    <t>Part-time</t>
  </si>
  <si>
    <t>Five Year Average</t>
  </si>
  <si>
    <t xml:space="preserve"># of </t>
  </si>
  <si>
    <t xml:space="preserve">Degrees </t>
  </si>
  <si>
    <t>Master's Programs</t>
  </si>
  <si>
    <t>Number of majors &amp; degrees conferred include second majors.</t>
  </si>
  <si>
    <t>The Veterinary Medicine Teaching Hospital is included in the budget .</t>
  </si>
  <si>
    <t>XXX</t>
  </si>
  <si>
    <t>Biomedical Science-51.2501</t>
  </si>
  <si>
    <t>FY 2010</t>
  </si>
  <si>
    <t>Fall 2009</t>
  </si>
  <si>
    <t>C. Faculty Information*</t>
  </si>
  <si>
    <t xml:space="preserve">     1.  Their graduate Majors</t>
  </si>
  <si>
    <t xml:space="preserve">     2.  Their 1st professional Majors</t>
  </si>
  <si>
    <t>FY 2011</t>
  </si>
  <si>
    <t>Fall 2010</t>
  </si>
  <si>
    <t>Sponsored Research Overhead</t>
  </si>
  <si>
    <t>Other (Grants, contracts, fees, sales &amp; service, copy centers, storerooms, etc)</t>
  </si>
  <si>
    <t>Masters Program*</t>
  </si>
  <si>
    <t>*Master's Program merged into Biomedical Science program in 2009</t>
  </si>
  <si>
    <t>Veterinary Physiology (Cert. PHD) - 51.2503</t>
  </si>
  <si>
    <t>Diagnostic Lab</t>
  </si>
  <si>
    <t>Two or More Races</t>
  </si>
  <si>
    <t xml:space="preserve">     1.  Their Graduate Majors</t>
  </si>
  <si>
    <t xml:space="preserve">     2.  Their First Professional Majors</t>
  </si>
  <si>
    <t>Expenditures (General Use &amp; SRO Only)</t>
  </si>
  <si>
    <t>Graduate Certificate Program FPMC (disc. Fall 2011)</t>
  </si>
  <si>
    <t>FY 2012</t>
  </si>
  <si>
    <t>Fall 2011</t>
  </si>
  <si>
    <t>Public Health- 51.2201</t>
  </si>
  <si>
    <t>Master's Program</t>
  </si>
  <si>
    <t>Grad Certificate Program (CPHC)</t>
  </si>
  <si>
    <t>*Master's Program merged into Biomedical Science program in 2009 - see Dean's office</t>
  </si>
  <si>
    <t>*excludes Veterinary Health Center faculty</t>
  </si>
  <si>
    <t>Department:  Veterinary Health Center</t>
  </si>
  <si>
    <t>FY 2013</t>
  </si>
  <si>
    <t>Fall 2012</t>
  </si>
  <si>
    <t>FY 2014</t>
  </si>
  <si>
    <t>Fall 2013</t>
  </si>
  <si>
    <t>FY 2015</t>
  </si>
  <si>
    <t>Fall 2014</t>
  </si>
  <si>
    <t>Department Profile Report - FY 2015</t>
  </si>
  <si>
    <t>College of Veterinary Medicine Profile Summary Report  2010-2015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</si>
</sst>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164" formatCode="&quot;$&quot;#,##0\ ;\(&quot;$&quot;#,##0\)"/>
    <numFmt numFmtId="165" formatCode="&quot;$&quot;#,##0.00\ ;\(&quot;$&quot;#,##0.00\)"/>
    <numFmt numFmtId="166" formatCode="0.0%"/>
    <numFmt numFmtId="167" formatCode="#,##0.0"/>
    <numFmt numFmtId="168" formatCode="_(* #,##0_);_(* \(#,##0\);_(* &quot;-&quot;??_);_(@_)"/>
    <numFmt numFmtId="169" formatCode="&quot;$&quot;#,##0"/>
    <numFmt numFmtId="170" formatCode="0.0"/>
    <numFmt numFmtId="171" formatCode="&quot;$&quot;#,##0.00;[Red]&quot;$&quot;#,##0.00"/>
    <numFmt numFmtId="172" formatCode="&quot;$&quot;#,##0;[Red]&quot;$&quot;#,##0"/>
    <numFmt numFmtId="173" formatCode="&quot;$&quot;#,##0.00"/>
  </numFmts>
  <fonts count="15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8"/>
      <name val="Arial"/>
      <family val="2"/>
    </font>
    <font>
      <u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</fills>
  <borders count="10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15">
    <xf numFmtId="0" fontId="0" fillId="0" borderId="0"/>
    <xf numFmtId="4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/>
    <xf numFmtId="10" fontId="13" fillId="0" borderId="0" applyFont="0" applyFill="0" applyBorder="0" applyAlignment="0" applyProtection="0"/>
    <xf numFmtId="10" fontId="14" fillId="0" borderId="0" applyFill="0" applyBorder="0" applyAlignment="0" applyProtection="0"/>
    <xf numFmtId="0" fontId="13" fillId="0" borderId="1" applyNumberFormat="0" applyFont="0" applyFill="0" applyAlignment="0" applyProtection="0"/>
  </cellStyleXfs>
  <cellXfs count="830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/>
    <xf numFmtId="0" fontId="4" fillId="0" borderId="2" xfId="0" applyFont="1" applyBorder="1"/>
    <xf numFmtId="0" fontId="3" fillId="0" borderId="0" xfId="0" applyFont="1" applyBorder="1"/>
    <xf numFmtId="0" fontId="4" fillId="0" borderId="3" xfId="0" applyFont="1" applyBorder="1"/>
    <xf numFmtId="0" fontId="4" fillId="0" borderId="4" xfId="0" applyFont="1" applyBorder="1"/>
    <xf numFmtId="0" fontId="3" fillId="0" borderId="5" xfId="0" applyFont="1" applyBorder="1" applyAlignment="1">
      <alignment horizontal="centerContinuous"/>
    </xf>
    <xf numFmtId="0" fontId="4" fillId="0" borderId="6" xfId="0" applyFont="1" applyBorder="1"/>
    <xf numFmtId="0" fontId="3" fillId="0" borderId="7" xfId="0" applyFont="1" applyBorder="1" applyAlignment="1">
      <alignment horizontal="centerContinuous"/>
    </xf>
    <xf numFmtId="0" fontId="4" fillId="0" borderId="8" xfId="0" applyFont="1" applyBorder="1"/>
    <xf numFmtId="0" fontId="4" fillId="0" borderId="9" xfId="0" applyFont="1" applyBorder="1"/>
    <xf numFmtId="3" fontId="4" fillId="0" borderId="10" xfId="0" applyNumberFormat="1" applyFont="1" applyBorder="1"/>
    <xf numFmtId="0" fontId="4" fillId="0" borderId="11" xfId="0" applyFont="1" applyBorder="1"/>
    <xf numFmtId="0" fontId="4" fillId="0" borderId="12" xfId="0" applyFont="1" applyBorder="1"/>
    <xf numFmtId="0" fontId="3" fillId="0" borderId="13" xfId="0" applyFont="1" applyBorder="1"/>
    <xf numFmtId="0" fontId="4" fillId="0" borderId="13" xfId="0" applyFont="1" applyBorder="1"/>
    <xf numFmtId="0" fontId="4" fillId="0" borderId="14" xfId="0" applyFont="1" applyBorder="1"/>
    <xf numFmtId="0" fontId="3" fillId="0" borderId="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0" xfId="0" applyFont="1" applyBorder="1"/>
    <xf numFmtId="0" fontId="4" fillId="0" borderId="25" xfId="0" applyFont="1" applyBorder="1"/>
    <xf numFmtId="166" fontId="4" fillId="0" borderId="20" xfId="0" applyNumberFormat="1" applyFont="1" applyBorder="1"/>
    <xf numFmtId="0" fontId="4" fillId="0" borderId="26" xfId="0" applyFont="1" applyBorder="1" applyAlignment="1">
      <alignment horizontal="right"/>
    </xf>
    <xf numFmtId="3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/>
    <xf numFmtId="0" fontId="4" fillId="0" borderId="6" xfId="0" applyFont="1" applyBorder="1" applyAlignment="1">
      <alignment horizontal="right"/>
    </xf>
    <xf numFmtId="0" fontId="4" fillId="0" borderId="27" xfId="0" applyFont="1" applyBorder="1"/>
    <xf numFmtId="0" fontId="8" fillId="0" borderId="15" xfId="0" applyFont="1" applyBorder="1"/>
    <xf numFmtId="164" fontId="4" fillId="0" borderId="2" xfId="0" applyNumberFormat="1" applyFont="1" applyBorder="1" applyAlignment="1">
      <alignment horizontal="right"/>
    </xf>
    <xf numFmtId="164" fontId="4" fillId="0" borderId="28" xfId="0" applyNumberFormat="1" applyFont="1" applyBorder="1" applyAlignment="1">
      <alignment horizontal="right"/>
    </xf>
    <xf numFmtId="164" fontId="4" fillId="0" borderId="29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4" fillId="0" borderId="30" xfId="0" applyNumberFormat="1" applyFont="1" applyBorder="1" applyAlignment="1">
      <alignment horizontal="right"/>
    </xf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3" fillId="0" borderId="34" xfId="0" applyFont="1" applyBorder="1"/>
    <xf numFmtId="0" fontId="5" fillId="0" borderId="35" xfId="0" applyFont="1" applyBorder="1"/>
    <xf numFmtId="0" fontId="4" fillId="0" borderId="36" xfId="0" applyFont="1" applyBorder="1" applyAlignment="1">
      <alignment horizontal="right"/>
    </xf>
    <xf numFmtId="0" fontId="4" fillId="0" borderId="34" xfId="0" applyFont="1" applyBorder="1"/>
    <xf numFmtId="0" fontId="4" fillId="0" borderId="35" xfId="0" applyFont="1" applyBorder="1"/>
    <xf numFmtId="0" fontId="3" fillId="0" borderId="36" xfId="0" applyFont="1" applyBorder="1" applyAlignment="1">
      <alignment horizontal="center"/>
    </xf>
    <xf numFmtId="0" fontId="4" fillId="0" borderId="35" xfId="0" applyFont="1" applyBorder="1" applyAlignment="1">
      <alignment horizontal="right"/>
    </xf>
    <xf numFmtId="164" fontId="4" fillId="0" borderId="29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right"/>
    </xf>
    <xf numFmtId="0" fontId="3" fillId="0" borderId="29" xfId="0" applyFont="1" applyBorder="1"/>
    <xf numFmtId="164" fontId="4" fillId="0" borderId="2" xfId="0" applyNumberFormat="1" applyFont="1" applyBorder="1"/>
    <xf numFmtId="164" fontId="4" fillId="0" borderId="28" xfId="0" applyNumberFormat="1" applyFont="1" applyBorder="1"/>
    <xf numFmtId="164" fontId="4" fillId="0" borderId="29" xfId="0" applyNumberFormat="1" applyFont="1" applyBorder="1"/>
    <xf numFmtId="164" fontId="4" fillId="0" borderId="4" xfId="0" applyNumberFormat="1" applyFont="1" applyBorder="1"/>
    <xf numFmtId="164" fontId="4" fillId="0" borderId="30" xfId="0" applyNumberFormat="1" applyFont="1" applyBorder="1"/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4" fillId="0" borderId="37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37" xfId="0" applyNumberFormat="1" applyFont="1" applyBorder="1" applyAlignment="1">
      <alignment horizontal="right"/>
    </xf>
    <xf numFmtId="0" fontId="4" fillId="0" borderId="8" xfId="0" applyFont="1" applyFill="1" applyBorder="1"/>
    <xf numFmtId="164" fontId="4" fillId="0" borderId="0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0" fontId="3" fillId="0" borderId="38" xfId="0" applyFont="1" applyBorder="1"/>
    <xf numFmtId="0" fontId="5" fillId="0" borderId="39" xfId="0" applyFont="1" applyBorder="1"/>
    <xf numFmtId="0" fontId="4" fillId="0" borderId="39" xfId="0" applyFont="1" applyBorder="1" applyAlignment="1">
      <alignment horizontal="right"/>
    </xf>
    <xf numFmtId="3" fontId="3" fillId="0" borderId="2" xfId="0" applyNumberFormat="1" applyFont="1" applyBorder="1"/>
    <xf numFmtId="0" fontId="4" fillId="0" borderId="40" xfId="0" applyFont="1" applyBorder="1" applyAlignment="1">
      <alignment horizontal="right"/>
    </xf>
    <xf numFmtId="0" fontId="3" fillId="0" borderId="41" xfId="0" applyFont="1" applyBorder="1" applyAlignment="1">
      <alignment horizontal="center"/>
    </xf>
    <xf numFmtId="3" fontId="3" fillId="0" borderId="30" xfId="0" applyNumberFormat="1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5" fontId="4" fillId="0" borderId="0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/>
    <xf numFmtId="0" fontId="6" fillId="0" borderId="0" xfId="0" applyFont="1" applyBorder="1"/>
    <xf numFmtId="0" fontId="10" fillId="0" borderId="39" xfId="0" applyFont="1" applyBorder="1" applyAlignment="1">
      <alignment horizontal="left" indent="1"/>
    </xf>
    <xf numFmtId="0" fontId="4" fillId="0" borderId="39" xfId="0" applyFont="1" applyBorder="1" applyAlignment="1">
      <alignment horizontal="left" indent="1"/>
    </xf>
    <xf numFmtId="0" fontId="3" fillId="0" borderId="39" xfId="0" applyFont="1" applyBorder="1" applyAlignment="1">
      <alignment horizontal="left" indent="1"/>
    </xf>
    <xf numFmtId="0" fontId="3" fillId="0" borderId="2" xfId="0" applyFont="1" applyBorder="1"/>
    <xf numFmtId="0" fontId="3" fillId="0" borderId="42" xfId="0" applyFont="1" applyBorder="1" applyAlignment="1">
      <alignment horizontal="left" indent="1"/>
    </xf>
    <xf numFmtId="0" fontId="4" fillId="0" borderId="43" xfId="0" applyFont="1" applyBorder="1"/>
    <xf numFmtId="0" fontId="3" fillId="0" borderId="44" xfId="0" applyFont="1" applyBorder="1"/>
    <xf numFmtId="0" fontId="4" fillId="0" borderId="45" xfId="0" applyFont="1" applyBorder="1"/>
    <xf numFmtId="0" fontId="4" fillId="0" borderId="46" xfId="0" applyFont="1" applyBorder="1" applyAlignment="1">
      <alignment horizontal="right"/>
    </xf>
    <xf numFmtId="0" fontId="4" fillId="0" borderId="47" xfId="0" applyFont="1" applyBorder="1"/>
    <xf numFmtId="0" fontId="4" fillId="0" borderId="48" xfId="0" applyFont="1" applyBorder="1"/>
    <xf numFmtId="0" fontId="4" fillId="0" borderId="43" xfId="0" applyFont="1" applyFill="1" applyBorder="1"/>
    <xf numFmtId="164" fontId="4" fillId="0" borderId="45" xfId="0" applyNumberFormat="1" applyFont="1" applyBorder="1"/>
    <xf numFmtId="0" fontId="3" fillId="0" borderId="40" xfId="0" applyFont="1" applyBorder="1" applyAlignment="1">
      <alignment horizontal="left" indent="1"/>
    </xf>
    <xf numFmtId="0" fontId="4" fillId="0" borderId="38" xfId="0" applyFont="1" applyBorder="1" applyAlignment="1">
      <alignment horizontal="left" indent="1"/>
    </xf>
    <xf numFmtId="0" fontId="4" fillId="0" borderId="49" xfId="0" applyFont="1" applyBorder="1" applyAlignment="1">
      <alignment horizontal="left" indent="1"/>
    </xf>
    <xf numFmtId="0" fontId="11" fillId="0" borderId="0" xfId="0" applyFont="1"/>
    <xf numFmtId="0" fontId="4" fillId="0" borderId="25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4" fillId="0" borderId="9" xfId="0" applyFont="1" applyFill="1" applyBorder="1"/>
    <xf numFmtId="0" fontId="4" fillId="0" borderId="0" xfId="0" applyFont="1" applyBorder="1" applyAlignment="1">
      <alignment horizontal="left" indent="1"/>
    </xf>
    <xf numFmtId="0" fontId="10" fillId="0" borderId="38" xfId="0" applyFont="1" applyBorder="1" applyAlignment="1">
      <alignment horizontal="left" indent="1"/>
    </xf>
    <xf numFmtId="0" fontId="3" fillId="0" borderId="14" xfId="0" applyFont="1" applyBorder="1"/>
    <xf numFmtId="0" fontId="4" fillId="0" borderId="4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3" fontId="4" fillId="0" borderId="2" xfId="1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50" xfId="0" applyFont="1" applyBorder="1"/>
    <xf numFmtId="0" fontId="4" fillId="0" borderId="51" xfId="0" applyFont="1" applyBorder="1"/>
    <xf numFmtId="0" fontId="4" fillId="0" borderId="52" xfId="0" applyFont="1" applyBorder="1"/>
    <xf numFmtId="0" fontId="4" fillId="0" borderId="53" xfId="0" applyFont="1" applyBorder="1"/>
    <xf numFmtId="3" fontId="4" fillId="0" borderId="53" xfId="0" applyNumberFormat="1" applyFont="1" applyBorder="1" applyAlignment="1">
      <alignment horizontal="center"/>
    </xf>
    <xf numFmtId="3" fontId="4" fillId="0" borderId="53" xfId="0" applyNumberFormat="1" applyFont="1" applyBorder="1"/>
    <xf numFmtId="0" fontId="3" fillId="0" borderId="54" xfId="0" applyFont="1" applyBorder="1"/>
    <xf numFmtId="1" fontId="3" fillId="0" borderId="55" xfId="0" applyNumberFormat="1" applyFont="1" applyBorder="1" applyAlignment="1">
      <alignment horizontal="right"/>
    </xf>
    <xf numFmtId="168" fontId="4" fillId="0" borderId="51" xfId="1" applyNumberFormat="1" applyFont="1" applyBorder="1"/>
    <xf numFmtId="168" fontId="4" fillId="0" borderId="53" xfId="1" applyNumberFormat="1" applyFont="1" applyBorder="1"/>
    <xf numFmtId="0" fontId="3" fillId="0" borderId="52" xfId="0" applyFont="1" applyBorder="1"/>
    <xf numFmtId="168" fontId="3" fillId="0" borderId="53" xfId="1" applyNumberFormat="1" applyFont="1" applyBorder="1"/>
    <xf numFmtId="0" fontId="4" fillId="0" borderId="56" xfId="0" applyFont="1" applyBorder="1"/>
    <xf numFmtId="0" fontId="4" fillId="0" borderId="57" xfId="0" applyFont="1" applyBorder="1"/>
    <xf numFmtId="164" fontId="4" fillId="0" borderId="52" xfId="0" applyNumberFormat="1" applyFont="1" applyBorder="1"/>
    <xf numFmtId="164" fontId="4" fillId="0" borderId="53" xfId="0" applyNumberFormat="1" applyFont="1" applyBorder="1" applyAlignment="1">
      <alignment horizontal="right"/>
    </xf>
    <xf numFmtId="164" fontId="4" fillId="0" borderId="58" xfId="0" applyNumberFormat="1" applyFont="1" applyBorder="1"/>
    <xf numFmtId="164" fontId="4" fillId="0" borderId="59" xfId="0" applyNumberFormat="1" applyFont="1" applyBorder="1" applyAlignment="1">
      <alignment horizontal="right"/>
    </xf>
    <xf numFmtId="164" fontId="4" fillId="0" borderId="60" xfId="0" applyNumberFormat="1" applyFont="1" applyBorder="1"/>
    <xf numFmtId="164" fontId="4" fillId="0" borderId="61" xfId="0" applyNumberFormat="1" applyFont="1" applyBorder="1" applyAlignment="1">
      <alignment horizontal="right"/>
    </xf>
    <xf numFmtId="164" fontId="4" fillId="0" borderId="62" xfId="0" applyNumberFormat="1" applyFont="1" applyBorder="1" applyAlignment="1">
      <alignment horizontal="center"/>
    </xf>
    <xf numFmtId="164" fontId="4" fillId="0" borderId="57" xfId="0" applyNumberFormat="1" applyFont="1" applyBorder="1" applyAlignment="1">
      <alignment horizontal="center"/>
    </xf>
    <xf numFmtId="0" fontId="4" fillId="0" borderId="59" xfId="0" applyNumberFormat="1" applyFont="1" applyBorder="1" applyAlignment="1">
      <alignment horizontal="right"/>
    </xf>
    <xf numFmtId="164" fontId="4" fillId="0" borderId="56" xfId="0" applyNumberFormat="1" applyFont="1" applyBorder="1"/>
    <xf numFmtId="164" fontId="4" fillId="0" borderId="62" xfId="0" applyNumberFormat="1" applyFont="1" applyBorder="1"/>
    <xf numFmtId="164" fontId="4" fillId="0" borderId="50" xfId="0" applyNumberFormat="1" applyFont="1" applyBorder="1"/>
    <xf numFmtId="164" fontId="4" fillId="0" borderId="51" xfId="0" applyNumberFormat="1" applyFont="1" applyBorder="1" applyAlignment="1">
      <alignment horizontal="right"/>
    </xf>
    <xf numFmtId="164" fontId="4" fillId="0" borderId="54" xfId="0" applyNumberFormat="1" applyFont="1" applyBorder="1"/>
    <xf numFmtId="168" fontId="4" fillId="0" borderId="4" xfId="1" applyNumberFormat="1" applyFont="1" applyBorder="1"/>
    <xf numFmtId="168" fontId="4" fillId="0" borderId="2" xfId="1" applyNumberFormat="1" applyFont="1" applyBorder="1"/>
    <xf numFmtId="168" fontId="3" fillId="0" borderId="2" xfId="1" applyNumberFormat="1" applyFont="1" applyBorder="1"/>
    <xf numFmtId="164" fontId="4" fillId="0" borderId="45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right"/>
    </xf>
    <xf numFmtId="5" fontId="4" fillId="0" borderId="61" xfId="0" applyNumberFormat="1" applyFont="1" applyBorder="1" applyAlignment="1">
      <alignment horizontal="right"/>
    </xf>
    <xf numFmtId="5" fontId="4" fillId="0" borderId="57" xfId="0" applyNumberFormat="1" applyFont="1" applyBorder="1" applyAlignment="1">
      <alignment horizontal="right"/>
    </xf>
    <xf numFmtId="5" fontId="4" fillId="0" borderId="63" xfId="0" applyNumberFormat="1" applyFont="1" applyBorder="1" applyAlignment="1">
      <alignment horizontal="right"/>
    </xf>
    <xf numFmtId="5" fontId="4" fillId="0" borderId="51" xfId="0" applyNumberFormat="1" applyFont="1" applyBorder="1" applyAlignment="1">
      <alignment horizontal="right"/>
    </xf>
    <xf numFmtId="5" fontId="4" fillId="0" borderId="55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3" fontId="4" fillId="0" borderId="53" xfId="0" applyNumberFormat="1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4" fillId="0" borderId="52" xfId="0" applyFont="1" applyFill="1" applyBorder="1" applyAlignment="1">
      <alignment horizontal="right"/>
    </xf>
    <xf numFmtId="166" fontId="4" fillId="0" borderId="53" xfId="12" applyNumberFormat="1" applyFont="1" applyFill="1" applyBorder="1" applyAlignment="1">
      <alignment horizontal="right"/>
    </xf>
    <xf numFmtId="0" fontId="4" fillId="0" borderId="58" xfId="0" applyFont="1" applyFill="1" applyBorder="1" applyAlignment="1">
      <alignment horizontal="right"/>
    </xf>
    <xf numFmtId="166" fontId="3" fillId="0" borderId="52" xfId="0" applyNumberFormat="1" applyFont="1" applyFill="1" applyBorder="1" applyAlignment="1">
      <alignment horizontal="right"/>
    </xf>
    <xf numFmtId="3" fontId="3" fillId="0" borderId="52" xfId="0" applyNumberFormat="1" applyFont="1" applyBorder="1" applyAlignment="1">
      <alignment horizontal="right"/>
    </xf>
    <xf numFmtId="0" fontId="4" fillId="0" borderId="54" xfId="0" applyFont="1" applyBorder="1" applyAlignment="1">
      <alignment horizontal="right"/>
    </xf>
    <xf numFmtId="166" fontId="4" fillId="0" borderId="55" xfId="12" applyNumberFormat="1" applyFont="1" applyFill="1" applyBorder="1" applyAlignment="1">
      <alignment horizontal="right"/>
    </xf>
    <xf numFmtId="166" fontId="4" fillId="0" borderId="6" xfId="12" applyNumberFormat="1" applyFont="1" applyFill="1" applyBorder="1" applyAlignment="1">
      <alignment horizontal="right"/>
    </xf>
    <xf numFmtId="166" fontId="4" fillId="0" borderId="26" xfId="12" applyNumberFormat="1" applyFont="1" applyFill="1" applyBorder="1" applyAlignment="1">
      <alignment horizontal="right"/>
    </xf>
    <xf numFmtId="3" fontId="4" fillId="0" borderId="8" xfId="1" applyNumberFormat="1" applyFont="1" applyBorder="1" applyAlignment="1">
      <alignment horizontal="right"/>
    </xf>
    <xf numFmtId="3" fontId="3" fillId="0" borderId="55" xfId="0" applyNumberFormat="1" applyFont="1" applyBorder="1" applyAlignment="1">
      <alignment horizontal="right"/>
    </xf>
    <xf numFmtId="3" fontId="4" fillId="0" borderId="52" xfId="1" applyNumberFormat="1" applyFont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166" fontId="4" fillId="0" borderId="8" xfId="0" applyNumberFormat="1" applyFont="1" applyBorder="1" applyAlignment="1">
      <alignment horizontal="right"/>
    </xf>
    <xf numFmtId="3" fontId="4" fillId="0" borderId="9" xfId="1" applyNumberFormat="1" applyFont="1" applyBorder="1" applyAlignment="1">
      <alignment horizontal="right"/>
    </xf>
    <xf numFmtId="3" fontId="4" fillId="0" borderId="52" xfId="1" applyNumberFormat="1" applyFont="1" applyFill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6" fontId="4" fillId="0" borderId="20" xfId="12" applyNumberFormat="1" applyFont="1" applyFill="1" applyBorder="1" applyAlignment="1">
      <alignment horizontal="right"/>
    </xf>
    <xf numFmtId="166" fontId="3" fillId="0" borderId="24" xfId="0" applyNumberFormat="1" applyFont="1" applyFill="1" applyBorder="1" applyAlignment="1">
      <alignment horizontal="right"/>
    </xf>
    <xf numFmtId="3" fontId="4" fillId="0" borderId="24" xfId="1" applyNumberFormat="1" applyFont="1" applyFill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3" fontId="4" fillId="0" borderId="24" xfId="1" applyNumberFormat="1" applyFont="1" applyBorder="1" applyAlignment="1">
      <alignment horizontal="right"/>
    </xf>
    <xf numFmtId="166" fontId="4" fillId="0" borderId="37" xfId="12" applyNumberFormat="1" applyFont="1" applyFill="1" applyBorder="1" applyAlignment="1">
      <alignment horizontal="right"/>
    </xf>
    <xf numFmtId="3" fontId="4" fillId="0" borderId="52" xfId="0" applyNumberFormat="1" applyFont="1" applyBorder="1"/>
    <xf numFmtId="3" fontId="3" fillId="0" borderId="54" xfId="0" applyNumberFormat="1" applyFont="1" applyBorder="1"/>
    <xf numFmtId="164" fontId="4" fillId="0" borderId="28" xfId="0" applyNumberFormat="1" applyFont="1" applyBorder="1" applyAlignment="1">
      <alignment horizontal="center"/>
    </xf>
    <xf numFmtId="164" fontId="4" fillId="0" borderId="52" xfId="0" applyNumberFormat="1" applyFont="1" applyBorder="1" applyAlignment="1">
      <alignment horizontal="right"/>
    </xf>
    <xf numFmtId="164" fontId="4" fillId="0" borderId="50" xfId="0" applyNumberFormat="1" applyFont="1" applyBorder="1" applyAlignment="1">
      <alignment horizontal="right"/>
    </xf>
    <xf numFmtId="164" fontId="4" fillId="0" borderId="54" xfId="0" applyNumberFormat="1" applyFont="1" applyBorder="1" applyAlignment="1">
      <alignment horizontal="right"/>
    </xf>
    <xf numFmtId="3" fontId="4" fillId="0" borderId="52" xfId="0" applyNumberFormat="1" applyFont="1" applyBorder="1" applyAlignment="1">
      <alignment horizontal="right"/>
    </xf>
    <xf numFmtId="0" fontId="3" fillId="0" borderId="60" xfId="0" applyFont="1" applyBorder="1" applyAlignment="1">
      <alignment horizontal="right"/>
    </xf>
    <xf numFmtId="0" fontId="3" fillId="0" borderId="56" xfId="0" applyFont="1" applyBorder="1" applyAlignment="1">
      <alignment horizontal="center"/>
    </xf>
    <xf numFmtId="3" fontId="3" fillId="0" borderId="57" xfId="0" applyNumberFormat="1" applyFont="1" applyBorder="1" applyAlignment="1">
      <alignment horizontal="center"/>
    </xf>
    <xf numFmtId="3" fontId="3" fillId="0" borderId="61" xfId="0" applyNumberFormat="1" applyFont="1" applyBorder="1" applyAlignment="1">
      <alignment horizontal="right"/>
    </xf>
    <xf numFmtId="3" fontId="4" fillId="0" borderId="54" xfId="0" applyNumberFormat="1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166" fontId="4" fillId="0" borderId="53" xfId="0" applyNumberFormat="1" applyFont="1" applyBorder="1"/>
    <xf numFmtId="166" fontId="4" fillId="0" borderId="55" xfId="0" applyNumberFormat="1" applyFont="1" applyBorder="1"/>
    <xf numFmtId="0" fontId="4" fillId="0" borderId="39" xfId="0" applyFont="1" applyBorder="1"/>
    <xf numFmtId="0" fontId="4" fillId="0" borderId="42" xfId="0" applyFont="1" applyBorder="1"/>
    <xf numFmtId="0" fontId="4" fillId="0" borderId="38" xfId="0" applyFont="1" applyBorder="1"/>
    <xf numFmtId="164" fontId="4" fillId="0" borderId="59" xfId="0" applyNumberFormat="1" applyFont="1" applyBorder="1"/>
    <xf numFmtId="164" fontId="4" fillId="0" borderId="61" xfId="0" applyNumberFormat="1" applyFont="1" applyBorder="1"/>
    <xf numFmtId="164" fontId="4" fillId="0" borderId="64" xfId="0" applyNumberFormat="1" applyFont="1" applyBorder="1" applyAlignment="1">
      <alignment horizontal="right"/>
    </xf>
    <xf numFmtId="0" fontId="4" fillId="0" borderId="0" xfId="0" applyFont="1" applyFill="1"/>
    <xf numFmtId="0" fontId="0" fillId="0" borderId="0" xfId="0" applyFill="1"/>
    <xf numFmtId="0" fontId="4" fillId="0" borderId="23" xfId="0" applyFont="1" applyBorder="1" applyAlignment="1">
      <alignment horizontal="center"/>
    </xf>
    <xf numFmtId="3" fontId="4" fillId="0" borderId="53" xfId="1" applyNumberFormat="1" applyFont="1" applyBorder="1" applyAlignment="1">
      <alignment horizontal="right"/>
    </xf>
    <xf numFmtId="3" fontId="3" fillId="0" borderId="61" xfId="1" applyNumberFormat="1" applyFont="1" applyBorder="1" applyAlignment="1">
      <alignment horizontal="right"/>
    </xf>
    <xf numFmtId="164" fontId="4" fillId="0" borderId="61" xfId="0" applyNumberFormat="1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3" fontId="3" fillId="0" borderId="59" xfId="0" applyNumberFormat="1" applyFont="1" applyBorder="1" applyAlignment="1">
      <alignment horizontal="right"/>
    </xf>
    <xf numFmtId="0" fontId="3" fillId="0" borderId="7" xfId="0" applyFont="1" applyFill="1" applyBorder="1" applyAlignment="1">
      <alignment horizontal="centerContinuous"/>
    </xf>
    <xf numFmtId="0" fontId="3" fillId="0" borderId="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0" xfId="0" applyFont="1" applyFill="1" applyBorder="1"/>
    <xf numFmtId="0" fontId="4" fillId="0" borderId="35" xfId="0" applyFont="1" applyBorder="1" applyAlignment="1">
      <alignment horizontal="left" indent="1"/>
    </xf>
    <xf numFmtId="0" fontId="4" fillId="0" borderId="35" xfId="0" applyFont="1" applyBorder="1" applyAlignment="1">
      <alignment horizontal="left" wrapText="1" indent="1"/>
    </xf>
    <xf numFmtId="0" fontId="3" fillId="0" borderId="35" xfId="0" applyFont="1" applyBorder="1" applyAlignment="1">
      <alignment horizontal="left" indent="1"/>
    </xf>
    <xf numFmtId="0" fontId="10" fillId="0" borderId="35" xfId="0" applyFont="1" applyBorder="1" applyAlignment="1">
      <alignment horizontal="left" indent="1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2" xfId="0" applyFont="1" applyFill="1" applyBorder="1"/>
    <xf numFmtId="0" fontId="3" fillId="0" borderId="29" xfId="0" applyFont="1" applyFill="1" applyBorder="1"/>
    <xf numFmtId="0" fontId="3" fillId="0" borderId="1" xfId="0" applyFont="1" applyFill="1" applyBorder="1"/>
    <xf numFmtId="3" fontId="3" fillId="0" borderId="1" xfId="0" applyNumberFormat="1" applyFont="1" applyFill="1" applyBorder="1"/>
    <xf numFmtId="3" fontId="4" fillId="0" borderId="2" xfId="0" applyNumberFormat="1" applyFont="1" applyFill="1" applyBorder="1"/>
    <xf numFmtId="164" fontId="4" fillId="0" borderId="0" xfId="0" applyNumberFormat="1" applyFont="1" applyFill="1" applyBorder="1" applyAlignment="1">
      <alignment horizontal="center"/>
    </xf>
    <xf numFmtId="164" fontId="4" fillId="0" borderId="65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0" fontId="3" fillId="0" borderId="28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4" fillId="0" borderId="43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3" fontId="4" fillId="0" borderId="2" xfId="1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66" xfId="0" applyFont="1" applyFill="1" applyBorder="1" applyAlignment="1">
      <alignment horizontal="centerContinuous"/>
    </xf>
    <xf numFmtId="0" fontId="3" fillId="0" borderId="24" xfId="0" applyFont="1" applyFill="1" applyBorder="1" applyAlignment="1">
      <alignment horizontal="center"/>
    </xf>
    <xf numFmtId="0" fontId="4" fillId="0" borderId="24" xfId="0" applyFont="1" applyFill="1" applyBorder="1"/>
    <xf numFmtId="0" fontId="4" fillId="0" borderId="25" xfId="0" applyFont="1" applyFill="1" applyBorder="1"/>
    <xf numFmtId="0" fontId="4" fillId="0" borderId="22" xfId="0" applyFont="1" applyFill="1" applyBorder="1"/>
    <xf numFmtId="0" fontId="3" fillId="0" borderId="67" xfId="0" applyFont="1" applyFill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52" xfId="0" applyFont="1" applyFill="1" applyBorder="1"/>
    <xf numFmtId="0" fontId="3" fillId="0" borderId="52" xfId="0" applyFont="1" applyFill="1" applyBorder="1"/>
    <xf numFmtId="3" fontId="4" fillId="0" borderId="52" xfId="0" applyNumberFormat="1" applyFont="1" applyFill="1" applyBorder="1"/>
    <xf numFmtId="0" fontId="4" fillId="0" borderId="56" xfId="0" applyFont="1" applyFill="1" applyBorder="1"/>
    <xf numFmtId="164" fontId="4" fillId="0" borderId="52" xfId="0" applyNumberFormat="1" applyFont="1" applyFill="1" applyBorder="1" applyAlignment="1">
      <alignment horizontal="right"/>
    </xf>
    <xf numFmtId="164" fontId="4" fillId="0" borderId="60" xfId="0" applyNumberFormat="1" applyFont="1" applyFill="1" applyBorder="1"/>
    <xf numFmtId="164" fontId="4" fillId="0" borderId="62" xfId="0" applyNumberFormat="1" applyFont="1" applyFill="1" applyBorder="1" applyAlignment="1">
      <alignment horizontal="center"/>
    </xf>
    <xf numFmtId="164" fontId="4" fillId="0" borderId="58" xfId="0" applyNumberFormat="1" applyFont="1" applyFill="1" applyBorder="1"/>
    <xf numFmtId="164" fontId="4" fillId="0" borderId="56" xfId="0" applyNumberFormat="1" applyFont="1" applyFill="1" applyBorder="1"/>
    <xf numFmtId="164" fontId="4" fillId="0" borderId="62" xfId="0" applyNumberFormat="1" applyFont="1" applyFill="1" applyBorder="1"/>
    <xf numFmtId="164" fontId="4" fillId="0" borderId="50" xfId="0" applyNumberFormat="1" applyFont="1" applyFill="1" applyBorder="1" applyAlignment="1">
      <alignment horizontal="right"/>
    </xf>
    <xf numFmtId="164" fontId="4" fillId="0" borderId="54" xfId="0" applyNumberFormat="1" applyFont="1" applyFill="1" applyBorder="1" applyAlignment="1">
      <alignment horizontal="right"/>
    </xf>
    <xf numFmtId="0" fontId="3" fillId="0" borderId="68" xfId="0" applyFont="1" applyBorder="1"/>
    <xf numFmtId="0" fontId="10" fillId="0" borderId="34" xfId="0" applyFont="1" applyBorder="1" applyAlignment="1">
      <alignment horizontal="left" indent="1"/>
    </xf>
    <xf numFmtId="0" fontId="3" fillId="0" borderId="46" xfId="0" applyFont="1" applyBorder="1" applyAlignment="1">
      <alignment horizontal="left" indent="1"/>
    </xf>
    <xf numFmtId="0" fontId="3" fillId="0" borderId="69" xfId="0" applyFont="1" applyBorder="1"/>
    <xf numFmtId="0" fontId="4" fillId="0" borderId="46" xfId="0" applyFont="1" applyBorder="1"/>
    <xf numFmtId="0" fontId="8" fillId="0" borderId="70" xfId="0" applyFont="1" applyBorder="1"/>
    <xf numFmtId="0" fontId="3" fillId="0" borderId="35" xfId="0" applyFont="1" applyBorder="1"/>
    <xf numFmtId="0" fontId="3" fillId="0" borderId="70" xfId="0" applyFont="1" applyBorder="1"/>
    <xf numFmtId="0" fontId="3" fillId="0" borderId="32" xfId="0" applyFont="1" applyBorder="1" applyAlignment="1">
      <alignment horizontal="left" indent="1"/>
    </xf>
    <xf numFmtId="0" fontId="4" fillId="0" borderId="34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68" xfId="0" applyFont="1" applyBorder="1"/>
    <xf numFmtId="0" fontId="4" fillId="0" borderId="32" xfId="0" applyFont="1" applyBorder="1" applyAlignment="1">
      <alignment horizontal="right"/>
    </xf>
    <xf numFmtId="0" fontId="3" fillId="0" borderId="46" xfId="0" applyFont="1" applyBorder="1" applyAlignment="1">
      <alignment horizontal="center"/>
    </xf>
    <xf numFmtId="0" fontId="3" fillId="0" borderId="69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4" fillId="0" borderId="34" xfId="0" applyFont="1" applyBorder="1" applyAlignment="1">
      <alignment horizontal="left" indent="1"/>
    </xf>
    <xf numFmtId="0" fontId="4" fillId="0" borderId="36" xfId="0" applyFont="1" applyBorder="1" applyAlignment="1">
      <alignment horizontal="left" indent="1"/>
    </xf>
    <xf numFmtId="0" fontId="3" fillId="0" borderId="34" xfId="0" applyFont="1" applyBorder="1" applyAlignment="1">
      <alignment horizontal="left"/>
    </xf>
    <xf numFmtId="0" fontId="4" fillId="0" borderId="71" xfId="0" applyFont="1" applyBorder="1" applyAlignment="1">
      <alignment horizontal="right"/>
    </xf>
    <xf numFmtId="166" fontId="3" fillId="0" borderId="6" xfId="12" applyNumberFormat="1" applyFont="1" applyFill="1" applyBorder="1" applyAlignment="1">
      <alignment horizontal="right"/>
    </xf>
    <xf numFmtId="1" fontId="3" fillId="0" borderId="29" xfId="0" applyNumberFormat="1" applyFont="1" applyFill="1" applyBorder="1" applyAlignment="1">
      <alignment horizontal="right"/>
    </xf>
    <xf numFmtId="0" fontId="4" fillId="0" borderId="28" xfId="0" applyNumberFormat="1" applyFont="1" applyBorder="1"/>
    <xf numFmtId="0" fontId="4" fillId="0" borderId="45" xfId="0" applyFont="1" applyBorder="1" applyAlignment="1">
      <alignment horizontal="center"/>
    </xf>
    <xf numFmtId="5" fontId="4" fillId="0" borderId="4" xfId="0" applyNumberFormat="1" applyFont="1" applyBorder="1" applyAlignment="1">
      <alignment horizontal="right"/>
    </xf>
    <xf numFmtId="169" fontId="4" fillId="0" borderId="30" xfId="0" applyNumberFormat="1" applyFont="1" applyBorder="1" applyAlignment="1">
      <alignment horizontal="right"/>
    </xf>
    <xf numFmtId="166" fontId="4" fillId="0" borderId="6" xfId="12" applyNumberFormat="1" applyFont="1" applyBorder="1" applyAlignment="1">
      <alignment horizontal="right"/>
    </xf>
    <xf numFmtId="166" fontId="4" fillId="0" borderId="26" xfId="12" applyNumberFormat="1" applyFont="1" applyBorder="1" applyAlignment="1">
      <alignment horizontal="right"/>
    </xf>
    <xf numFmtId="0" fontId="4" fillId="0" borderId="50" xfId="0" applyFont="1" applyFill="1" applyBorder="1"/>
    <xf numFmtId="0" fontId="3" fillId="0" borderId="54" xfId="0" applyFont="1" applyFill="1" applyBorder="1"/>
    <xf numFmtId="164" fontId="4" fillId="0" borderId="52" xfId="0" applyNumberFormat="1" applyFont="1" applyFill="1" applyBorder="1"/>
    <xf numFmtId="164" fontId="4" fillId="0" borderId="50" xfId="0" applyNumberFormat="1" applyFont="1" applyFill="1" applyBorder="1"/>
    <xf numFmtId="164" fontId="4" fillId="0" borderId="54" xfId="0" applyNumberFormat="1" applyFont="1" applyFill="1" applyBorder="1"/>
    <xf numFmtId="0" fontId="3" fillId="0" borderId="54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166" fontId="3" fillId="0" borderId="52" xfId="12" applyNumberFormat="1" applyFont="1" applyFill="1" applyBorder="1" applyAlignment="1">
      <alignment horizontal="right"/>
    </xf>
    <xf numFmtId="166" fontId="4" fillId="0" borderId="24" xfId="0" applyNumberFormat="1" applyFont="1" applyFill="1" applyBorder="1" applyAlignment="1">
      <alignment horizontal="right"/>
    </xf>
    <xf numFmtId="164" fontId="4" fillId="0" borderId="30" xfId="3" applyNumberFormat="1" applyFont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3" fontId="4" fillId="0" borderId="25" xfId="1" applyNumberFormat="1" applyFont="1" applyFill="1" applyBorder="1" applyAlignment="1">
      <alignment horizontal="right"/>
    </xf>
    <xf numFmtId="5" fontId="4" fillId="0" borderId="30" xfId="0" applyNumberFormat="1" applyFont="1" applyBorder="1" applyAlignment="1">
      <alignment horizontal="right"/>
    </xf>
    <xf numFmtId="164" fontId="4" fillId="0" borderId="51" xfId="0" applyNumberFormat="1" applyFont="1" applyBorder="1" applyAlignment="1">
      <alignment horizontal="center"/>
    </xf>
    <xf numFmtId="164" fontId="4" fillId="0" borderId="56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center"/>
    </xf>
    <xf numFmtId="0" fontId="4" fillId="0" borderId="60" xfId="0" applyNumberFormat="1" applyFont="1" applyBorder="1" applyAlignment="1">
      <alignment horizontal="center"/>
    </xf>
    <xf numFmtId="1" fontId="4" fillId="0" borderId="52" xfId="0" applyNumberFormat="1" applyFont="1" applyBorder="1" applyAlignment="1">
      <alignment horizontal="center"/>
    </xf>
    <xf numFmtId="164" fontId="4" fillId="0" borderId="53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164" fontId="4" fillId="0" borderId="51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62" xfId="0" applyNumberFormat="1" applyFont="1" applyFill="1" applyBorder="1" applyAlignment="1">
      <alignment horizontal="center"/>
    </xf>
    <xf numFmtId="1" fontId="4" fillId="0" borderId="52" xfId="0" applyNumberFormat="1" applyFont="1" applyFill="1" applyBorder="1" applyAlignment="1">
      <alignment horizontal="center"/>
    </xf>
    <xf numFmtId="164" fontId="4" fillId="0" borderId="45" xfId="0" applyNumberFormat="1" applyFont="1" applyFill="1" applyBorder="1"/>
    <xf numFmtId="0" fontId="4" fillId="0" borderId="48" xfId="0" applyFont="1" applyFill="1" applyBorder="1"/>
    <xf numFmtId="164" fontId="4" fillId="0" borderId="58" xfId="0" applyNumberFormat="1" applyFont="1" applyFill="1" applyBorder="1" applyAlignment="1">
      <alignment horizontal="center"/>
    </xf>
    <xf numFmtId="164" fontId="4" fillId="0" borderId="29" xfId="0" applyNumberFormat="1" applyFont="1" applyFill="1" applyBorder="1"/>
    <xf numFmtId="0" fontId="3" fillId="0" borderId="30" xfId="0" applyFont="1" applyFill="1" applyBorder="1" applyAlignment="1">
      <alignment horizontal="right"/>
    </xf>
    <xf numFmtId="3" fontId="4" fillId="0" borderId="53" xfId="1" applyNumberFormat="1" applyFont="1" applyFill="1" applyBorder="1" applyAlignment="1">
      <alignment horizontal="right"/>
    </xf>
    <xf numFmtId="3" fontId="4" fillId="0" borderId="53" xfId="0" applyNumberFormat="1" applyFont="1" applyFill="1" applyBorder="1"/>
    <xf numFmtId="3" fontId="3" fillId="0" borderId="55" xfId="0" applyNumberFormat="1" applyFont="1" applyFill="1" applyBorder="1" applyAlignment="1">
      <alignment horizontal="right"/>
    </xf>
    <xf numFmtId="0" fontId="3" fillId="0" borderId="2" xfId="0" applyFont="1" applyFill="1" applyBorder="1"/>
    <xf numFmtId="0" fontId="4" fillId="0" borderId="45" xfId="0" applyFont="1" applyFill="1" applyBorder="1"/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51" xfId="0" applyFont="1" applyFill="1" applyBorder="1"/>
    <xf numFmtId="3" fontId="3" fillId="0" borderId="59" xfId="0" applyNumberFormat="1" applyFont="1" applyFill="1" applyBorder="1" applyAlignment="1">
      <alignment horizontal="right"/>
    </xf>
    <xf numFmtId="0" fontId="4" fillId="0" borderId="57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/>
    </xf>
    <xf numFmtId="164" fontId="4" fillId="0" borderId="29" xfId="0" applyNumberFormat="1" applyFont="1" applyFill="1" applyBorder="1" applyAlignment="1">
      <alignment horizontal="center"/>
    </xf>
    <xf numFmtId="0" fontId="4" fillId="0" borderId="57" xfId="0" applyFont="1" applyFill="1" applyBorder="1"/>
    <xf numFmtId="164" fontId="4" fillId="0" borderId="61" xfId="0" applyNumberFormat="1" applyFont="1" applyFill="1" applyBorder="1" applyAlignment="1">
      <alignment horizontal="center"/>
    </xf>
    <xf numFmtId="164" fontId="4" fillId="0" borderId="57" xfId="0" applyNumberFormat="1" applyFont="1" applyFill="1" applyBorder="1" applyAlignment="1">
      <alignment horizontal="center"/>
    </xf>
    <xf numFmtId="0" fontId="4" fillId="0" borderId="53" xfId="0" applyFont="1" applyFill="1" applyBorder="1"/>
    <xf numFmtId="3" fontId="4" fillId="0" borderId="53" xfId="0" applyNumberFormat="1" applyFont="1" applyFill="1" applyBorder="1" applyAlignment="1">
      <alignment horizontal="center"/>
    </xf>
    <xf numFmtId="3" fontId="3" fillId="0" borderId="61" xfId="1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centerContinuous"/>
    </xf>
    <xf numFmtId="0" fontId="4" fillId="0" borderId="23" xfId="0" applyFont="1" applyFill="1" applyBorder="1"/>
    <xf numFmtId="0" fontId="4" fillId="0" borderId="20" xfId="0" applyFont="1" applyFill="1" applyBorder="1"/>
    <xf numFmtId="0" fontId="4" fillId="0" borderId="2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3" fontId="4" fillId="0" borderId="8" xfId="1" applyNumberFormat="1" applyFont="1" applyFill="1" applyBorder="1" applyAlignment="1">
      <alignment horizontal="right"/>
    </xf>
    <xf numFmtId="166" fontId="4" fillId="0" borderId="8" xfId="0" applyNumberFormat="1" applyFont="1" applyFill="1" applyBorder="1" applyAlignment="1">
      <alignment horizontal="right"/>
    </xf>
    <xf numFmtId="3" fontId="4" fillId="0" borderId="9" xfId="1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/>
    </xf>
    <xf numFmtId="166" fontId="3" fillId="0" borderId="20" xfId="12" applyNumberFormat="1" applyFont="1" applyFill="1" applyBorder="1" applyAlignment="1">
      <alignment horizontal="right"/>
    </xf>
    <xf numFmtId="166" fontId="4" fillId="0" borderId="20" xfId="12" applyNumberFormat="1" applyFont="1" applyBorder="1" applyAlignment="1">
      <alignment horizontal="right"/>
    </xf>
    <xf numFmtId="166" fontId="4" fillId="0" borderId="37" xfId="12" applyNumberFormat="1" applyFont="1" applyBorder="1" applyAlignment="1">
      <alignment horizontal="right"/>
    </xf>
    <xf numFmtId="164" fontId="4" fillId="0" borderId="28" xfId="0" applyNumberFormat="1" applyFont="1" applyFill="1" applyBorder="1"/>
    <xf numFmtId="164" fontId="4" fillId="0" borderId="4" xfId="0" applyNumberFormat="1" applyFont="1" applyFill="1" applyBorder="1"/>
    <xf numFmtId="164" fontId="4" fillId="0" borderId="2" xfId="0" applyNumberFormat="1" applyFont="1" applyFill="1" applyBorder="1"/>
    <xf numFmtId="0" fontId="0" fillId="0" borderId="53" xfId="0" applyFill="1" applyBorder="1"/>
    <xf numFmtId="168" fontId="4" fillId="0" borderId="51" xfId="1" applyNumberFormat="1" applyFont="1" applyFill="1" applyBorder="1"/>
    <xf numFmtId="168" fontId="3" fillId="0" borderId="53" xfId="1" applyNumberFormat="1" applyFont="1" applyFill="1" applyBorder="1"/>
    <xf numFmtId="0" fontId="0" fillId="0" borderId="63" xfId="0" applyFill="1" applyBorder="1"/>
    <xf numFmtId="168" fontId="4" fillId="0" borderId="53" xfId="1" applyNumberFormat="1" applyFont="1" applyFill="1" applyBorder="1"/>
    <xf numFmtId="0" fontId="3" fillId="0" borderId="30" xfId="0" applyFont="1" applyFill="1" applyBorder="1"/>
    <xf numFmtId="0" fontId="3" fillId="0" borderId="5" xfId="0" applyFont="1" applyFill="1" applyBorder="1" applyAlignment="1">
      <alignment horizontal="centerContinuous"/>
    </xf>
    <xf numFmtId="168" fontId="3" fillId="0" borderId="61" xfId="1" applyNumberFormat="1" applyFont="1" applyFill="1" applyBorder="1"/>
    <xf numFmtId="164" fontId="4" fillId="0" borderId="30" xfId="0" applyNumberFormat="1" applyFont="1" applyFill="1" applyBorder="1"/>
    <xf numFmtId="5" fontId="4" fillId="0" borderId="51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horizontal="center"/>
    </xf>
    <xf numFmtId="166" fontId="3" fillId="0" borderId="2" xfId="12" applyNumberFormat="1" applyFont="1" applyFill="1" applyBorder="1" applyAlignment="1">
      <alignment horizontal="right"/>
    </xf>
    <xf numFmtId="1" fontId="3" fillId="0" borderId="55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right"/>
    </xf>
    <xf numFmtId="164" fontId="4" fillId="0" borderId="53" xfId="0" applyNumberFormat="1" applyFont="1" applyFill="1" applyBorder="1" applyAlignment="1">
      <alignment horizontal="center"/>
    </xf>
    <xf numFmtId="164" fontId="4" fillId="0" borderId="45" xfId="0" applyNumberFormat="1" applyFont="1" applyFill="1" applyBorder="1" applyAlignment="1">
      <alignment horizontal="center"/>
    </xf>
    <xf numFmtId="164" fontId="4" fillId="0" borderId="64" xfId="0" applyNumberFormat="1" applyFont="1" applyFill="1" applyBorder="1" applyAlignment="1">
      <alignment horizontal="right"/>
    </xf>
    <xf numFmtId="164" fontId="4" fillId="0" borderId="72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6" xfId="0" applyFont="1" applyFill="1" applyBorder="1"/>
    <xf numFmtId="0" fontId="4" fillId="0" borderId="26" xfId="0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center"/>
    </xf>
    <xf numFmtId="1" fontId="3" fillId="0" borderId="30" xfId="0" applyNumberFormat="1" applyFont="1" applyFill="1" applyBorder="1" applyAlignment="1">
      <alignment horizontal="right"/>
    </xf>
    <xf numFmtId="168" fontId="4" fillId="0" borderId="4" xfId="1" applyNumberFormat="1" applyFont="1" applyFill="1" applyBorder="1"/>
    <xf numFmtId="168" fontId="4" fillId="0" borderId="2" xfId="1" applyNumberFormat="1" applyFont="1" applyFill="1" applyBorder="1"/>
    <xf numFmtId="168" fontId="3" fillId="0" borderId="2" xfId="1" applyNumberFormat="1" applyFont="1" applyFill="1" applyBorder="1"/>
    <xf numFmtId="0" fontId="4" fillId="0" borderId="4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3" fontId="3" fillId="0" borderId="30" xfId="0" applyNumberFormat="1" applyFont="1" applyFill="1" applyBorder="1" applyAlignment="1">
      <alignment horizontal="right"/>
    </xf>
    <xf numFmtId="5" fontId="4" fillId="0" borderId="4" xfId="0" applyNumberFormat="1" applyFont="1" applyFill="1" applyBorder="1" applyAlignment="1">
      <alignment horizontal="right"/>
    </xf>
    <xf numFmtId="0" fontId="0" fillId="0" borderId="2" xfId="0" applyFill="1" applyBorder="1"/>
    <xf numFmtId="0" fontId="0" fillId="0" borderId="0" xfId="0" applyFill="1" applyBorder="1"/>
    <xf numFmtId="0" fontId="4" fillId="0" borderId="34" xfId="0" applyFont="1" applyBorder="1" applyAlignment="1">
      <alignment horizontal="right"/>
    </xf>
    <xf numFmtId="0" fontId="5" fillId="0" borderId="34" xfId="0" applyFont="1" applyBorder="1"/>
    <xf numFmtId="164" fontId="12" fillId="0" borderId="4" xfId="0" applyNumberFormat="1" applyFont="1" applyFill="1" applyBorder="1" applyAlignment="1">
      <alignment horizontal="right"/>
    </xf>
    <xf numFmtId="164" fontId="4" fillId="0" borderId="53" xfId="3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164" fontId="4" fillId="0" borderId="61" xfId="3" applyNumberFormat="1" applyFont="1" applyBorder="1" applyAlignment="1">
      <alignment horizontal="center"/>
    </xf>
    <xf numFmtId="166" fontId="4" fillId="0" borderId="20" xfId="0" applyNumberFormat="1" applyFont="1" applyFill="1" applyBorder="1"/>
    <xf numFmtId="166" fontId="4" fillId="0" borderId="37" xfId="0" applyNumberFormat="1" applyFont="1" applyFill="1" applyBorder="1"/>
    <xf numFmtId="1" fontId="3" fillId="0" borderId="53" xfId="1" applyNumberFormat="1" applyFont="1" applyBorder="1"/>
    <xf numFmtId="1" fontId="4" fillId="0" borderId="51" xfId="1" applyNumberFormat="1" applyFont="1" applyBorder="1"/>
    <xf numFmtId="1" fontId="4" fillId="0" borderId="53" xfId="1" applyNumberFormat="1" applyFont="1" applyBorder="1"/>
    <xf numFmtId="1" fontId="4" fillId="0" borderId="52" xfId="0" applyNumberFormat="1" applyFont="1" applyBorder="1"/>
    <xf numFmtId="1" fontId="3" fillId="0" borderId="52" xfId="0" applyNumberFormat="1" applyFont="1" applyBorder="1"/>
    <xf numFmtId="3" fontId="3" fillId="0" borderId="53" xfId="0" applyNumberFormat="1" applyFont="1" applyBorder="1"/>
    <xf numFmtId="3" fontId="4" fillId="0" borderId="53" xfId="1" applyNumberFormat="1" applyFont="1" applyBorder="1"/>
    <xf numFmtId="3" fontId="3" fillId="0" borderId="10" xfId="0" applyNumberFormat="1" applyFont="1" applyBorder="1"/>
    <xf numFmtId="164" fontId="4" fillId="0" borderId="58" xfId="0" applyNumberFormat="1" applyFont="1" applyFill="1" applyBorder="1" applyAlignment="1">
      <alignment horizontal="right"/>
    </xf>
    <xf numFmtId="169" fontId="12" fillId="0" borderId="63" xfId="0" applyNumberFormat="1" applyFont="1" applyBorder="1"/>
    <xf numFmtId="0" fontId="4" fillId="0" borderId="59" xfId="0" applyNumberFormat="1" applyFont="1" applyFill="1" applyBorder="1" applyAlignment="1">
      <alignment horizontal="right"/>
    </xf>
    <xf numFmtId="164" fontId="4" fillId="0" borderId="28" xfId="0" applyNumberFormat="1" applyFont="1" applyFill="1" applyBorder="1" applyAlignment="1">
      <alignment horizontal="right"/>
    </xf>
    <xf numFmtId="0" fontId="4" fillId="0" borderId="28" xfId="0" applyNumberFormat="1" applyFont="1" applyFill="1" applyBorder="1" applyAlignment="1">
      <alignment horizontal="right"/>
    </xf>
    <xf numFmtId="164" fontId="4" fillId="0" borderId="29" xfId="3" applyNumberFormat="1" applyFont="1" applyBorder="1" applyAlignment="1">
      <alignment horizontal="right"/>
    </xf>
    <xf numFmtId="172" fontId="4" fillId="0" borderId="61" xfId="0" applyNumberFormat="1" applyFont="1" applyFill="1" applyBorder="1" applyAlignment="1">
      <alignment horizontal="right"/>
    </xf>
    <xf numFmtId="169" fontId="4" fillId="0" borderId="53" xfId="0" applyNumberFormat="1" applyFont="1" applyFill="1" applyBorder="1" applyAlignment="1">
      <alignment horizontal="right"/>
    </xf>
    <xf numFmtId="169" fontId="4" fillId="0" borderId="59" xfId="0" applyNumberFormat="1" applyFont="1" applyFill="1" applyBorder="1" applyAlignment="1">
      <alignment horizontal="right"/>
    </xf>
    <xf numFmtId="169" fontId="4" fillId="0" borderId="61" xfId="0" applyNumberFormat="1" applyFont="1" applyFill="1" applyBorder="1" applyAlignment="1">
      <alignment horizontal="right"/>
    </xf>
    <xf numFmtId="169" fontId="4" fillId="0" borderId="2" xfId="0" applyNumberFormat="1" applyFont="1" applyFill="1" applyBorder="1" applyAlignment="1">
      <alignment horizontal="right"/>
    </xf>
    <xf numFmtId="169" fontId="4" fillId="0" borderId="28" xfId="0" applyNumberFormat="1" applyFont="1" applyFill="1" applyBorder="1" applyAlignment="1">
      <alignment horizontal="right"/>
    </xf>
    <xf numFmtId="169" fontId="4" fillId="0" borderId="29" xfId="0" applyNumberFormat="1" applyFont="1" applyFill="1" applyBorder="1" applyAlignment="1">
      <alignment horizontal="right"/>
    </xf>
    <xf numFmtId="172" fontId="4" fillId="0" borderId="29" xfId="0" applyNumberFormat="1" applyFont="1" applyFill="1" applyBorder="1" applyAlignment="1">
      <alignment horizontal="right"/>
    </xf>
    <xf numFmtId="1" fontId="4" fillId="0" borderId="28" xfId="0" applyNumberFormat="1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horizontal="center"/>
    </xf>
    <xf numFmtId="169" fontId="4" fillId="0" borderId="30" xfId="0" applyNumberFormat="1" applyFont="1" applyFill="1" applyBorder="1" applyAlignment="1">
      <alignment horizontal="right"/>
    </xf>
    <xf numFmtId="169" fontId="12" fillId="0" borderId="63" xfId="0" applyNumberFormat="1" applyFont="1" applyFill="1" applyBorder="1"/>
    <xf numFmtId="169" fontId="4" fillId="0" borderId="55" xfId="0" applyNumberFormat="1" applyFont="1" applyFill="1" applyBorder="1" applyAlignment="1">
      <alignment horizontal="right"/>
    </xf>
    <xf numFmtId="164" fontId="12" fillId="0" borderId="50" xfId="0" applyNumberFormat="1" applyFont="1" applyFill="1" applyBorder="1"/>
    <xf numFmtId="169" fontId="12" fillId="0" borderId="30" xfId="0" applyNumberFormat="1" applyFont="1" applyFill="1" applyBorder="1" applyAlignment="1">
      <alignment horizontal="right"/>
    </xf>
    <xf numFmtId="164" fontId="12" fillId="0" borderId="54" xfId="0" applyNumberFormat="1" applyFont="1" applyFill="1" applyBorder="1"/>
    <xf numFmtId="164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/>
    <xf numFmtId="169" fontId="12" fillId="0" borderId="4" xfId="0" applyNumberFormat="1" applyFont="1" applyFill="1" applyBorder="1"/>
    <xf numFmtId="173" fontId="12" fillId="0" borderId="63" xfId="0" applyNumberFormat="1" applyFont="1" applyBorder="1"/>
    <xf numFmtId="164" fontId="12" fillId="0" borderId="4" xfId="0" applyNumberFormat="1" applyFont="1" applyFill="1" applyBorder="1"/>
    <xf numFmtId="5" fontId="4" fillId="0" borderId="30" xfId="0" applyNumberFormat="1" applyFont="1" applyFill="1" applyBorder="1" applyAlignment="1">
      <alignment horizontal="right"/>
    </xf>
    <xf numFmtId="164" fontId="12" fillId="0" borderId="30" xfId="0" applyNumberFormat="1" applyFont="1" applyFill="1" applyBorder="1"/>
    <xf numFmtId="164" fontId="12" fillId="0" borderId="55" xfId="3" applyNumberFormat="1" applyFont="1" applyFill="1" applyBorder="1" applyAlignment="1">
      <alignment horizontal="right"/>
    </xf>
    <xf numFmtId="164" fontId="12" fillId="0" borderId="30" xfId="3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0" borderId="51" xfId="0" applyNumberFormat="1" applyFont="1" applyFill="1" applyBorder="1" applyAlignment="1">
      <alignment horizontal="right"/>
    </xf>
    <xf numFmtId="0" fontId="4" fillId="0" borderId="47" xfId="0" applyFont="1" applyFill="1" applyBorder="1" applyAlignment="1">
      <alignment horizontal="right"/>
    </xf>
    <xf numFmtId="0" fontId="4" fillId="0" borderId="48" xfId="0" applyFont="1" applyFill="1" applyBorder="1" applyAlignment="1">
      <alignment horizontal="right"/>
    </xf>
    <xf numFmtId="0" fontId="4" fillId="0" borderId="73" xfId="0" applyFont="1" applyFill="1" applyBorder="1" applyAlignment="1">
      <alignment horizontal="right"/>
    </xf>
    <xf numFmtId="164" fontId="4" fillId="0" borderId="58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0" fontId="4" fillId="0" borderId="52" xfId="0" applyNumberFormat="1" applyFont="1" applyFill="1" applyBorder="1" applyAlignment="1">
      <alignment horizontal="center"/>
    </xf>
    <xf numFmtId="1" fontId="4" fillId="0" borderId="60" xfId="0" applyNumberFormat="1" applyFont="1" applyFill="1" applyBorder="1" applyAlignment="1">
      <alignment horizontal="center"/>
    </xf>
    <xf numFmtId="164" fontId="4" fillId="0" borderId="59" xfId="0" applyNumberFormat="1" applyFont="1" applyFill="1" applyBorder="1" applyAlignment="1">
      <alignment horizontal="right"/>
    </xf>
    <xf numFmtId="164" fontId="4" fillId="0" borderId="53" xfId="0" applyNumberFormat="1" applyFont="1" applyBorder="1" applyAlignment="1"/>
    <xf numFmtId="169" fontId="4" fillId="0" borderId="29" xfId="0" applyNumberFormat="1" applyFont="1" applyBorder="1" applyAlignment="1">
      <alignment horizontal="right"/>
    </xf>
    <xf numFmtId="169" fontId="4" fillId="0" borderId="53" xfId="0" applyNumberFormat="1" applyFont="1" applyBorder="1" applyAlignment="1">
      <alignment horizontal="right"/>
    </xf>
    <xf numFmtId="169" fontId="4" fillId="0" borderId="2" xfId="0" applyNumberFormat="1" applyFont="1" applyBorder="1"/>
    <xf numFmtId="169" fontId="12" fillId="0" borderId="53" xfId="0" applyNumberFormat="1" applyFont="1" applyBorder="1"/>
    <xf numFmtId="169" fontId="4" fillId="0" borderId="28" xfId="0" applyNumberFormat="1" applyFont="1" applyBorder="1"/>
    <xf numFmtId="169" fontId="4" fillId="0" borderId="29" xfId="0" applyNumberFormat="1" applyFont="1" applyBorder="1" applyAlignment="1">
      <alignment horizontal="center"/>
    </xf>
    <xf numFmtId="169" fontId="4" fillId="0" borderId="2" xfId="0" applyNumberFormat="1" applyFont="1" applyBorder="1" applyAlignment="1">
      <alignment horizontal="right"/>
    </xf>
    <xf numFmtId="169" fontId="4" fillId="0" borderId="28" xfId="0" applyNumberFormat="1" applyFont="1" applyBorder="1" applyAlignment="1">
      <alignment horizontal="right"/>
    </xf>
    <xf numFmtId="164" fontId="4" fillId="0" borderId="2" xfId="0" applyNumberFormat="1" applyFont="1" applyBorder="1" applyAlignment="1"/>
    <xf numFmtId="164" fontId="4" fillId="0" borderId="52" xfId="0" applyNumberFormat="1" applyFont="1" applyFill="1" applyBorder="1" applyAlignment="1"/>
    <xf numFmtId="164" fontId="4" fillId="0" borderId="53" xfId="0" applyNumberFormat="1" applyFont="1" applyFill="1" applyBorder="1" applyAlignment="1"/>
    <xf numFmtId="164" fontId="4" fillId="0" borderId="59" xfId="0" applyNumberFormat="1" applyFont="1" applyBorder="1" applyAlignment="1"/>
    <xf numFmtId="164" fontId="4" fillId="0" borderId="28" xfId="0" applyNumberFormat="1" applyFont="1" applyBorder="1" applyAlignment="1"/>
    <xf numFmtId="164" fontId="4" fillId="0" borderId="58" xfId="0" applyNumberFormat="1" applyFont="1" applyFill="1" applyBorder="1" applyAlignment="1"/>
    <xf numFmtId="164" fontId="4" fillId="0" borderId="59" xfId="0" applyNumberFormat="1" applyFont="1" applyFill="1" applyBorder="1" applyAlignment="1"/>
    <xf numFmtId="164" fontId="4" fillId="0" borderId="61" xfId="0" applyNumberFormat="1" applyFont="1" applyFill="1" applyBorder="1" applyAlignment="1">
      <alignment horizontal="right"/>
    </xf>
    <xf numFmtId="164" fontId="4" fillId="0" borderId="29" xfId="0" applyNumberFormat="1" applyFont="1" applyFill="1" applyBorder="1" applyAlignment="1">
      <alignment horizontal="right"/>
    </xf>
    <xf numFmtId="37" fontId="12" fillId="0" borderId="0" xfId="0" applyNumberFormat="1" applyFont="1"/>
    <xf numFmtId="5" fontId="4" fillId="0" borderId="55" xfId="0" applyNumberFormat="1" applyFont="1" applyFill="1" applyBorder="1" applyAlignment="1">
      <alignment horizontal="right"/>
    </xf>
    <xf numFmtId="0" fontId="4" fillId="0" borderId="20" xfId="0" applyFont="1" applyBorder="1" applyAlignment="1"/>
    <xf numFmtId="0" fontId="4" fillId="0" borderId="8" xfId="0" applyFont="1" applyBorder="1" applyAlignment="1"/>
    <xf numFmtId="0" fontId="4" fillId="0" borderId="6" xfId="0" applyFont="1" applyBorder="1" applyAlignment="1"/>
    <xf numFmtId="0" fontId="4" fillId="0" borderId="20" xfId="0" applyFont="1" applyFill="1" applyBorder="1" applyAlignment="1"/>
    <xf numFmtId="0" fontId="4" fillId="0" borderId="48" xfId="0" applyFont="1" applyBorder="1" applyAlignment="1"/>
    <xf numFmtId="0" fontId="4" fillId="0" borderId="43" xfId="0" applyFont="1" applyBorder="1" applyAlignment="1"/>
    <xf numFmtId="0" fontId="4" fillId="0" borderId="73" xfId="0" applyFont="1" applyBorder="1" applyAlignment="1"/>
    <xf numFmtId="0" fontId="4" fillId="0" borderId="48" xfId="0" applyFont="1" applyFill="1" applyBorder="1" applyAlignment="1"/>
    <xf numFmtId="0" fontId="4" fillId="0" borderId="73" xfId="0" applyFont="1" applyFill="1" applyBorder="1" applyAlignment="1"/>
    <xf numFmtId="0" fontId="4" fillId="0" borderId="24" xfId="0" applyFont="1" applyBorder="1" applyAlignment="1"/>
    <xf numFmtId="0" fontId="4" fillId="0" borderId="8" xfId="0" applyFont="1" applyFill="1" applyBorder="1" applyAlignment="1"/>
    <xf numFmtId="0" fontId="4" fillId="0" borderId="24" xfId="0" applyFont="1" applyFill="1" applyBorder="1" applyAlignment="1"/>
    <xf numFmtId="0" fontId="4" fillId="0" borderId="74" xfId="0" applyFont="1" applyFill="1" applyBorder="1"/>
    <xf numFmtId="0" fontId="4" fillId="0" borderId="24" xfId="0" applyFont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74" xfId="0" applyFont="1" applyBorder="1" applyAlignment="1">
      <alignment horizontal="right"/>
    </xf>
    <xf numFmtId="0" fontId="4" fillId="0" borderId="72" xfId="0" applyFont="1" applyFill="1" applyBorder="1" applyAlignment="1">
      <alignment horizontal="right"/>
    </xf>
    <xf numFmtId="0" fontId="4" fillId="0" borderId="37" xfId="0" applyNumberFormat="1" applyFont="1" applyFill="1" applyBorder="1" applyAlignment="1">
      <alignment horizontal="right"/>
    </xf>
    <xf numFmtId="0" fontId="4" fillId="0" borderId="26" xfId="0" applyNumberFormat="1" applyFont="1" applyFill="1" applyBorder="1" applyAlignment="1">
      <alignment horizontal="right"/>
    </xf>
    <xf numFmtId="0" fontId="4" fillId="0" borderId="1" xfId="0" applyFont="1" applyFill="1" applyBorder="1"/>
    <xf numFmtId="3" fontId="3" fillId="0" borderId="29" xfId="0" applyNumberFormat="1" applyFont="1" applyFill="1" applyBorder="1" applyAlignment="1">
      <alignment horizontal="right"/>
    </xf>
    <xf numFmtId="166" fontId="4" fillId="0" borderId="6" xfId="0" applyNumberFormat="1" applyFont="1" applyFill="1" applyBorder="1"/>
    <xf numFmtId="3" fontId="4" fillId="0" borderId="2" xfId="1" applyNumberFormat="1" applyFont="1" applyBorder="1"/>
    <xf numFmtId="3" fontId="3" fillId="0" borderId="29" xfId="1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right"/>
    </xf>
    <xf numFmtId="164" fontId="4" fillId="0" borderId="74" xfId="0" applyNumberFormat="1" applyFont="1" applyFill="1" applyBorder="1" applyAlignment="1">
      <alignment horizontal="right"/>
    </xf>
    <xf numFmtId="0" fontId="5" fillId="0" borderId="34" xfId="0" applyFont="1" applyBorder="1" applyAlignment="1">
      <alignment horizontal="left"/>
    </xf>
    <xf numFmtId="164" fontId="4" fillId="0" borderId="2" xfId="0" applyNumberFormat="1" applyFont="1" applyFill="1" applyBorder="1" applyAlignment="1">
      <alignment horizontal="center"/>
    </xf>
    <xf numFmtId="164" fontId="4" fillId="0" borderId="28" xfId="0" applyNumberFormat="1" applyFont="1" applyFill="1" applyBorder="1" applyAlignment="1">
      <alignment horizontal="center"/>
    </xf>
    <xf numFmtId="0" fontId="4" fillId="0" borderId="75" xfId="0" applyFont="1" applyBorder="1"/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3" fontId="4" fillId="0" borderId="0" xfId="1" applyNumberFormat="1" applyFont="1" applyBorder="1" applyAlignment="1">
      <alignment horizontal="center"/>
    </xf>
    <xf numFmtId="166" fontId="4" fillId="0" borderId="63" xfId="12" applyNumberFormat="1" applyFont="1" applyFill="1" applyBorder="1" applyAlignment="1">
      <alignment horizontal="center"/>
    </xf>
    <xf numFmtId="166" fontId="4" fillId="0" borderId="75" xfId="12" applyNumberFormat="1" applyFont="1" applyFill="1" applyBorder="1" applyAlignment="1">
      <alignment horizontal="center"/>
    </xf>
    <xf numFmtId="170" fontId="4" fillId="0" borderId="63" xfId="12" applyNumberFormat="1" applyFont="1" applyFill="1" applyBorder="1" applyAlignment="1">
      <alignment horizontal="center"/>
    </xf>
    <xf numFmtId="1" fontId="4" fillId="0" borderId="0" xfId="12" applyNumberFormat="1" applyFont="1" applyFill="1" applyBorder="1" applyAlignment="1">
      <alignment horizontal="center"/>
    </xf>
    <xf numFmtId="3" fontId="4" fillId="0" borderId="72" xfId="1" applyNumberFormat="1" applyFont="1" applyBorder="1" applyAlignment="1">
      <alignment horizontal="center"/>
    </xf>
    <xf numFmtId="170" fontId="4" fillId="0" borderId="64" xfId="12" applyNumberFormat="1" applyFont="1" applyFill="1" applyBorder="1" applyAlignment="1">
      <alignment horizontal="center"/>
    </xf>
    <xf numFmtId="1" fontId="4" fillId="0" borderId="72" xfId="12" applyNumberFormat="1" applyFont="1" applyFill="1" applyBorder="1" applyAlignment="1">
      <alignment horizontal="center"/>
    </xf>
    <xf numFmtId="3" fontId="3" fillId="0" borderId="76" xfId="11" applyNumberFormat="1" applyFont="1" applyBorder="1" applyAlignment="1">
      <alignment horizontal="center"/>
    </xf>
    <xf numFmtId="3" fontId="3" fillId="0" borderId="77" xfId="11" applyNumberFormat="1" applyFont="1" applyBorder="1" applyAlignment="1">
      <alignment horizontal="center"/>
    </xf>
    <xf numFmtId="3" fontId="3" fillId="0" borderId="0" xfId="0" applyNumberFormat="1" applyFont="1" applyFill="1" applyBorder="1"/>
    <xf numFmtId="0" fontId="4" fillId="0" borderId="78" xfId="11" applyFont="1" applyBorder="1"/>
    <xf numFmtId="166" fontId="4" fillId="0" borderId="56" xfId="13" applyNumberFormat="1" applyFont="1" applyBorder="1"/>
    <xf numFmtId="166" fontId="4" fillId="0" borderId="57" xfId="13" applyNumberFormat="1" applyFont="1" applyBorder="1"/>
    <xf numFmtId="166" fontId="4" fillId="0" borderId="50" xfId="13" applyNumberFormat="1" applyFont="1" applyBorder="1"/>
    <xf numFmtId="1" fontId="4" fillId="0" borderId="38" xfId="0" applyNumberFormat="1" applyFont="1" applyBorder="1"/>
    <xf numFmtId="166" fontId="4" fillId="0" borderId="79" xfId="0" applyNumberFormat="1" applyFont="1" applyBorder="1"/>
    <xf numFmtId="0" fontId="4" fillId="0" borderId="80" xfId="11" applyFont="1" applyBorder="1"/>
    <xf numFmtId="166" fontId="4" fillId="0" borderId="52" xfId="13" applyNumberFormat="1" applyFont="1" applyBorder="1"/>
    <xf numFmtId="166" fontId="4" fillId="0" borderId="53" xfId="13" applyNumberFormat="1" applyFont="1" applyBorder="1"/>
    <xf numFmtId="3" fontId="3" fillId="0" borderId="40" xfId="0" applyNumberFormat="1" applyFont="1" applyFill="1" applyBorder="1"/>
    <xf numFmtId="0" fontId="4" fillId="0" borderId="36" xfId="11" applyFont="1" applyBorder="1"/>
    <xf numFmtId="0" fontId="3" fillId="0" borderId="27" xfId="0" applyFont="1" applyBorder="1" applyAlignment="1">
      <alignment horizontal="center"/>
    </xf>
    <xf numFmtId="0" fontId="3" fillId="0" borderId="68" xfId="11" applyFont="1" applyBorder="1"/>
    <xf numFmtId="0" fontId="7" fillId="0" borderId="0" xfId="0" applyFont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166" fontId="4" fillId="0" borderId="81" xfId="12" applyNumberFormat="1" applyFont="1" applyFill="1" applyBorder="1" applyAlignment="1">
      <alignment horizontal="center"/>
    </xf>
    <xf numFmtId="167" fontId="4" fillId="0" borderId="63" xfId="1" applyNumberFormat="1" applyFont="1" applyBorder="1" applyAlignment="1">
      <alignment horizontal="center"/>
    </xf>
    <xf numFmtId="167" fontId="4" fillId="0" borderId="64" xfId="1" applyNumberFormat="1" applyFont="1" applyBorder="1" applyAlignment="1">
      <alignment horizontal="center"/>
    </xf>
    <xf numFmtId="3" fontId="4" fillId="0" borderId="74" xfId="1" applyNumberFormat="1" applyFont="1" applyBorder="1" applyAlignment="1">
      <alignment horizontal="center"/>
    </xf>
    <xf numFmtId="0" fontId="4" fillId="2" borderId="11" xfId="0" applyFont="1" applyFill="1" applyBorder="1"/>
    <xf numFmtId="0" fontId="4" fillId="2" borderId="23" xfId="0" applyFont="1" applyFill="1" applyBorder="1"/>
    <xf numFmtId="0" fontId="4" fillId="2" borderId="12" xfId="0" applyFont="1" applyFill="1" applyBorder="1"/>
    <xf numFmtId="0" fontId="4" fillId="2" borderId="22" xfId="0" applyFont="1" applyFill="1" applyBorder="1"/>
    <xf numFmtId="1" fontId="4" fillId="0" borderId="49" xfId="0" applyNumberFormat="1" applyFont="1" applyBorder="1"/>
    <xf numFmtId="0" fontId="3" fillId="0" borderId="40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4" fillId="0" borderId="44" xfId="0" applyFont="1" applyBorder="1"/>
    <xf numFmtId="0" fontId="4" fillId="0" borderId="65" xfId="0" applyFont="1" applyBorder="1"/>
    <xf numFmtId="1" fontId="4" fillId="0" borderId="39" xfId="0" applyNumberFormat="1" applyFont="1" applyBorder="1"/>
    <xf numFmtId="1" fontId="4" fillId="0" borderId="10" xfId="0" applyNumberFormat="1" applyFont="1" applyBorder="1"/>
    <xf numFmtId="1" fontId="4" fillId="0" borderId="10" xfId="0" applyNumberFormat="1" applyFont="1" applyFill="1" applyBorder="1"/>
    <xf numFmtId="1" fontId="4" fillId="0" borderId="82" xfId="0" applyNumberFormat="1" applyFont="1" applyFill="1" applyBorder="1"/>
    <xf numFmtId="3" fontId="4" fillId="0" borderId="40" xfId="0" applyNumberFormat="1" applyFont="1" applyBorder="1"/>
    <xf numFmtId="3" fontId="4" fillId="0" borderId="75" xfId="0" applyNumberFormat="1" applyFont="1" applyBorder="1"/>
    <xf numFmtId="3" fontId="4" fillId="0" borderId="38" xfId="0" applyNumberFormat="1" applyFont="1" applyBorder="1"/>
    <xf numFmtId="3" fontId="4" fillId="0" borderId="79" xfId="0" applyNumberFormat="1" applyFont="1" applyBorder="1"/>
    <xf numFmtId="3" fontId="4" fillId="0" borderId="39" xfId="0" applyNumberFormat="1" applyFont="1" applyBorder="1"/>
    <xf numFmtId="0" fontId="4" fillId="0" borderId="40" xfId="0" applyFont="1" applyBorder="1"/>
    <xf numFmtId="0" fontId="4" fillId="0" borderId="44" xfId="0" applyFont="1" applyBorder="1" applyAlignment="1">
      <alignment horizontal="center"/>
    </xf>
    <xf numFmtId="169" fontId="4" fillId="0" borderId="79" xfId="0" applyNumberFormat="1" applyFont="1" applyBorder="1"/>
    <xf numFmtId="169" fontId="4" fillId="0" borderId="75" xfId="0" applyNumberFormat="1" applyFont="1" applyBorder="1"/>
    <xf numFmtId="169" fontId="4" fillId="0" borderId="10" xfId="0" applyNumberFormat="1" applyFont="1" applyBorder="1"/>
    <xf numFmtId="0" fontId="4" fillId="0" borderId="85" xfId="0" applyFont="1" applyBorder="1"/>
    <xf numFmtId="169" fontId="4" fillId="0" borderId="86" xfId="0" applyNumberFormat="1" applyFont="1" applyBorder="1"/>
    <xf numFmtId="0" fontId="4" fillId="0" borderId="83" xfId="0" applyFont="1" applyBorder="1"/>
    <xf numFmtId="169" fontId="4" fillId="0" borderId="84" xfId="0" applyNumberFormat="1" applyFont="1" applyBorder="1"/>
    <xf numFmtId="169" fontId="4" fillId="0" borderId="65" xfId="0" applyNumberFormat="1" applyFont="1" applyBorder="1"/>
    <xf numFmtId="3" fontId="4" fillId="0" borderId="2" xfId="1" applyNumberFormat="1" applyFont="1" applyFill="1" applyBorder="1"/>
    <xf numFmtId="3" fontId="3" fillId="0" borderId="2" xfId="1" applyNumberFormat="1" applyFont="1" applyFill="1" applyBorder="1"/>
    <xf numFmtId="3" fontId="3" fillId="0" borderId="52" xfId="0" applyNumberFormat="1" applyFont="1" applyFill="1" applyBorder="1"/>
    <xf numFmtId="3" fontId="3" fillId="0" borderId="79" xfId="0" applyNumberFormat="1" applyFont="1" applyBorder="1"/>
    <xf numFmtId="0" fontId="4" fillId="0" borderId="1" xfId="0" applyFont="1" applyBorder="1"/>
    <xf numFmtId="0" fontId="4" fillId="0" borderId="79" xfId="0" applyFont="1" applyBorder="1"/>
    <xf numFmtId="0" fontId="3" fillId="0" borderId="87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1" fontId="4" fillId="0" borderId="2" xfId="0" applyNumberFormat="1" applyFont="1" applyBorder="1"/>
    <xf numFmtId="3" fontId="4" fillId="0" borderId="40" xfId="1" applyNumberFormat="1" applyFont="1" applyBorder="1" applyAlignment="1">
      <alignment horizontal="center"/>
    </xf>
    <xf numFmtId="166" fontId="4" fillId="0" borderId="10" xfId="0" applyNumberFormat="1" applyFont="1" applyBorder="1"/>
    <xf numFmtId="1" fontId="4" fillId="0" borderId="30" xfId="0" applyNumberFormat="1" applyFont="1" applyBorder="1"/>
    <xf numFmtId="1" fontId="4" fillId="0" borderId="49" xfId="0" applyNumberFormat="1" applyFont="1" applyBorder="1" applyAlignment="1">
      <alignment horizontal="center"/>
    </xf>
    <xf numFmtId="0" fontId="4" fillId="0" borderId="89" xfId="0" applyFont="1" applyBorder="1"/>
    <xf numFmtId="169" fontId="4" fillId="0" borderId="82" xfId="0" applyNumberFormat="1" applyFont="1" applyBorder="1"/>
    <xf numFmtId="1" fontId="4" fillId="0" borderId="0" xfId="0" applyNumberFormat="1" applyFont="1" applyFill="1" applyBorder="1"/>
    <xf numFmtId="1" fontId="4" fillId="0" borderId="39" xfId="0" applyNumberFormat="1" applyFont="1" applyBorder="1" applyAlignment="1">
      <alignment horizontal="center"/>
    </xf>
    <xf numFmtId="1" fontId="4" fillId="0" borderId="38" xfId="0" applyNumberFormat="1" applyFont="1" applyBorder="1" applyAlignment="1">
      <alignment horizontal="center"/>
    </xf>
    <xf numFmtId="164" fontId="4" fillId="0" borderId="57" xfId="0" applyNumberFormat="1" applyFont="1" applyBorder="1"/>
    <xf numFmtId="164" fontId="4" fillId="0" borderId="63" xfId="0" applyNumberFormat="1" applyFont="1" applyBorder="1"/>
    <xf numFmtId="164" fontId="4" fillId="0" borderId="51" xfId="0" applyNumberFormat="1" applyFont="1" applyBorder="1"/>
    <xf numFmtId="164" fontId="4" fillId="0" borderId="55" xfId="0" applyNumberFormat="1" applyFont="1" applyBorder="1"/>
    <xf numFmtId="164" fontId="4" fillId="0" borderId="45" xfId="0" applyNumberFormat="1" applyFont="1" applyBorder="1" applyAlignment="1">
      <alignment horizontal="right"/>
    </xf>
    <xf numFmtId="164" fontId="4" fillId="0" borderId="57" xfId="0" applyNumberFormat="1" applyFont="1" applyBorder="1" applyAlignment="1">
      <alignment horizontal="right"/>
    </xf>
    <xf numFmtId="164" fontId="4" fillId="0" borderId="63" xfId="0" applyNumberFormat="1" applyFont="1" applyBorder="1" applyAlignment="1">
      <alignment horizontal="right"/>
    </xf>
    <xf numFmtId="164" fontId="4" fillId="0" borderId="55" xfId="0" applyNumberFormat="1" applyFont="1" applyFill="1" applyBorder="1" applyAlignment="1">
      <alignment horizontal="right"/>
    </xf>
    <xf numFmtId="164" fontId="4" fillId="0" borderId="57" xfId="0" applyNumberFormat="1" applyFont="1" applyFill="1" applyBorder="1" applyAlignment="1">
      <alignment horizontal="right"/>
    </xf>
    <xf numFmtId="164" fontId="4" fillId="0" borderId="63" xfId="0" applyNumberFormat="1" applyFont="1" applyFill="1" applyBorder="1" applyAlignment="1">
      <alignment horizontal="right"/>
    </xf>
    <xf numFmtId="164" fontId="4" fillId="0" borderId="45" xfId="0" applyNumberFormat="1" applyFont="1" applyFill="1" applyBorder="1" applyAlignment="1">
      <alignment horizontal="right"/>
    </xf>
    <xf numFmtId="169" fontId="12" fillId="0" borderId="4" xfId="0" applyNumberFormat="1" applyFont="1" applyBorder="1"/>
    <xf numFmtId="164" fontId="4" fillId="0" borderId="30" xfId="0" applyNumberFormat="1" applyFont="1" applyFill="1" applyBorder="1" applyAlignment="1">
      <alignment horizontal="right"/>
    </xf>
    <xf numFmtId="0" fontId="4" fillId="0" borderId="28" xfId="0" applyFont="1" applyBorder="1"/>
    <xf numFmtId="0" fontId="4" fillId="0" borderId="90" xfId="0" applyFont="1" applyBorder="1"/>
    <xf numFmtId="0" fontId="4" fillId="0" borderId="91" xfId="0" applyFont="1" applyBorder="1"/>
    <xf numFmtId="168" fontId="4" fillId="0" borderId="10" xfId="0" applyNumberFormat="1" applyFont="1" applyBorder="1"/>
    <xf numFmtId="169" fontId="4" fillId="0" borderId="7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69" fontId="4" fillId="0" borderId="91" xfId="0" applyNumberFormat="1" applyFont="1" applyBorder="1"/>
    <xf numFmtId="1" fontId="4" fillId="0" borderId="83" xfId="0" applyNumberFormat="1" applyFont="1" applyBorder="1" applyAlignment="1">
      <alignment horizontal="center"/>
    </xf>
    <xf numFmtId="164" fontId="4" fillId="0" borderId="92" xfId="0" applyNumberFormat="1" applyFont="1" applyFill="1" applyBorder="1" applyAlignment="1">
      <alignment horizontal="center"/>
    </xf>
    <xf numFmtId="170" fontId="4" fillId="0" borderId="10" xfId="0" applyNumberFormat="1" applyFont="1" applyBorder="1" applyAlignment="1">
      <alignment horizontal="center"/>
    </xf>
    <xf numFmtId="170" fontId="4" fillId="0" borderId="82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3" fontId="4" fillId="0" borderId="90" xfId="1" applyNumberFormat="1" applyFont="1" applyBorder="1" applyAlignment="1">
      <alignment horizontal="center"/>
    </xf>
    <xf numFmtId="166" fontId="4" fillId="0" borderId="91" xfId="12" applyNumberFormat="1" applyFont="1" applyFill="1" applyBorder="1" applyAlignment="1">
      <alignment horizontal="center"/>
    </xf>
    <xf numFmtId="1" fontId="4" fillId="0" borderId="40" xfId="0" applyNumberFormat="1" applyFont="1" applyBorder="1" applyAlignment="1">
      <alignment horizontal="center"/>
    </xf>
    <xf numFmtId="170" fontId="4" fillId="0" borderId="75" xfId="0" applyNumberFormat="1" applyFont="1" applyBorder="1" applyAlignment="1">
      <alignment horizontal="center"/>
    </xf>
    <xf numFmtId="1" fontId="4" fillId="0" borderId="85" xfId="0" applyNumberFormat="1" applyFont="1" applyBorder="1" applyAlignment="1">
      <alignment horizontal="center"/>
    </xf>
    <xf numFmtId="170" fontId="4" fillId="0" borderId="86" xfId="0" applyNumberFormat="1" applyFont="1" applyBorder="1" applyAlignment="1">
      <alignment horizontal="center"/>
    </xf>
    <xf numFmtId="3" fontId="4" fillId="0" borderId="42" xfId="0" applyNumberFormat="1" applyFont="1" applyBorder="1"/>
    <xf numFmtId="3" fontId="4" fillId="0" borderId="93" xfId="0" applyNumberFormat="1" applyFont="1" applyBorder="1"/>
    <xf numFmtId="170" fontId="4" fillId="0" borderId="63" xfId="12" applyNumberFormat="1" applyFont="1" applyBorder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170" fontId="4" fillId="0" borderId="64" xfId="12" applyNumberFormat="1" applyFont="1" applyBorder="1" applyAlignment="1">
      <alignment horizontal="center"/>
    </xf>
    <xf numFmtId="3" fontId="4" fillId="0" borderId="72" xfId="1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1" fontId="4" fillId="0" borderId="79" xfId="0" applyNumberFormat="1" applyFont="1" applyFill="1" applyBorder="1"/>
    <xf numFmtId="0" fontId="4" fillId="0" borderId="0" xfId="0" applyFont="1" applyFill="1" applyAlignment="1">
      <alignment horizontal="centerContinuous"/>
    </xf>
    <xf numFmtId="166" fontId="4" fillId="0" borderId="4" xfId="13" applyNumberFormat="1" applyFont="1" applyBorder="1"/>
    <xf numFmtId="166" fontId="4" fillId="0" borderId="2" xfId="13" applyNumberFormat="1" applyFont="1" applyBorder="1"/>
    <xf numFmtId="166" fontId="4" fillId="0" borderId="51" xfId="13" applyNumberFormat="1" applyFont="1" applyFill="1" applyBorder="1"/>
    <xf numFmtId="166" fontId="4" fillId="0" borderId="53" xfId="13" applyNumberFormat="1" applyFont="1" applyFill="1" applyBorder="1"/>
    <xf numFmtId="3" fontId="3" fillId="0" borderId="2" xfId="0" applyNumberFormat="1" applyFont="1" applyFill="1" applyBorder="1"/>
    <xf numFmtId="0" fontId="4" fillId="2" borderId="2" xfId="0" applyNumberFormat="1" applyFont="1" applyFill="1" applyBorder="1"/>
    <xf numFmtId="1" fontId="4" fillId="2" borderId="29" xfId="0" applyNumberFormat="1" applyFont="1" applyFill="1" applyBorder="1"/>
    <xf numFmtId="3" fontId="4" fillId="0" borderId="53" xfId="1" applyNumberFormat="1" applyFont="1" applyFill="1" applyBorder="1"/>
    <xf numFmtId="3" fontId="3" fillId="0" borderId="53" xfId="1" applyNumberFormat="1" applyFont="1" applyFill="1" applyBorder="1"/>
    <xf numFmtId="169" fontId="12" fillId="0" borderId="51" xfId="0" applyNumberFormat="1" applyFont="1" applyFill="1" applyBorder="1"/>
    <xf numFmtId="170" fontId="4" fillId="0" borderId="63" xfId="0" applyNumberFormat="1" applyFont="1" applyBorder="1" applyAlignment="1">
      <alignment horizontal="center"/>
    </xf>
    <xf numFmtId="170" fontId="4" fillId="0" borderId="64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89" xfId="0" applyNumberFormat="1" applyFont="1" applyFill="1" applyBorder="1"/>
    <xf numFmtId="0" fontId="0" fillId="0" borderId="0" xfId="0" applyAlignment="1">
      <alignment horizontal="centerContinuous"/>
    </xf>
    <xf numFmtId="164" fontId="4" fillId="0" borderId="61" xfId="3" applyNumberFormat="1" applyFont="1" applyFill="1" applyBorder="1" applyAlignment="1">
      <alignment horizontal="center"/>
    </xf>
    <xf numFmtId="164" fontId="4" fillId="0" borderId="53" xfId="3" applyNumberFormat="1" applyFont="1" applyFill="1" applyBorder="1" applyAlignment="1">
      <alignment horizontal="right"/>
    </xf>
    <xf numFmtId="164" fontId="4" fillId="0" borderId="59" xfId="3" applyNumberFormat="1" applyFont="1" applyFill="1" applyBorder="1" applyAlignment="1">
      <alignment horizontal="right"/>
    </xf>
    <xf numFmtId="164" fontId="4" fillId="0" borderId="61" xfId="3" applyNumberFormat="1" applyFont="1" applyFill="1" applyBorder="1" applyAlignment="1">
      <alignment horizontal="right"/>
    </xf>
    <xf numFmtId="0" fontId="4" fillId="0" borderId="72" xfId="0" applyFont="1" applyFill="1" applyBorder="1"/>
    <xf numFmtId="1" fontId="4" fillId="2" borderId="2" xfId="0" applyNumberFormat="1" applyFont="1" applyFill="1" applyBorder="1"/>
    <xf numFmtId="3" fontId="3" fillId="0" borderId="55" xfId="1" applyNumberFormat="1" applyFont="1" applyFill="1" applyBorder="1" applyAlignment="1">
      <alignment horizontal="right"/>
    </xf>
    <xf numFmtId="3" fontId="3" fillId="0" borderId="61" xfId="0" applyNumberFormat="1" applyFont="1" applyFill="1" applyBorder="1" applyAlignment="1">
      <alignment horizontal="right"/>
    </xf>
    <xf numFmtId="3" fontId="4" fillId="0" borderId="0" xfId="0" applyNumberFormat="1" applyFont="1" applyBorder="1"/>
    <xf numFmtId="1" fontId="4" fillId="0" borderId="4" xfId="0" applyNumberFormat="1" applyFont="1" applyFill="1" applyBorder="1" applyAlignment="1">
      <alignment horizontal="center"/>
    </xf>
    <xf numFmtId="169" fontId="3" fillId="0" borderId="35" xfId="0" applyNumberFormat="1" applyFont="1" applyBorder="1" applyAlignment="1">
      <alignment horizontal="left"/>
    </xf>
    <xf numFmtId="164" fontId="4" fillId="0" borderId="52" xfId="0" applyNumberFormat="1" applyFont="1" applyBorder="1" applyAlignment="1">
      <alignment horizontal="center"/>
    </xf>
    <xf numFmtId="164" fontId="4" fillId="0" borderId="53" xfId="0" applyNumberFormat="1" applyFont="1" applyBorder="1" applyAlignment="1">
      <alignment horizontal="center"/>
    </xf>
    <xf numFmtId="164" fontId="4" fillId="0" borderId="4" xfId="3" applyNumberFormat="1" applyFont="1" applyBorder="1" applyAlignment="1">
      <alignment horizontal="center"/>
    </xf>
    <xf numFmtId="164" fontId="4" fillId="0" borderId="51" xfId="3" applyNumberFormat="1" applyFont="1" applyBorder="1" applyAlignment="1">
      <alignment horizontal="right"/>
    </xf>
    <xf numFmtId="164" fontId="4" fillId="0" borderId="53" xfId="3" applyNumberFormat="1" applyFont="1" applyBorder="1" applyAlignment="1">
      <alignment horizontal="right"/>
    </xf>
    <xf numFmtId="0" fontId="4" fillId="2" borderId="0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164" fontId="4" fillId="2" borderId="51" xfId="3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center"/>
    </xf>
    <xf numFmtId="164" fontId="4" fillId="2" borderId="53" xfId="3" applyNumberFormat="1" applyFont="1" applyFill="1" applyBorder="1" applyAlignment="1">
      <alignment horizontal="right"/>
    </xf>
    <xf numFmtId="0" fontId="4" fillId="2" borderId="2" xfId="0" applyNumberFormat="1" applyFont="1" applyFill="1" applyBorder="1" applyAlignment="1">
      <alignment horizontal="center"/>
    </xf>
    <xf numFmtId="164" fontId="4" fillId="2" borderId="61" xfId="3" applyNumberFormat="1" applyFont="1" applyFill="1" applyBorder="1" applyAlignment="1">
      <alignment horizontal="right"/>
    </xf>
    <xf numFmtId="164" fontId="4" fillId="0" borderId="53" xfId="3" applyNumberFormat="1" applyFont="1" applyFill="1" applyBorder="1" applyAlignment="1">
      <alignment horizontal="center"/>
    </xf>
    <xf numFmtId="1" fontId="4" fillId="0" borderId="53" xfId="0" applyNumberFormat="1" applyFont="1" applyFill="1" applyBorder="1" applyAlignment="1">
      <alignment horizontal="center"/>
    </xf>
    <xf numFmtId="164" fontId="4" fillId="0" borderId="51" xfId="3" applyNumberFormat="1" applyFont="1" applyFill="1" applyBorder="1" applyAlignment="1">
      <alignment horizontal="right"/>
    </xf>
    <xf numFmtId="1" fontId="4" fillId="0" borderId="50" xfId="0" applyNumberFormat="1" applyFont="1" applyFill="1" applyBorder="1"/>
    <xf numFmtId="169" fontId="12" fillId="0" borderId="0" xfId="0" applyNumberFormat="1" applyFont="1"/>
    <xf numFmtId="169" fontId="12" fillId="0" borderId="50" xfId="0" applyNumberFormat="1" applyFont="1" applyFill="1" applyBorder="1"/>
    <xf numFmtId="169" fontId="12" fillId="0" borderId="0" xfId="0" applyNumberFormat="1" applyFont="1" applyBorder="1"/>
    <xf numFmtId="0" fontId="3" fillId="0" borderId="60" xfId="0" applyFont="1" applyBorder="1"/>
    <xf numFmtId="1" fontId="4" fillId="0" borderId="60" xfId="3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center"/>
    </xf>
    <xf numFmtId="164" fontId="4" fillId="0" borderId="52" xfId="0" applyNumberFormat="1" applyFont="1" applyBorder="1" applyAlignment="1"/>
    <xf numFmtId="164" fontId="4" fillId="0" borderId="58" xfId="0" applyNumberFormat="1" applyFont="1" applyBorder="1" applyAlignment="1"/>
    <xf numFmtId="0" fontId="0" fillId="0" borderId="75" xfId="0" applyBorder="1" applyAlignment="1">
      <alignment horizontal="center"/>
    </xf>
    <xf numFmtId="0" fontId="4" fillId="2" borderId="20" xfId="0" applyFont="1" applyFill="1" applyBorder="1" applyAlignment="1">
      <alignment horizontal="right"/>
    </xf>
    <xf numFmtId="3" fontId="4" fillId="0" borderId="53" xfId="0" applyNumberFormat="1" applyFont="1" applyFill="1" applyBorder="1" applyAlignment="1">
      <alignment horizontal="right"/>
    </xf>
    <xf numFmtId="166" fontId="4" fillId="0" borderId="75" xfId="11" applyNumberFormat="1" applyFont="1" applyBorder="1"/>
    <xf numFmtId="0" fontId="4" fillId="0" borderId="75" xfId="0" applyFont="1" applyBorder="1" applyAlignment="1">
      <alignment horizontal="right"/>
    </xf>
    <xf numFmtId="0" fontId="4" fillId="2" borderId="53" xfId="0" applyNumberFormat="1" applyFont="1" applyFill="1" applyBorder="1" applyAlignment="1">
      <alignment horizontal="right"/>
    </xf>
    <xf numFmtId="164" fontId="4" fillId="2" borderId="61" xfId="0" applyNumberFormat="1" applyFont="1" applyFill="1" applyBorder="1" applyAlignment="1">
      <alignment horizontal="right"/>
    </xf>
    <xf numFmtId="169" fontId="12" fillId="2" borderId="51" xfId="0" applyNumberFormat="1" applyFont="1" applyFill="1" applyBorder="1"/>
    <xf numFmtId="164" fontId="4" fillId="2" borderId="55" xfId="0" applyNumberFormat="1" applyFont="1" applyFill="1" applyBorder="1" applyAlignment="1">
      <alignment horizontal="right"/>
    </xf>
    <xf numFmtId="0" fontId="4" fillId="2" borderId="37" xfId="0" applyNumberFormat="1" applyFont="1" applyFill="1" applyBorder="1" applyAlignment="1">
      <alignment horizontal="right"/>
    </xf>
    <xf numFmtId="0" fontId="4" fillId="2" borderId="53" xfId="0" applyNumberFormat="1" applyFont="1" applyFill="1" applyBorder="1"/>
    <xf numFmtId="0" fontId="4" fillId="0" borderId="59" xfId="0" applyNumberFormat="1" applyFont="1" applyFill="1" applyBorder="1"/>
    <xf numFmtId="171" fontId="4" fillId="2" borderId="61" xfId="0" applyNumberFormat="1" applyFont="1" applyFill="1" applyBorder="1" applyAlignment="1">
      <alignment horizontal="center"/>
    </xf>
    <xf numFmtId="172" fontId="4" fillId="2" borderId="61" xfId="0" applyNumberFormat="1" applyFont="1" applyFill="1" applyBorder="1" applyAlignment="1">
      <alignment horizontal="center"/>
    </xf>
    <xf numFmtId="0" fontId="11" fillId="0" borderId="75" xfId="0" applyFont="1" applyBorder="1"/>
    <xf numFmtId="1" fontId="4" fillId="0" borderId="2" xfId="1" applyNumberFormat="1" applyFont="1" applyBorder="1"/>
    <xf numFmtId="1" fontId="4" fillId="0" borderId="4" xfId="1" applyNumberFormat="1" applyFont="1" applyBorder="1"/>
    <xf numFmtId="0" fontId="0" fillId="0" borderId="51" xfId="0" applyFill="1" applyBorder="1"/>
    <xf numFmtId="0" fontId="0" fillId="0" borderId="4" xfId="0" applyFill="1" applyBorder="1"/>
    <xf numFmtId="0" fontId="4" fillId="2" borderId="8" xfId="0" applyFont="1" applyFill="1" applyBorder="1" applyAlignment="1"/>
    <xf numFmtId="0" fontId="4" fillId="2" borderId="6" xfId="0" applyFont="1" applyFill="1" applyBorder="1" applyAlignment="1"/>
    <xf numFmtId="0" fontId="4" fillId="2" borderId="24" xfId="0" applyFont="1" applyFill="1" applyBorder="1" applyAlignment="1"/>
    <xf numFmtId="0" fontId="4" fillId="2" borderId="6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right"/>
    </xf>
    <xf numFmtId="0" fontId="4" fillId="2" borderId="37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4" fillId="2" borderId="26" xfId="0" applyFont="1" applyFill="1" applyBorder="1" applyAlignment="1">
      <alignment horizontal="right"/>
    </xf>
    <xf numFmtId="0" fontId="9" fillId="0" borderId="0" xfId="0" applyFont="1"/>
    <xf numFmtId="0" fontId="4" fillId="2" borderId="8" xfId="0" applyFont="1" applyFill="1" applyBorder="1"/>
    <xf numFmtId="168" fontId="4" fillId="0" borderId="57" xfId="0" applyNumberFormat="1" applyFont="1" applyFill="1" applyBorder="1"/>
    <xf numFmtId="3" fontId="3" fillId="0" borderId="53" xfId="0" applyNumberFormat="1" applyFont="1" applyFill="1" applyBorder="1"/>
    <xf numFmtId="166" fontId="4" fillId="0" borderId="4" xfId="13" applyNumberFormat="1" applyFont="1" applyFill="1" applyBorder="1"/>
    <xf numFmtId="166" fontId="4" fillId="0" borderId="2" xfId="13" applyNumberFormat="1" applyFont="1" applyFill="1" applyBorder="1"/>
    <xf numFmtId="5" fontId="4" fillId="2" borderId="53" xfId="0" applyNumberFormat="1" applyFont="1" applyFill="1" applyBorder="1" applyAlignment="1">
      <alignment horizontal="center"/>
    </xf>
    <xf numFmtId="5" fontId="4" fillId="0" borderId="2" xfId="0" applyNumberFormat="1" applyFont="1" applyFill="1" applyBorder="1"/>
    <xf numFmtId="5" fontId="4" fillId="2" borderId="59" xfId="0" applyNumberFormat="1" applyFont="1" applyFill="1" applyBorder="1" applyAlignment="1">
      <alignment horizontal="center"/>
    </xf>
    <xf numFmtId="5" fontId="4" fillId="0" borderId="28" xfId="0" applyNumberFormat="1" applyFont="1" applyFill="1" applyBorder="1"/>
    <xf numFmtId="5" fontId="4" fillId="0" borderId="53" xfId="0" applyNumberFormat="1" applyFont="1" applyFill="1" applyBorder="1" applyAlignment="1">
      <alignment horizontal="center"/>
    </xf>
    <xf numFmtId="5" fontId="4" fillId="0" borderId="2" xfId="0" applyNumberFormat="1" applyFont="1" applyFill="1" applyBorder="1" applyAlignment="1">
      <alignment horizontal="right"/>
    </xf>
    <xf numFmtId="169" fontId="4" fillId="0" borderId="53" xfId="0" applyNumberFormat="1" applyFont="1" applyFill="1" applyBorder="1" applyAlignment="1">
      <alignment horizontal="center"/>
    </xf>
    <xf numFmtId="170" fontId="4" fillId="0" borderId="63" xfId="0" applyNumberFormat="1" applyFont="1" applyFill="1" applyBorder="1" applyAlignment="1">
      <alignment horizontal="center"/>
    </xf>
    <xf numFmtId="170" fontId="4" fillId="0" borderId="64" xfId="0" applyNumberFormat="1" applyFont="1" applyFill="1" applyBorder="1" applyAlignment="1">
      <alignment horizontal="center"/>
    </xf>
    <xf numFmtId="0" fontId="4" fillId="3" borderId="58" xfId="0" applyFont="1" applyFill="1" applyBorder="1" applyAlignment="1">
      <alignment horizontal="right"/>
    </xf>
    <xf numFmtId="166" fontId="4" fillId="3" borderId="20" xfId="12" applyNumberFormat="1" applyFont="1" applyFill="1" applyBorder="1" applyAlignment="1">
      <alignment horizontal="right"/>
    </xf>
    <xf numFmtId="0" fontId="4" fillId="3" borderId="28" xfId="0" applyFont="1" applyFill="1" applyBorder="1" applyAlignment="1">
      <alignment horizontal="right"/>
    </xf>
    <xf numFmtId="166" fontId="4" fillId="3" borderId="6" xfId="12" applyNumberFormat="1" applyFont="1" applyFill="1" applyBorder="1" applyAlignment="1">
      <alignment horizontal="right"/>
    </xf>
    <xf numFmtId="0" fontId="3" fillId="0" borderId="56" xfId="0" applyFont="1" applyFill="1" applyBorder="1" applyAlignment="1">
      <alignment horizontal="center"/>
    </xf>
    <xf numFmtId="3" fontId="3" fillId="0" borderId="57" xfId="0" applyNumberFormat="1" applyFont="1" applyFill="1" applyBorder="1" applyAlignment="1">
      <alignment horizontal="center"/>
    </xf>
    <xf numFmtId="0" fontId="4" fillId="3" borderId="43" xfId="0" applyFont="1" applyFill="1" applyBorder="1" applyAlignment="1">
      <alignment horizontal="right"/>
    </xf>
    <xf numFmtId="166" fontId="4" fillId="3" borderId="20" xfId="0" applyNumberFormat="1" applyFont="1" applyFill="1" applyBorder="1"/>
    <xf numFmtId="166" fontId="4" fillId="3" borderId="6" xfId="0" applyNumberFormat="1" applyFont="1" applyFill="1" applyBorder="1"/>
    <xf numFmtId="0" fontId="4" fillId="3" borderId="47" xfId="0" applyFont="1" applyFill="1" applyBorder="1" applyAlignment="1">
      <alignment horizontal="right"/>
    </xf>
    <xf numFmtId="169" fontId="12" fillId="0" borderId="55" xfId="0" applyNumberFormat="1" applyFont="1" applyFill="1" applyBorder="1" applyAlignment="1">
      <alignment horizontal="right"/>
    </xf>
    <xf numFmtId="169" fontId="12" fillId="0" borderId="51" xfId="0" applyNumberFormat="1" applyFont="1" applyBorder="1"/>
    <xf numFmtId="169" fontId="4" fillId="0" borderId="50" xfId="0" applyNumberFormat="1" applyFont="1" applyFill="1" applyBorder="1"/>
    <xf numFmtId="5" fontId="4" fillId="0" borderId="59" xfId="0" applyNumberFormat="1" applyFont="1" applyFill="1" applyBorder="1" applyAlignment="1">
      <alignment horizontal="center"/>
    </xf>
    <xf numFmtId="5" fontId="4" fillId="0" borderId="53" xfId="0" applyNumberFormat="1" applyFont="1" applyFill="1" applyBorder="1" applyAlignment="1">
      <alignment horizontal="right"/>
    </xf>
    <xf numFmtId="5" fontId="4" fillId="2" borderId="53" xfId="0" applyNumberFormat="1" applyFont="1" applyFill="1" applyBorder="1" applyAlignment="1">
      <alignment horizontal="right"/>
    </xf>
    <xf numFmtId="5" fontId="12" fillId="0" borderId="0" xfId="0" applyNumberFormat="1" applyFont="1" applyAlignment="1">
      <alignment horizontal="right"/>
    </xf>
    <xf numFmtId="5" fontId="4" fillId="0" borderId="59" xfId="0" applyNumberFormat="1" applyFont="1" applyFill="1" applyBorder="1" applyAlignment="1">
      <alignment horizontal="right"/>
    </xf>
    <xf numFmtId="5" fontId="4" fillId="0" borderId="28" xfId="0" applyNumberFormat="1" applyFont="1" applyFill="1" applyBorder="1" applyAlignment="1">
      <alignment horizontal="right"/>
    </xf>
    <xf numFmtId="5" fontId="4" fillId="2" borderId="59" xfId="0" applyNumberFormat="1" applyFont="1" applyFill="1" applyBorder="1" applyAlignment="1">
      <alignment horizontal="right"/>
    </xf>
    <xf numFmtId="173" fontId="12" fillId="2" borderId="63" xfId="0" applyNumberFormat="1" applyFont="1" applyFill="1" applyBorder="1"/>
    <xf numFmtId="164" fontId="12" fillId="2" borderId="55" xfId="3" applyNumberFormat="1" applyFont="1" applyFill="1" applyBorder="1" applyAlignment="1">
      <alignment horizontal="right"/>
    </xf>
    <xf numFmtId="5" fontId="4" fillId="2" borderId="51" xfId="0" applyNumberFormat="1" applyFont="1" applyFill="1" applyBorder="1" applyAlignment="1">
      <alignment horizontal="right"/>
    </xf>
    <xf numFmtId="169" fontId="4" fillId="2" borderId="55" xfId="0" applyNumberFormat="1" applyFont="1" applyFill="1" applyBorder="1" applyAlignment="1">
      <alignment horizontal="right"/>
    </xf>
    <xf numFmtId="164" fontId="4" fillId="2" borderId="51" xfId="0" applyNumberFormat="1" applyFont="1" applyFill="1" applyBorder="1" applyAlignment="1">
      <alignment horizontal="right"/>
    </xf>
    <xf numFmtId="164" fontId="4" fillId="2" borderId="64" xfId="0" applyNumberFormat="1" applyFont="1" applyFill="1" applyBorder="1" applyAlignment="1">
      <alignment horizontal="right"/>
    </xf>
    <xf numFmtId="169" fontId="12" fillId="2" borderId="55" xfId="0" applyNumberFormat="1" applyFont="1" applyFill="1" applyBorder="1" applyAlignment="1">
      <alignment horizontal="right"/>
    </xf>
    <xf numFmtId="5" fontId="4" fillId="2" borderId="55" xfId="0" applyNumberFormat="1" applyFont="1" applyFill="1" applyBorder="1" applyAlignment="1">
      <alignment horizontal="right"/>
    </xf>
    <xf numFmtId="0" fontId="10" fillId="0" borderId="69" xfId="0" applyFont="1" applyBorder="1" applyAlignment="1">
      <alignment horizontal="left" indent="1"/>
    </xf>
    <xf numFmtId="0" fontId="5" fillId="0" borderId="34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right"/>
    </xf>
    <xf numFmtId="3" fontId="4" fillId="0" borderId="23" xfId="1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3" fontId="4" fillId="0" borderId="4" xfId="1" applyNumberFormat="1" applyFont="1" applyFill="1" applyBorder="1" applyAlignment="1">
      <alignment horizontal="right"/>
    </xf>
    <xf numFmtId="3" fontId="4" fillId="0" borderId="51" xfId="1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167" fontId="4" fillId="0" borderId="63" xfId="1" applyNumberFormat="1" applyFont="1" applyFill="1" applyBorder="1" applyAlignment="1">
      <alignment horizontal="center"/>
    </xf>
    <xf numFmtId="167" fontId="4" fillId="0" borderId="64" xfId="1" applyNumberFormat="1" applyFont="1" applyFill="1" applyBorder="1" applyAlignment="1">
      <alignment horizontal="center"/>
    </xf>
    <xf numFmtId="1" fontId="4" fillId="4" borderId="85" xfId="0" applyNumberFormat="1" applyFont="1" applyFill="1" applyBorder="1"/>
    <xf numFmtId="1" fontId="4" fillId="4" borderId="82" xfId="0" applyNumberFormat="1" applyFont="1" applyFill="1" applyBorder="1"/>
    <xf numFmtId="0" fontId="4" fillId="4" borderId="9" xfId="0" applyFont="1" applyFill="1" applyBorder="1" applyAlignment="1">
      <alignment horizontal="right"/>
    </xf>
    <xf numFmtId="0" fontId="4" fillId="4" borderId="37" xfId="0" applyFont="1" applyFill="1" applyBorder="1" applyAlignment="1">
      <alignment horizontal="right"/>
    </xf>
    <xf numFmtId="0" fontId="4" fillId="0" borderId="59" xfId="0" applyFont="1" applyFill="1" applyBorder="1"/>
    <xf numFmtId="0" fontId="4" fillId="0" borderId="55" xfId="0" applyFont="1" applyFill="1" applyBorder="1" applyAlignment="1">
      <alignment horizontal="right"/>
    </xf>
    <xf numFmtId="3" fontId="4" fillId="0" borderId="48" xfId="0" applyNumberFormat="1" applyFont="1" applyFill="1" applyBorder="1"/>
    <xf numFmtId="0" fontId="4" fillId="4" borderId="23" xfId="0" applyFont="1" applyFill="1" applyBorder="1"/>
    <xf numFmtId="0" fontId="4" fillId="4" borderId="23" xfId="0" applyFont="1" applyFill="1" applyBorder="1" applyAlignment="1">
      <alignment horizontal="center"/>
    </xf>
    <xf numFmtId="0" fontId="4" fillId="4" borderId="20" xfId="0" applyFont="1" applyFill="1" applyBorder="1"/>
    <xf numFmtId="0" fontId="4" fillId="4" borderId="20" xfId="0" applyFont="1" applyFill="1" applyBorder="1" applyAlignment="1">
      <alignment horizontal="right"/>
    </xf>
    <xf numFmtId="3" fontId="4" fillId="4" borderId="51" xfId="1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/>
    </xf>
    <xf numFmtId="3" fontId="4" fillId="4" borderId="48" xfId="0" applyNumberFormat="1" applyFont="1" applyFill="1" applyBorder="1"/>
    <xf numFmtId="0" fontId="4" fillId="4" borderId="59" xfId="0" applyFont="1" applyFill="1" applyBorder="1"/>
    <xf numFmtId="0" fontId="4" fillId="4" borderId="53" xfId="0" applyFont="1" applyFill="1" applyBorder="1"/>
    <xf numFmtId="0" fontId="4" fillId="4" borderId="55" xfId="0" applyFont="1" applyFill="1" applyBorder="1" applyAlignment="1">
      <alignment horizontal="right"/>
    </xf>
    <xf numFmtId="3" fontId="4" fillId="0" borderId="0" xfId="0" applyNumberFormat="1" applyFont="1" applyFill="1" applyBorder="1"/>
    <xf numFmtId="0" fontId="4" fillId="0" borderId="49" xfId="0" applyFont="1" applyBorder="1"/>
    <xf numFmtId="3" fontId="4" fillId="4" borderId="53" xfId="1" applyNumberFormat="1" applyFont="1" applyFill="1" applyBorder="1" applyAlignment="1">
      <alignment horizontal="right"/>
    </xf>
    <xf numFmtId="3" fontId="3" fillId="4" borderId="55" xfId="0" applyNumberFormat="1" applyFont="1" applyFill="1" applyBorder="1" applyAlignment="1">
      <alignment horizontal="right"/>
    </xf>
    <xf numFmtId="3" fontId="4" fillId="4" borderId="53" xfId="0" applyNumberFormat="1" applyFont="1" applyFill="1" applyBorder="1"/>
    <xf numFmtId="0" fontId="4" fillId="0" borderId="23" xfId="0" applyFont="1" applyFill="1" applyBorder="1" applyAlignment="1">
      <alignment horizontal="right"/>
    </xf>
    <xf numFmtId="3" fontId="4" fillId="4" borderId="53" xfId="0" applyNumberFormat="1" applyFont="1" applyFill="1" applyBorder="1" applyAlignment="1">
      <alignment horizontal="right"/>
    </xf>
    <xf numFmtId="1" fontId="3" fillId="4" borderId="55" xfId="0" applyNumberFormat="1" applyFont="1" applyFill="1" applyBorder="1" applyAlignment="1">
      <alignment horizontal="right"/>
    </xf>
    <xf numFmtId="3" fontId="3" fillId="4" borderId="55" xfId="1" applyNumberFormat="1" applyFont="1" applyFill="1" applyBorder="1" applyAlignment="1">
      <alignment horizontal="right"/>
    </xf>
    <xf numFmtId="173" fontId="12" fillId="0" borderId="63" xfId="0" applyNumberFormat="1" applyFont="1" applyFill="1" applyBorder="1"/>
    <xf numFmtId="169" fontId="12" fillId="0" borderId="55" xfId="3" applyNumberFormat="1" applyFont="1" applyFill="1" applyBorder="1" applyAlignment="1">
      <alignment horizontal="right"/>
    </xf>
    <xf numFmtId="0" fontId="3" fillId="0" borderId="94" xfId="11" applyFont="1" applyFill="1" applyBorder="1" applyAlignment="1">
      <alignment horizontal="center"/>
    </xf>
    <xf numFmtId="0" fontId="3" fillId="0" borderId="95" xfId="11" applyFont="1" applyFill="1" applyBorder="1" applyAlignment="1">
      <alignment horizontal="center"/>
    </xf>
    <xf numFmtId="0" fontId="3" fillId="0" borderId="96" xfId="0" applyFont="1" applyFill="1" applyBorder="1" applyAlignment="1">
      <alignment horizontal="center"/>
    </xf>
    <xf numFmtId="0" fontId="3" fillId="0" borderId="97" xfId="0" applyFont="1" applyFill="1" applyBorder="1" applyAlignment="1">
      <alignment horizontal="center"/>
    </xf>
    <xf numFmtId="0" fontId="3" fillId="0" borderId="98" xfId="0" applyFont="1" applyFill="1" applyBorder="1" applyAlignment="1">
      <alignment horizontal="center"/>
    </xf>
    <xf numFmtId="0" fontId="3" fillId="0" borderId="95" xfId="0" applyFont="1" applyFill="1" applyBorder="1" applyAlignment="1">
      <alignment horizontal="center"/>
    </xf>
    <xf numFmtId="0" fontId="3" fillId="0" borderId="98" xfId="11" applyFont="1" applyFill="1" applyBorder="1" applyAlignment="1">
      <alignment horizontal="center"/>
    </xf>
    <xf numFmtId="0" fontId="0" fillId="0" borderId="95" xfId="0" applyBorder="1" applyAlignment="1">
      <alignment horizontal="center"/>
    </xf>
    <xf numFmtId="166" fontId="4" fillId="0" borderId="30" xfId="11" applyNumberFormat="1" applyFont="1" applyFill="1" applyBorder="1" applyAlignment="1"/>
    <xf numFmtId="166" fontId="4" fillId="0" borderId="55" xfId="11" applyNumberFormat="1" applyFont="1" applyFill="1" applyBorder="1" applyAlignment="1"/>
    <xf numFmtId="0" fontId="3" fillId="0" borderId="94" xfId="0" applyFont="1" applyFill="1" applyBorder="1" applyAlignment="1">
      <alignment horizontal="center"/>
    </xf>
    <xf numFmtId="0" fontId="3" fillId="0" borderId="99" xfId="0" applyFont="1" applyFill="1" applyBorder="1" applyAlignment="1">
      <alignment horizontal="center"/>
    </xf>
    <xf numFmtId="166" fontId="4" fillId="0" borderId="54" xfId="11" applyNumberFormat="1" applyFont="1" applyBorder="1" applyAlignment="1"/>
    <xf numFmtId="166" fontId="4" fillId="0" borderId="55" xfId="11" applyNumberFormat="1" applyFont="1" applyBorder="1" applyAlignment="1"/>
    <xf numFmtId="0" fontId="3" fillId="0" borderId="94" xfId="11" quotePrefix="1" applyFont="1" applyBorder="1" applyAlignment="1">
      <alignment horizontal="center"/>
    </xf>
    <xf numFmtId="0" fontId="3" fillId="0" borderId="95" xfId="11" quotePrefix="1" applyFont="1" applyBorder="1" applyAlignment="1">
      <alignment horizontal="center"/>
    </xf>
    <xf numFmtId="0" fontId="3" fillId="0" borderId="94" xfId="11" applyFont="1" applyBorder="1" applyAlignment="1">
      <alignment horizontal="center"/>
    </xf>
    <xf numFmtId="0" fontId="3" fillId="0" borderId="95" xfId="11" applyFont="1" applyBorder="1" applyAlignment="1">
      <alignment horizontal="center"/>
    </xf>
    <xf numFmtId="166" fontId="4" fillId="0" borderId="56" xfId="11" applyNumberFormat="1" applyFont="1" applyBorder="1" applyAlignment="1"/>
    <xf numFmtId="166" fontId="4" fillId="0" borderId="57" xfId="11" applyNumberFormat="1" applyFont="1" applyBorder="1" applyAlignment="1"/>
    <xf numFmtId="166" fontId="4" fillId="0" borderId="56" xfId="13" applyNumberFormat="1" applyFont="1" applyBorder="1" applyAlignment="1"/>
    <xf numFmtId="166" fontId="4" fillId="0" borderId="57" xfId="13" applyNumberFormat="1" applyFont="1" applyBorder="1" applyAlignment="1"/>
    <xf numFmtId="166" fontId="0" fillId="0" borderId="57" xfId="0" applyNumberFormat="1" applyFill="1" applyBorder="1" applyAlignment="1"/>
    <xf numFmtId="0" fontId="3" fillId="0" borderId="94" xfId="0" applyFont="1" applyBorder="1" applyAlignment="1">
      <alignment horizontal="center"/>
    </xf>
    <xf numFmtId="0" fontId="3" fillId="0" borderId="95" xfId="0" applyFont="1" applyBorder="1" applyAlignment="1">
      <alignment horizontal="center"/>
    </xf>
    <xf numFmtId="0" fontId="3" fillId="0" borderId="98" xfId="0" applyFont="1" applyBorder="1" applyAlignment="1">
      <alignment horizontal="center"/>
    </xf>
    <xf numFmtId="166" fontId="4" fillId="0" borderId="52" xfId="11" applyNumberFormat="1" applyFont="1" applyBorder="1" applyAlignment="1"/>
    <xf numFmtId="166" fontId="4" fillId="0" borderId="53" xfId="11" applyNumberFormat="1" applyFont="1" applyBorder="1" applyAlignment="1"/>
    <xf numFmtId="166" fontId="4" fillId="0" borderId="52" xfId="13" applyNumberFormat="1" applyFont="1" applyBorder="1" applyAlignment="1"/>
    <xf numFmtId="166" fontId="4" fillId="0" borderId="53" xfId="13" applyNumberFormat="1" applyFont="1" applyBorder="1" applyAlignment="1"/>
    <xf numFmtId="0" fontId="4" fillId="0" borderId="95" xfId="0" applyFont="1" applyBorder="1" applyAlignment="1">
      <alignment horizontal="center"/>
    </xf>
    <xf numFmtId="166" fontId="0" fillId="0" borderId="53" xfId="0" applyNumberFormat="1" applyFill="1" applyBorder="1" applyAlignment="1"/>
    <xf numFmtId="0" fontId="0" fillId="0" borderId="95" xfId="0" applyBorder="1" applyAlignment="1"/>
    <xf numFmtId="166" fontId="4" fillId="0" borderId="49" xfId="0" applyNumberFormat="1" applyFont="1" applyBorder="1" applyAlignment="1">
      <alignment horizontal="right"/>
    </xf>
    <xf numFmtId="166" fontId="4" fillId="0" borderId="82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00" xfId="0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00" xfId="0" applyNumberFormat="1" applyFont="1" applyBorder="1" applyAlignment="1">
      <alignment horizontal="center"/>
    </xf>
    <xf numFmtId="166" fontId="4" fillId="0" borderId="30" xfId="11" applyNumberFormat="1" applyFont="1" applyBorder="1" applyAlignment="1"/>
    <xf numFmtId="0" fontId="0" fillId="0" borderId="95" xfId="0" applyFill="1" applyBorder="1" applyAlignment="1">
      <alignment horizontal="center"/>
    </xf>
    <xf numFmtId="0" fontId="0" fillId="0" borderId="98" xfId="0" applyFill="1" applyBorder="1" applyAlignment="1">
      <alignment horizontal="center"/>
    </xf>
  </cellXfs>
  <cellStyles count="15">
    <cellStyle name="Comma" xfId="1" builtinId="3"/>
    <cellStyle name="Comma0" xfId="2"/>
    <cellStyle name="Currency" xfId="3" builtinId="4"/>
    <cellStyle name="Currency0" xfId="4"/>
    <cellStyle name="Date" xfId="5"/>
    <cellStyle name="Fixed" xfId="6"/>
    <cellStyle name="Heading 1" xfId="7" builtinId="16" customBuiltin="1"/>
    <cellStyle name="Heading 2" xfId="8" builtinId="17" customBuiltin="1"/>
    <cellStyle name="HEADING1" xfId="9"/>
    <cellStyle name="HEADING2" xfId="10"/>
    <cellStyle name="Normal" xfId="0" builtinId="0"/>
    <cellStyle name="Normal_Accounting" xfId="11"/>
    <cellStyle name="Percent" xfId="12" builtinId="5"/>
    <cellStyle name="Percent_Accounting" xfId="13"/>
    <cellStyle name="Total" xfId="14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1"/>
  <sheetViews>
    <sheetView view="pageBreakPreview" topLeftCell="A73" zoomScaleNormal="100" zoomScaleSheetLayoutView="100" workbookViewId="0">
      <pane xSplit="6" topLeftCell="M1" activePane="topRight" state="frozen"/>
      <selection activeCell="Z47" sqref="Z47"/>
      <selection pane="topRight" activeCell="Z47" sqref="Z47"/>
    </sheetView>
  </sheetViews>
  <sheetFormatPr defaultColWidth="10.28515625" defaultRowHeight="12.75" x14ac:dyDescent="0.2"/>
  <cols>
    <col min="1" max="1" width="3.7109375" style="1" customWidth="1"/>
    <col min="2" max="2" width="27.42578125" style="1" customWidth="1"/>
    <col min="3" max="3" width="7.7109375" hidden="1" customWidth="1"/>
    <col min="4" max="4" width="10.5703125" hidden="1" customWidth="1"/>
    <col min="5" max="5" width="7.7109375" hidden="1" customWidth="1"/>
    <col min="6" max="6" width="10.5703125" hidden="1" customWidth="1"/>
    <col min="7" max="7" width="7.7109375" style="216" hidden="1" customWidth="1"/>
    <col min="8" max="8" width="10.85546875" style="216" hidden="1" customWidth="1"/>
    <col min="9" max="9" width="7.7109375" style="216" hidden="1" customWidth="1"/>
    <col min="10" max="10" width="11.140625" style="216" hidden="1" customWidth="1"/>
    <col min="11" max="11" width="7.7109375" style="1" hidden="1" customWidth="1"/>
    <col min="12" max="12" width="10.5703125" style="1" hidden="1" customWidth="1"/>
    <col min="13" max="13" width="7.7109375" style="1" hidden="1" customWidth="1"/>
    <col min="14" max="14" width="11" style="1" hidden="1" customWidth="1"/>
    <col min="15" max="15" width="7.7109375" style="1" customWidth="1"/>
    <col min="16" max="16" width="11" style="1" customWidth="1"/>
    <col min="17" max="17" width="7.7109375" style="1" customWidth="1"/>
    <col min="18" max="18" width="11" style="1" customWidth="1"/>
    <col min="19" max="19" width="7.7109375" style="1" customWidth="1"/>
    <col min="20" max="20" width="11" style="1" customWidth="1"/>
    <col min="21" max="21" width="7.7109375" style="1" customWidth="1"/>
    <col min="22" max="22" width="11" style="1" customWidth="1"/>
    <col min="23" max="23" width="7.7109375" style="1" customWidth="1"/>
    <col min="24" max="24" width="13.28515625" style="1" bestFit="1" customWidth="1"/>
    <col min="25" max="25" width="7.7109375" style="1" customWidth="1"/>
    <col min="26" max="26" width="13.28515625" style="1" bestFit="1" customWidth="1"/>
    <col min="27" max="27" width="2.5703125" style="1" customWidth="1"/>
    <col min="28" max="28" width="7.7109375" style="1" customWidth="1"/>
    <col min="29" max="29" width="10.5703125" style="1" customWidth="1"/>
    <col min="30" max="30" width="2.7109375" style="1" customWidth="1"/>
    <col min="31" max="16384" width="10.28515625" style="1"/>
  </cols>
  <sheetData>
    <row r="1" spans="1:29" ht="18" x14ac:dyDescent="0.25">
      <c r="A1" s="533" t="s">
        <v>145</v>
      </c>
      <c r="B1" s="533"/>
      <c r="C1" s="533"/>
      <c r="D1" s="533"/>
      <c r="E1" s="533"/>
      <c r="F1" s="533"/>
      <c r="G1" s="533"/>
      <c r="H1" s="533"/>
      <c r="I1" s="629"/>
      <c r="J1" s="629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</row>
    <row r="2" spans="1:29" ht="6.75" customHeight="1" x14ac:dyDescent="0.2">
      <c r="C2" s="1"/>
      <c r="D2" s="1"/>
      <c r="E2" s="1"/>
      <c r="F2" s="1"/>
      <c r="G2" s="215"/>
      <c r="H2" s="215"/>
      <c r="I2" s="215"/>
      <c r="J2" s="215"/>
    </row>
    <row r="3" spans="1:29" x14ac:dyDescent="0.2">
      <c r="A3" s="3" t="s">
        <v>22</v>
      </c>
      <c r="C3" s="1"/>
      <c r="D3" s="1"/>
      <c r="E3" s="1"/>
      <c r="F3" s="1"/>
      <c r="G3" s="215"/>
      <c r="H3" s="215"/>
      <c r="I3" s="215"/>
      <c r="J3" s="215"/>
    </row>
    <row r="4" spans="1:29" ht="6.75" customHeight="1" x14ac:dyDescent="0.2">
      <c r="C4" s="1"/>
      <c r="E4" s="1"/>
      <c r="F4" s="1"/>
      <c r="G4" s="215"/>
      <c r="H4" s="215"/>
      <c r="I4" s="215"/>
      <c r="J4" s="215"/>
    </row>
    <row r="5" spans="1:29" x14ac:dyDescent="0.2">
      <c r="A5" s="3" t="s">
        <v>41</v>
      </c>
      <c r="C5" s="1"/>
      <c r="D5" s="1"/>
      <c r="E5" s="1"/>
      <c r="F5" s="1"/>
      <c r="G5" s="215"/>
      <c r="H5" s="215"/>
      <c r="I5" s="215"/>
      <c r="J5" s="215"/>
    </row>
    <row r="6" spans="1:29" ht="6.75" customHeight="1" thickBot="1" x14ac:dyDescent="0.25">
      <c r="A6" s="2"/>
      <c r="C6" s="1"/>
      <c r="D6" s="1"/>
      <c r="E6" s="1"/>
      <c r="F6" s="1"/>
      <c r="G6" s="215"/>
      <c r="H6" s="215"/>
      <c r="I6" s="215"/>
      <c r="J6" s="215"/>
    </row>
    <row r="7" spans="1:29" ht="13.5" customHeight="1" thickTop="1" thickBot="1" x14ac:dyDescent="0.25">
      <c r="B7" s="48"/>
      <c r="C7" s="10" t="s">
        <v>24</v>
      </c>
      <c r="D7" s="28"/>
      <c r="E7" s="10" t="s">
        <v>25</v>
      </c>
      <c r="F7" s="8"/>
      <c r="G7" s="251" t="s">
        <v>76</v>
      </c>
      <c r="H7" s="347"/>
      <c r="I7" s="224" t="s">
        <v>86</v>
      </c>
      <c r="J7" s="368"/>
      <c r="K7" s="799" t="s">
        <v>87</v>
      </c>
      <c r="L7" s="790"/>
      <c r="M7" s="799" t="s">
        <v>90</v>
      </c>
      <c r="N7" s="791"/>
      <c r="O7" s="790" t="s">
        <v>113</v>
      </c>
      <c r="P7" s="791"/>
      <c r="Q7" s="790" t="s">
        <v>118</v>
      </c>
      <c r="R7" s="791"/>
      <c r="S7" s="790" t="s">
        <v>131</v>
      </c>
      <c r="T7" s="791"/>
      <c r="U7" s="790" t="s">
        <v>139</v>
      </c>
      <c r="V7" s="791"/>
      <c r="W7" s="790" t="s">
        <v>141</v>
      </c>
      <c r="X7" s="791"/>
      <c r="Y7" s="790" t="s">
        <v>143</v>
      </c>
      <c r="Z7" s="791"/>
      <c r="AB7" s="823" t="s">
        <v>105</v>
      </c>
      <c r="AC7" s="824"/>
    </row>
    <row r="8" spans="1:29" ht="12" x14ac:dyDescent="0.2">
      <c r="B8" s="49"/>
      <c r="C8" s="19" t="s">
        <v>1</v>
      </c>
      <c r="D8" s="29" t="s">
        <v>2</v>
      </c>
      <c r="E8" s="19" t="s">
        <v>1</v>
      </c>
      <c r="F8" s="21" t="s">
        <v>2</v>
      </c>
      <c r="G8" s="252" t="s">
        <v>1</v>
      </c>
      <c r="H8" s="333" t="s">
        <v>2</v>
      </c>
      <c r="I8" s="225" t="s">
        <v>1</v>
      </c>
      <c r="J8" s="382" t="s">
        <v>2</v>
      </c>
      <c r="K8" s="252" t="s">
        <v>1</v>
      </c>
      <c r="L8" s="382" t="s">
        <v>2</v>
      </c>
      <c r="M8" s="252" t="s">
        <v>1</v>
      </c>
      <c r="N8" s="333" t="s">
        <v>2</v>
      </c>
      <c r="O8" s="225" t="s">
        <v>1</v>
      </c>
      <c r="P8" s="333" t="s">
        <v>2</v>
      </c>
      <c r="Q8" s="225" t="s">
        <v>1</v>
      </c>
      <c r="R8" s="333" t="s">
        <v>2</v>
      </c>
      <c r="S8" s="225" t="s">
        <v>1</v>
      </c>
      <c r="T8" s="333" t="s">
        <v>2</v>
      </c>
      <c r="U8" s="225" t="s">
        <v>1</v>
      </c>
      <c r="V8" s="333" t="s">
        <v>2</v>
      </c>
      <c r="W8" s="225" t="s">
        <v>1</v>
      </c>
      <c r="X8" s="333" t="s">
        <v>2</v>
      </c>
      <c r="Y8" s="225" t="s">
        <v>1</v>
      </c>
      <c r="Z8" s="333" t="s">
        <v>2</v>
      </c>
      <c r="AB8" s="545" t="s">
        <v>106</v>
      </c>
      <c r="AC8" s="546" t="s">
        <v>107</v>
      </c>
    </row>
    <row r="9" spans="1:29" thickBot="1" x14ac:dyDescent="0.25">
      <c r="B9" s="50"/>
      <c r="C9" s="22" t="s">
        <v>3</v>
      </c>
      <c r="D9" s="30" t="s">
        <v>4</v>
      </c>
      <c r="E9" s="22" t="s">
        <v>3</v>
      </c>
      <c r="F9" s="23" t="s">
        <v>4</v>
      </c>
      <c r="G9" s="256" t="s">
        <v>3</v>
      </c>
      <c r="H9" s="334" t="s">
        <v>4</v>
      </c>
      <c r="I9" s="226" t="s">
        <v>3</v>
      </c>
      <c r="J9" s="383" t="s">
        <v>4</v>
      </c>
      <c r="K9" s="256" t="s">
        <v>3</v>
      </c>
      <c r="L9" s="383" t="s">
        <v>4</v>
      </c>
      <c r="M9" s="256" t="s">
        <v>3</v>
      </c>
      <c r="N9" s="334" t="s">
        <v>4</v>
      </c>
      <c r="O9" s="226" t="s">
        <v>3</v>
      </c>
      <c r="P9" s="334" t="s">
        <v>4</v>
      </c>
      <c r="Q9" s="226" t="s">
        <v>3</v>
      </c>
      <c r="R9" s="334" t="s">
        <v>4</v>
      </c>
      <c r="S9" s="226" t="s">
        <v>3</v>
      </c>
      <c r="T9" s="334" t="s">
        <v>4</v>
      </c>
      <c r="U9" s="226" t="s">
        <v>3</v>
      </c>
      <c r="V9" s="334" t="s">
        <v>4</v>
      </c>
      <c r="W9" s="226" t="s">
        <v>3</v>
      </c>
      <c r="X9" s="334" t="s">
        <v>4</v>
      </c>
      <c r="Y9" s="226" t="s">
        <v>3</v>
      </c>
      <c r="Z9" s="334" t="s">
        <v>4</v>
      </c>
      <c r="AB9" s="547" t="s">
        <v>3</v>
      </c>
      <c r="AC9" s="548" t="s">
        <v>4</v>
      </c>
    </row>
    <row r="10" spans="1:29" ht="12" x14ac:dyDescent="0.2">
      <c r="B10" s="51" t="s">
        <v>5</v>
      </c>
      <c r="C10" s="14"/>
      <c r="D10" s="32"/>
      <c r="E10" s="14"/>
      <c r="F10" s="15"/>
      <c r="G10" s="255"/>
      <c r="H10" s="348"/>
      <c r="I10" s="227"/>
      <c r="J10" s="384"/>
      <c r="K10" s="255"/>
      <c r="L10" s="384"/>
      <c r="M10" s="255"/>
      <c r="N10" s="348"/>
      <c r="O10" s="227"/>
      <c r="P10" s="348"/>
      <c r="Q10" s="227"/>
      <c r="R10" s="348"/>
      <c r="S10" s="227"/>
      <c r="T10" s="348"/>
      <c r="U10" s="227"/>
      <c r="V10" s="348"/>
      <c r="W10" s="227"/>
      <c r="X10" s="348"/>
      <c r="Y10" s="227"/>
      <c r="Z10" s="348"/>
      <c r="AB10" s="549"/>
      <c r="AC10" s="550"/>
    </row>
    <row r="11" spans="1:29" ht="12" x14ac:dyDescent="0.2">
      <c r="B11" s="399" t="s">
        <v>112</v>
      </c>
      <c r="C11" s="14"/>
      <c r="D11" s="32"/>
      <c r="E11" s="14"/>
      <c r="F11" s="15"/>
      <c r="G11" s="255"/>
      <c r="H11" s="348"/>
      <c r="I11" s="227"/>
      <c r="J11" s="384"/>
      <c r="K11" s="255"/>
      <c r="L11" s="384"/>
      <c r="M11" s="255"/>
      <c r="N11" s="348"/>
      <c r="O11" s="227"/>
      <c r="P11" s="348"/>
      <c r="Q11" s="227"/>
      <c r="R11" s="348"/>
      <c r="S11" s="227"/>
      <c r="T11" s="348"/>
      <c r="U11" s="227"/>
      <c r="V11" s="348"/>
      <c r="W11" s="227"/>
      <c r="X11" s="348"/>
      <c r="Y11" s="227"/>
      <c r="Z11" s="348"/>
      <c r="AB11" s="551"/>
      <c r="AC11" s="552"/>
    </row>
    <row r="12" spans="1:29" ht="12" x14ac:dyDescent="0.2">
      <c r="B12" s="398" t="s">
        <v>6</v>
      </c>
      <c r="C12" s="540"/>
      <c r="D12" s="541"/>
      <c r="E12" s="540"/>
      <c r="F12" s="542"/>
      <c r="G12" s="543"/>
      <c r="H12" s="541"/>
      <c r="I12" s="227">
        <v>9</v>
      </c>
      <c r="J12" s="384">
        <v>3</v>
      </c>
      <c r="K12" s="255">
        <v>18</v>
      </c>
      <c r="L12" s="384">
        <v>0</v>
      </c>
      <c r="M12" s="255">
        <v>34</v>
      </c>
      <c r="N12" s="348">
        <v>6</v>
      </c>
      <c r="O12" s="227">
        <f>35+15+2</f>
        <v>52</v>
      </c>
      <c r="P12" s="348">
        <v>12</v>
      </c>
      <c r="Q12" s="227">
        <f>56+1</f>
        <v>57</v>
      </c>
      <c r="R12" s="348">
        <v>16</v>
      </c>
      <c r="S12" s="227">
        <f>53+1</f>
        <v>54</v>
      </c>
      <c r="T12" s="348">
        <v>13</v>
      </c>
      <c r="U12" s="227">
        <v>30</v>
      </c>
      <c r="V12" s="348">
        <v>18</v>
      </c>
      <c r="W12" s="227">
        <v>48</v>
      </c>
      <c r="X12" s="782">
        <v>12</v>
      </c>
      <c r="Y12" s="227">
        <v>54</v>
      </c>
      <c r="Z12" s="767"/>
      <c r="AA12" s="506"/>
      <c r="AB12" s="551">
        <f>AVERAGE(S12,U12,W12,Y12,Q12)</f>
        <v>48.6</v>
      </c>
      <c r="AC12" s="553">
        <f>AVERAGE(T12,V12,X12,Z12,R12)</f>
        <v>14.75</v>
      </c>
    </row>
    <row r="13" spans="1:29" ht="12" x14ac:dyDescent="0.2">
      <c r="B13" s="503" t="s">
        <v>91</v>
      </c>
      <c r="C13" s="227"/>
      <c r="D13" s="348"/>
      <c r="E13" s="253"/>
      <c r="F13" s="384"/>
      <c r="G13" s="255"/>
      <c r="H13" s="348"/>
      <c r="I13" s="227"/>
      <c r="J13" s="384"/>
      <c r="K13" s="255"/>
      <c r="L13" s="384"/>
      <c r="M13" s="255"/>
      <c r="N13" s="348"/>
      <c r="O13" s="227"/>
      <c r="P13" s="348"/>
      <c r="Q13" s="227"/>
      <c r="R13" s="348"/>
      <c r="S13" s="227"/>
      <c r="T13" s="348"/>
      <c r="U13" s="227"/>
      <c r="V13" s="348"/>
      <c r="W13" s="227"/>
      <c r="X13" s="348"/>
      <c r="Y13" s="227"/>
      <c r="Z13" s="767"/>
      <c r="AA13" s="506"/>
      <c r="AB13" s="551"/>
      <c r="AC13" s="553"/>
    </row>
    <row r="14" spans="1:29" ht="12" x14ac:dyDescent="0.2">
      <c r="B14" s="398" t="s">
        <v>6</v>
      </c>
      <c r="C14" s="540"/>
      <c r="D14" s="541"/>
      <c r="E14" s="540"/>
      <c r="F14" s="542"/>
      <c r="G14" s="543"/>
      <c r="H14" s="541"/>
      <c r="I14" s="540"/>
      <c r="J14" s="542"/>
      <c r="K14" s="543"/>
      <c r="L14" s="542"/>
      <c r="M14" s="255">
        <v>1</v>
      </c>
      <c r="N14" s="350" t="s">
        <v>111</v>
      </c>
      <c r="O14" s="227">
        <v>0</v>
      </c>
      <c r="P14" s="350" t="s">
        <v>111</v>
      </c>
      <c r="Q14" s="227">
        <v>2</v>
      </c>
      <c r="R14" s="350" t="s">
        <v>111</v>
      </c>
      <c r="S14" s="227">
        <v>0</v>
      </c>
      <c r="T14" s="350" t="s">
        <v>111</v>
      </c>
      <c r="U14" s="227">
        <v>5</v>
      </c>
      <c r="V14" s="350" t="s">
        <v>111</v>
      </c>
      <c r="W14" s="227">
        <v>0</v>
      </c>
      <c r="X14" s="350" t="s">
        <v>111</v>
      </c>
      <c r="Y14" s="227">
        <v>8</v>
      </c>
      <c r="Z14" s="768"/>
      <c r="AA14" s="506"/>
      <c r="AB14" s="551">
        <f>AVERAGE(S14,U14,W14,Y14,Q14)</f>
        <v>3</v>
      </c>
      <c r="AC14" s="642" t="s">
        <v>111</v>
      </c>
    </row>
    <row r="15" spans="1:29" ht="12" x14ac:dyDescent="0.2">
      <c r="B15" s="52" t="s">
        <v>89</v>
      </c>
      <c r="C15" s="11"/>
      <c r="D15" s="34"/>
      <c r="E15" s="11"/>
      <c r="F15" s="9"/>
      <c r="G15" s="253"/>
      <c r="H15" s="349"/>
      <c r="I15" s="72"/>
      <c r="J15" s="385"/>
      <c r="K15" s="253"/>
      <c r="L15" s="385"/>
      <c r="M15" s="253"/>
      <c r="N15" s="349"/>
      <c r="O15" s="72"/>
      <c r="P15" s="349"/>
      <c r="Q15" s="72"/>
      <c r="R15" s="349"/>
      <c r="S15" s="72"/>
      <c r="T15" s="349"/>
      <c r="U15" s="72"/>
      <c r="V15" s="349"/>
      <c r="W15" s="72"/>
      <c r="X15" s="349"/>
      <c r="Y15" s="72"/>
      <c r="Z15" s="769"/>
      <c r="AA15" s="506"/>
      <c r="AB15" s="551"/>
      <c r="AC15" s="553"/>
    </row>
    <row r="16" spans="1:29" ht="12" x14ac:dyDescent="0.2">
      <c r="B16" s="57" t="s">
        <v>21</v>
      </c>
      <c r="C16" s="126">
        <v>433</v>
      </c>
      <c r="D16" s="69">
        <v>107</v>
      </c>
      <c r="E16" s="126">
        <f>434</f>
        <v>434</v>
      </c>
      <c r="F16" s="40">
        <v>108</v>
      </c>
      <c r="G16" s="381">
        <v>431</v>
      </c>
      <c r="H16" s="489">
        <v>106</v>
      </c>
      <c r="I16" s="244">
        <v>433</v>
      </c>
      <c r="J16" s="490">
        <v>106</v>
      </c>
      <c r="K16" s="253">
        <v>428</v>
      </c>
      <c r="L16" s="490">
        <v>112</v>
      </c>
      <c r="M16" s="253">
        <v>439</v>
      </c>
      <c r="N16" s="489">
        <v>108</v>
      </c>
      <c r="O16" s="72">
        <v>437</v>
      </c>
      <c r="P16" s="489">
        <v>103</v>
      </c>
      <c r="Q16" s="253">
        <v>462</v>
      </c>
      <c r="R16" s="489">
        <v>107</v>
      </c>
      <c r="S16" s="72">
        <v>457</v>
      </c>
      <c r="T16" s="489">
        <v>105</v>
      </c>
      <c r="U16" s="72">
        <v>464</v>
      </c>
      <c r="V16" s="489">
        <v>105</v>
      </c>
      <c r="W16" s="72">
        <v>473</v>
      </c>
      <c r="X16" s="489">
        <v>108</v>
      </c>
      <c r="Y16" s="72">
        <v>482</v>
      </c>
      <c r="Z16" s="770"/>
      <c r="AA16" s="506"/>
      <c r="AB16" s="551">
        <f t="shared" ref="AB16:AC16" si="0">AVERAGE(S16,U16,W16,Y16,Q16)</f>
        <v>467.6</v>
      </c>
      <c r="AC16" s="553">
        <f t="shared" si="0"/>
        <v>106.25</v>
      </c>
    </row>
    <row r="17" spans="1:32" ht="12" x14ac:dyDescent="0.2">
      <c r="B17" s="751" t="s">
        <v>133</v>
      </c>
      <c r="C17" s="752"/>
      <c r="D17" s="753"/>
      <c r="E17" s="754"/>
      <c r="F17" s="755"/>
      <c r="G17" s="752"/>
      <c r="H17" s="753"/>
      <c r="I17" s="754"/>
      <c r="J17" s="755"/>
      <c r="K17" s="752"/>
      <c r="L17" s="755"/>
      <c r="M17" s="752"/>
      <c r="N17" s="756"/>
      <c r="O17" s="754"/>
      <c r="P17" s="756"/>
      <c r="Q17" s="754"/>
      <c r="R17" s="756"/>
      <c r="S17" s="754"/>
      <c r="T17" s="756"/>
      <c r="U17" s="754"/>
      <c r="V17" s="756"/>
      <c r="W17" s="754"/>
      <c r="X17" s="756"/>
      <c r="Y17" s="754"/>
      <c r="Z17" s="771"/>
      <c r="AA17" s="506"/>
      <c r="AB17" s="551"/>
      <c r="AC17" s="552"/>
    </row>
    <row r="18" spans="1:32" ht="12" x14ac:dyDescent="0.2">
      <c r="B18" s="757" t="s">
        <v>134</v>
      </c>
      <c r="C18" s="752">
        <v>5</v>
      </c>
      <c r="D18" s="753">
        <v>0</v>
      </c>
      <c r="E18" s="754">
        <v>13</v>
      </c>
      <c r="F18" s="755">
        <v>1</v>
      </c>
      <c r="G18" s="752">
        <v>14</v>
      </c>
      <c r="H18" s="753">
        <v>4</v>
      </c>
      <c r="I18" s="754">
        <v>21</v>
      </c>
      <c r="J18" s="755">
        <v>4</v>
      </c>
      <c r="K18" s="752">
        <v>20</v>
      </c>
      <c r="L18" s="755">
        <f>6+1</f>
        <v>7</v>
      </c>
      <c r="M18" s="752">
        <v>26</v>
      </c>
      <c r="N18" s="756">
        <v>9</v>
      </c>
      <c r="O18" s="754">
        <f>29+9</f>
        <v>38</v>
      </c>
      <c r="P18" s="756">
        <v>9</v>
      </c>
      <c r="Q18" s="754">
        <v>66</v>
      </c>
      <c r="R18" s="756">
        <v>9</v>
      </c>
      <c r="S18" s="754">
        <v>89</v>
      </c>
      <c r="T18" s="756">
        <v>21</v>
      </c>
      <c r="U18" s="754">
        <v>78</v>
      </c>
      <c r="V18" s="756">
        <v>26</v>
      </c>
      <c r="W18" s="754">
        <v>67</v>
      </c>
      <c r="X18" s="756">
        <v>25</v>
      </c>
      <c r="Y18" s="754">
        <v>67</v>
      </c>
      <c r="Z18" s="771"/>
      <c r="AA18" s="506"/>
      <c r="AB18" s="551">
        <f t="shared" ref="AB18:AB19" si="1">AVERAGE(S18,U18,W18,Y18,Q18)</f>
        <v>73.400000000000006</v>
      </c>
      <c r="AC18" s="552">
        <f t="shared" ref="AC18:AC19" si="2">AVERAGE(T18,V18,X18,Z18,R18)</f>
        <v>20.25</v>
      </c>
    </row>
    <row r="19" spans="1:32" s="110" customFormat="1" ht="13.5" customHeight="1" thickBot="1" x14ac:dyDescent="0.25">
      <c r="B19" s="53" t="s">
        <v>135</v>
      </c>
      <c r="C19" s="111">
        <v>1</v>
      </c>
      <c r="D19" s="68">
        <v>1</v>
      </c>
      <c r="E19" s="112">
        <v>0</v>
      </c>
      <c r="F19" s="37">
        <v>0</v>
      </c>
      <c r="G19" s="703"/>
      <c r="H19" s="704"/>
      <c r="I19" s="705"/>
      <c r="J19" s="706"/>
      <c r="K19" s="703"/>
      <c r="L19" s="706"/>
      <c r="M19" s="703"/>
      <c r="N19" s="704"/>
      <c r="O19" s="705"/>
      <c r="P19" s="704"/>
      <c r="Q19" s="375">
        <v>2</v>
      </c>
      <c r="R19" s="376">
        <v>7</v>
      </c>
      <c r="S19" s="375">
        <v>7</v>
      </c>
      <c r="T19" s="376">
        <v>3</v>
      </c>
      <c r="U19" s="375">
        <v>6</v>
      </c>
      <c r="V19" s="376">
        <v>7</v>
      </c>
      <c r="W19" s="375">
        <v>11</v>
      </c>
      <c r="X19" s="376">
        <v>0</v>
      </c>
      <c r="Y19" s="375">
        <v>5</v>
      </c>
      <c r="Z19" s="763"/>
      <c r="AA19" s="694"/>
      <c r="AB19" s="544">
        <f t="shared" si="1"/>
        <v>6.2</v>
      </c>
      <c r="AC19" s="643">
        <f t="shared" si="2"/>
        <v>4.25</v>
      </c>
    </row>
    <row r="20" spans="1:32" thickTop="1" x14ac:dyDescent="0.2">
      <c r="B20" s="66"/>
      <c r="C20" s="26"/>
      <c r="D20" s="66"/>
      <c r="E20" s="26"/>
      <c r="F20" s="27"/>
      <c r="G20" s="228"/>
      <c r="H20" s="233"/>
      <c r="I20" s="228"/>
      <c r="J20" s="233"/>
      <c r="K20" s="228"/>
      <c r="L20" s="233"/>
      <c r="M20" s="228"/>
      <c r="N20" s="233"/>
      <c r="O20" s="228"/>
      <c r="P20" s="233"/>
      <c r="Q20" s="228"/>
      <c r="R20" s="233"/>
      <c r="S20" s="228"/>
      <c r="T20" s="233"/>
      <c r="U20" s="228"/>
      <c r="V20" s="233"/>
      <c r="W20" s="228"/>
      <c r="X20" s="233"/>
      <c r="Y20" s="228"/>
      <c r="Z20" s="233"/>
      <c r="AC20" s="574"/>
    </row>
    <row r="21" spans="1:32" ht="12" x14ac:dyDescent="0.2">
      <c r="B21" s="67" t="s">
        <v>85</v>
      </c>
      <c r="C21" s="26"/>
      <c r="D21" s="27"/>
      <c r="E21" s="26"/>
      <c r="F21" s="27"/>
      <c r="G21" s="228"/>
      <c r="H21" s="233"/>
      <c r="I21" s="228"/>
      <c r="J21" s="233"/>
      <c r="K21" s="228"/>
      <c r="L21" s="233"/>
      <c r="M21" s="228"/>
      <c r="N21" s="233"/>
      <c r="O21" s="228"/>
      <c r="P21" s="233"/>
      <c r="Q21" s="228"/>
      <c r="R21" s="233"/>
      <c r="S21" s="228"/>
      <c r="T21" s="233"/>
      <c r="U21" s="228"/>
      <c r="V21" s="233"/>
      <c r="W21" s="228"/>
      <c r="X21" s="233"/>
      <c r="Y21" s="228"/>
      <c r="Z21" s="233"/>
    </row>
    <row r="22" spans="1:32" thickBot="1" x14ac:dyDescent="0.25">
      <c r="C22" s="1"/>
      <c r="D22" s="1"/>
      <c r="E22" s="1"/>
      <c r="F22" s="1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</row>
    <row r="23" spans="1:32" ht="13.5" thickTop="1" thickBot="1" x14ac:dyDescent="0.25">
      <c r="B23" s="18"/>
      <c r="C23" s="811" t="s">
        <v>24</v>
      </c>
      <c r="D23" s="812"/>
      <c r="E23" s="811" t="s">
        <v>25</v>
      </c>
      <c r="F23" s="813"/>
      <c r="G23" s="798" t="s">
        <v>76</v>
      </c>
      <c r="H23" s="793"/>
      <c r="I23" s="792" t="s">
        <v>86</v>
      </c>
      <c r="J23" s="792"/>
      <c r="K23" s="798" t="s">
        <v>87</v>
      </c>
      <c r="L23" s="792"/>
      <c r="M23" s="798" t="s">
        <v>90</v>
      </c>
      <c r="N23" s="793"/>
      <c r="O23" s="792" t="s">
        <v>113</v>
      </c>
      <c r="P23" s="793"/>
      <c r="Q23" s="792" t="s">
        <v>118</v>
      </c>
      <c r="R23" s="793"/>
      <c r="S23" s="792" t="s">
        <v>131</v>
      </c>
      <c r="T23" s="793"/>
      <c r="U23" s="792" t="s">
        <v>139</v>
      </c>
      <c r="V23" s="793"/>
      <c r="W23" s="792" t="s">
        <v>141</v>
      </c>
      <c r="X23" s="793"/>
      <c r="Y23" s="792" t="s">
        <v>143</v>
      </c>
      <c r="Z23" s="793"/>
      <c r="AB23" s="825" t="s">
        <v>105</v>
      </c>
      <c r="AC23" s="826"/>
    </row>
    <row r="24" spans="1:32" ht="12" x14ac:dyDescent="0.2">
      <c r="B24" s="16" t="s">
        <v>8</v>
      </c>
      <c r="C24" s="127"/>
      <c r="D24" s="128"/>
      <c r="E24" s="127"/>
      <c r="F24" s="7"/>
      <c r="G24" s="299"/>
      <c r="H24" s="335"/>
      <c r="I24" s="234"/>
      <c r="J24" s="234"/>
      <c r="K24" s="299"/>
      <c r="L24" s="234"/>
      <c r="M24" s="299"/>
      <c r="N24" s="335"/>
      <c r="O24" s="234"/>
      <c r="P24" s="335"/>
      <c r="Q24" s="234"/>
      <c r="R24" s="335"/>
      <c r="S24" s="234"/>
      <c r="T24" s="335"/>
      <c r="U24" s="234"/>
      <c r="V24" s="335"/>
      <c r="W24" s="234"/>
      <c r="X24" s="335"/>
      <c r="Y24" s="234"/>
      <c r="Z24" s="335"/>
      <c r="AB24" s="555"/>
      <c r="AC24" s="556"/>
    </row>
    <row r="25" spans="1:32" ht="12" x14ac:dyDescent="0.2">
      <c r="B25" s="6" t="s">
        <v>9</v>
      </c>
      <c r="C25" s="129"/>
      <c r="D25" s="130"/>
      <c r="E25" s="129"/>
      <c r="F25" s="4"/>
      <c r="G25" s="258"/>
      <c r="H25" s="344"/>
      <c r="I25" s="235"/>
      <c r="J25" s="235"/>
      <c r="K25" s="258"/>
      <c r="L25" s="235"/>
      <c r="M25" s="258"/>
      <c r="N25" s="344"/>
      <c r="O25" s="235"/>
      <c r="P25" s="344"/>
      <c r="Q25" s="235"/>
      <c r="R25" s="344"/>
      <c r="S25" s="235"/>
      <c r="T25" s="344"/>
      <c r="U25" s="235"/>
      <c r="V25" s="344"/>
      <c r="W25" s="235"/>
      <c r="X25" s="344"/>
      <c r="Y25" s="235"/>
      <c r="Z25" s="344"/>
      <c r="AB25" s="555"/>
      <c r="AC25" s="556"/>
    </row>
    <row r="26" spans="1:32" ht="12" x14ac:dyDescent="0.2">
      <c r="B26" s="6" t="s">
        <v>10</v>
      </c>
      <c r="C26" s="129"/>
      <c r="D26" s="131"/>
      <c r="E26" s="129"/>
      <c r="F26" s="38"/>
      <c r="G26" s="258"/>
      <c r="H26" s="345"/>
      <c r="I26" s="235"/>
      <c r="J26" s="387"/>
      <c r="K26" s="258"/>
      <c r="L26" s="387"/>
      <c r="M26" s="258"/>
      <c r="N26" s="345"/>
      <c r="O26" s="235"/>
      <c r="P26" s="345"/>
      <c r="Q26" s="235"/>
      <c r="R26" s="345"/>
      <c r="S26" s="235"/>
      <c r="T26" s="345"/>
      <c r="U26" s="235"/>
      <c r="V26" s="345"/>
      <c r="W26" s="235"/>
      <c r="X26" s="345"/>
      <c r="Y26" s="235"/>
      <c r="Z26" s="345"/>
      <c r="AB26" s="557"/>
      <c r="AC26" s="558"/>
    </row>
    <row r="27" spans="1:32" ht="12" x14ac:dyDescent="0.2">
      <c r="B27" s="6" t="s">
        <v>11</v>
      </c>
      <c r="C27" s="129"/>
      <c r="D27" s="131"/>
      <c r="E27" s="129"/>
      <c r="F27" s="38"/>
      <c r="G27" s="258"/>
      <c r="H27" s="345"/>
      <c r="I27" s="235"/>
      <c r="J27" s="387"/>
      <c r="K27" s="258"/>
      <c r="L27" s="387"/>
      <c r="M27" s="258"/>
      <c r="N27" s="345"/>
      <c r="O27" s="235"/>
      <c r="P27" s="682"/>
      <c r="Q27" s="235"/>
      <c r="R27" s="682"/>
      <c r="S27" s="235"/>
      <c r="T27" s="682"/>
      <c r="U27" s="235"/>
      <c r="V27" s="682"/>
      <c r="W27" s="235"/>
      <c r="X27" s="682"/>
      <c r="Y27" s="235"/>
      <c r="Z27" s="783"/>
      <c r="AB27" s="559"/>
      <c r="AC27" s="13"/>
    </row>
    <row r="28" spans="1:32" ht="12" x14ac:dyDescent="0.2">
      <c r="B28" s="6" t="s">
        <v>12</v>
      </c>
      <c r="C28" s="129"/>
      <c r="D28" s="132">
        <v>215</v>
      </c>
      <c r="E28" s="129"/>
      <c r="F28" s="248">
        <v>105</v>
      </c>
      <c r="G28" s="258"/>
      <c r="H28" s="328">
        <v>103</v>
      </c>
      <c r="I28" s="235"/>
      <c r="J28" s="248">
        <v>105</v>
      </c>
      <c r="K28" s="258"/>
      <c r="L28" s="248">
        <v>104</v>
      </c>
      <c r="M28" s="258"/>
      <c r="N28" s="328">
        <v>215</v>
      </c>
      <c r="O28" s="235"/>
      <c r="P28" s="328">
        <v>0</v>
      </c>
      <c r="Q28" s="235"/>
      <c r="R28" s="328">
        <v>0</v>
      </c>
      <c r="S28" s="235"/>
      <c r="T28" s="328">
        <v>106</v>
      </c>
      <c r="U28" s="235"/>
      <c r="V28" s="328">
        <v>104</v>
      </c>
      <c r="W28" s="235"/>
      <c r="X28" s="328">
        <v>433</v>
      </c>
      <c r="Y28" s="235"/>
      <c r="Z28" s="779"/>
      <c r="AB28" s="559"/>
      <c r="AC28" s="13">
        <f>AVERAGE(T28,V28,X28,Z28,R28)</f>
        <v>160.75</v>
      </c>
    </row>
    <row r="29" spans="1:32" ht="12" x14ac:dyDescent="0.2">
      <c r="B29" s="6" t="s">
        <v>13</v>
      </c>
      <c r="C29" s="129"/>
      <c r="D29" s="132"/>
      <c r="E29" s="129"/>
      <c r="F29" s="239"/>
      <c r="G29" s="258"/>
      <c r="H29" s="329"/>
      <c r="I29" s="235"/>
      <c r="J29" s="239"/>
      <c r="K29" s="258"/>
      <c r="L29" s="239"/>
      <c r="M29" s="258"/>
      <c r="N29" s="329"/>
      <c r="O29" s="235"/>
      <c r="P29" s="329"/>
      <c r="Q29" s="235"/>
      <c r="R29" s="329"/>
      <c r="S29" s="235"/>
      <c r="T29" s="329"/>
      <c r="U29" s="235"/>
      <c r="V29" s="329"/>
      <c r="W29" s="235"/>
      <c r="X29" s="329"/>
      <c r="Y29" s="235"/>
      <c r="Z29" s="781"/>
      <c r="AB29" s="559"/>
      <c r="AC29" s="13"/>
    </row>
    <row r="30" spans="1:32" thickBot="1" x14ac:dyDescent="0.25">
      <c r="B30" s="531" t="s">
        <v>14</v>
      </c>
      <c r="C30" s="133"/>
      <c r="D30" s="134">
        <f>SUM(D28:D29)</f>
        <v>215</v>
      </c>
      <c r="E30" s="675"/>
      <c r="F30" s="292">
        <f>SUM(F28:F29)</f>
        <v>105</v>
      </c>
      <c r="G30" s="300"/>
      <c r="H30" s="374">
        <f>SUM(H28:H29)</f>
        <v>103</v>
      </c>
      <c r="I30" s="367"/>
      <c r="J30" s="388">
        <f>SUM(J28:J29)</f>
        <v>105</v>
      </c>
      <c r="K30" s="300"/>
      <c r="L30" s="388">
        <f>SUM(L28:L29)</f>
        <v>104</v>
      </c>
      <c r="M30" s="300"/>
      <c r="N30" s="374">
        <v>215</v>
      </c>
      <c r="O30" s="367"/>
      <c r="P30" s="374">
        <f>SUM(P26:P29)</f>
        <v>0</v>
      </c>
      <c r="Q30" s="367"/>
      <c r="R30" s="374">
        <f>SUM(R26:R29)</f>
        <v>0</v>
      </c>
      <c r="S30" s="367"/>
      <c r="T30" s="374">
        <f>SUM(T26:T29)</f>
        <v>106</v>
      </c>
      <c r="U30" s="367"/>
      <c r="V30" s="374">
        <f>SUM(V26:V29)</f>
        <v>104</v>
      </c>
      <c r="W30" s="367"/>
      <c r="X30" s="374">
        <f>SUM(X26:X29)</f>
        <v>433</v>
      </c>
      <c r="Y30" s="367"/>
      <c r="Z30" s="784">
        <f>SUM(Z26:Z29)</f>
        <v>0</v>
      </c>
      <c r="AB30" s="559"/>
      <c r="AC30" s="413">
        <f>AVERAGE(T30,V30,X30,Z30,R30)</f>
        <v>128.6</v>
      </c>
    </row>
    <row r="31" spans="1:32" ht="14.25" thickTop="1" thickBot="1" x14ac:dyDescent="0.25">
      <c r="A31" s="506"/>
      <c r="B31" s="532" t="s">
        <v>102</v>
      </c>
      <c r="C31" s="802" t="s">
        <v>93</v>
      </c>
      <c r="D31" s="820"/>
      <c r="E31" s="802" t="s">
        <v>94</v>
      </c>
      <c r="F31" s="820"/>
      <c r="G31" s="804" t="s">
        <v>95</v>
      </c>
      <c r="H31" s="795"/>
      <c r="I31" s="804" t="s">
        <v>96</v>
      </c>
      <c r="J31" s="818"/>
      <c r="K31" s="804" t="s">
        <v>97</v>
      </c>
      <c r="L31" s="818"/>
      <c r="M31" s="788" t="s">
        <v>98</v>
      </c>
      <c r="N31" s="795"/>
      <c r="O31" s="794" t="s">
        <v>114</v>
      </c>
      <c r="P31" s="795"/>
      <c r="Q31" s="794" t="s">
        <v>119</v>
      </c>
      <c r="R31" s="795"/>
      <c r="S31" s="794" t="s">
        <v>132</v>
      </c>
      <c r="T31" s="795"/>
      <c r="U31" s="794" t="s">
        <v>140</v>
      </c>
      <c r="V31" s="795"/>
      <c r="W31" s="794" t="s">
        <v>142</v>
      </c>
      <c r="X31" s="795"/>
      <c r="Y31" s="794" t="s">
        <v>144</v>
      </c>
      <c r="Z31" s="795"/>
      <c r="AA31" s="680"/>
      <c r="AB31" s="517"/>
      <c r="AC31" s="518"/>
      <c r="AD31" s="519"/>
      <c r="AE31" s="519" t="s">
        <v>20</v>
      </c>
      <c r="AF31" s="25"/>
    </row>
    <row r="32" spans="1:32" x14ac:dyDescent="0.2">
      <c r="A32" s="506"/>
      <c r="B32" s="526" t="s">
        <v>127</v>
      </c>
      <c r="C32" s="806">
        <v>0</v>
      </c>
      <c r="D32" s="807"/>
      <c r="E32" s="808">
        <v>0</v>
      </c>
      <c r="F32" s="809"/>
      <c r="G32" s="808">
        <v>0</v>
      </c>
      <c r="H32" s="809"/>
      <c r="I32" s="808">
        <v>0</v>
      </c>
      <c r="J32" s="810"/>
      <c r="K32" s="521"/>
      <c r="L32" s="522">
        <v>0</v>
      </c>
      <c r="M32" s="523"/>
      <c r="N32" s="632">
        <v>0</v>
      </c>
      <c r="O32" s="630"/>
      <c r="P32" s="632">
        <v>0</v>
      </c>
      <c r="Q32" s="711"/>
      <c r="R32" s="632">
        <v>0</v>
      </c>
      <c r="S32" s="711"/>
      <c r="T32" s="632">
        <v>0</v>
      </c>
      <c r="U32" s="711"/>
      <c r="V32" s="632">
        <v>0</v>
      </c>
      <c r="W32" s="711"/>
      <c r="X32" s="632">
        <v>0</v>
      </c>
      <c r="Y32" s="711"/>
      <c r="Z32" s="632">
        <v>0</v>
      </c>
      <c r="AA32" s="683"/>
      <c r="AB32" s="524"/>
      <c r="AC32" s="525">
        <f>AVERAGE(T32,V32,X32,Z32,R32)</f>
        <v>0</v>
      </c>
      <c r="AD32" s="519"/>
      <c r="AE32" s="519"/>
      <c r="AF32" s="25"/>
    </row>
    <row r="33" spans="1:32" x14ac:dyDescent="0.2">
      <c r="A33" s="506"/>
      <c r="B33" s="526" t="s">
        <v>117</v>
      </c>
      <c r="C33" s="814">
        <v>0.999</v>
      </c>
      <c r="D33" s="815"/>
      <c r="E33" s="816">
        <v>1</v>
      </c>
      <c r="F33" s="817"/>
      <c r="G33" s="816">
        <v>1</v>
      </c>
      <c r="H33" s="817"/>
      <c r="I33" s="816">
        <v>1</v>
      </c>
      <c r="J33" s="819"/>
      <c r="K33" s="527"/>
      <c r="L33" s="528">
        <v>1</v>
      </c>
      <c r="M33" s="527"/>
      <c r="N33" s="633">
        <v>1</v>
      </c>
      <c r="O33" s="631"/>
      <c r="P33" s="633">
        <v>1</v>
      </c>
      <c r="Q33" s="712"/>
      <c r="R33" s="633">
        <v>1</v>
      </c>
      <c r="S33" s="712"/>
      <c r="T33" s="633">
        <v>1</v>
      </c>
      <c r="U33" s="712"/>
      <c r="V33" s="633">
        <v>1</v>
      </c>
      <c r="W33" s="712"/>
      <c r="X33" s="633">
        <v>1</v>
      </c>
      <c r="Y33" s="712"/>
      <c r="Z33" s="633">
        <v>1</v>
      </c>
      <c r="AA33" s="683"/>
      <c r="AB33" s="524"/>
      <c r="AC33" s="525">
        <f>AVERAGE(T33,V33,X33,Z33,R33)</f>
        <v>1</v>
      </c>
      <c r="AD33" s="529"/>
      <c r="AE33" s="519"/>
      <c r="AF33" s="25"/>
    </row>
    <row r="34" spans="1:32" ht="13.5" customHeight="1" thickBot="1" x14ac:dyDescent="0.25">
      <c r="B34" s="530" t="s">
        <v>103</v>
      </c>
      <c r="C34" s="800">
        <f>1-SUM(C32:D33)</f>
        <v>1.0000000000000009E-3</v>
      </c>
      <c r="D34" s="801"/>
      <c r="E34" s="800">
        <f>1-SUM(E32:F33)</f>
        <v>0</v>
      </c>
      <c r="F34" s="801"/>
      <c r="G34" s="800">
        <v>0</v>
      </c>
      <c r="H34" s="801"/>
      <c r="I34" s="800">
        <v>0</v>
      </c>
      <c r="J34" s="801"/>
      <c r="K34" s="800">
        <v>0</v>
      </c>
      <c r="L34" s="801"/>
      <c r="M34" s="800">
        <f>1-SUM(M32:N33)</f>
        <v>0</v>
      </c>
      <c r="N34" s="801"/>
      <c r="O34" s="800">
        <f>1-SUM(O32:P33)</f>
        <v>0</v>
      </c>
      <c r="P34" s="801"/>
      <c r="Q34" s="796">
        <v>0</v>
      </c>
      <c r="R34" s="797"/>
      <c r="S34" s="796">
        <f>1-T32-T33</f>
        <v>0</v>
      </c>
      <c r="T34" s="797"/>
      <c r="U34" s="796">
        <f>1-V32-V33</f>
        <v>0</v>
      </c>
      <c r="V34" s="797"/>
      <c r="W34" s="796">
        <f>1-X32-X33</f>
        <v>0</v>
      </c>
      <c r="X34" s="797"/>
      <c r="Y34" s="796">
        <f>1-Z32-Z33</f>
        <v>0</v>
      </c>
      <c r="Z34" s="797"/>
      <c r="AA34" s="683"/>
      <c r="AB34" s="821">
        <f t="shared" ref="AB34:AC34" si="3">AVERAGE(S34,U34,W34,Y34,Q34)</f>
        <v>0</v>
      </c>
      <c r="AC34" s="822" t="e">
        <f t="shared" si="3"/>
        <v>#DIV/0!</v>
      </c>
      <c r="AD34" s="529"/>
      <c r="AE34" s="519"/>
      <c r="AF34" s="25"/>
    </row>
    <row r="35" spans="1:32" thickTop="1" x14ac:dyDescent="0.2">
      <c r="B35" s="90"/>
      <c r="C35" s="91"/>
      <c r="D35" s="92"/>
      <c r="E35" s="91"/>
      <c r="F35" s="92"/>
      <c r="G35" s="237"/>
      <c r="H35" s="238"/>
      <c r="I35" s="237"/>
      <c r="J35" s="238"/>
      <c r="K35" s="237"/>
      <c r="L35" s="238"/>
      <c r="M35" s="237"/>
      <c r="N35" s="238"/>
      <c r="O35" s="237"/>
      <c r="P35" s="238"/>
      <c r="Q35" s="237"/>
      <c r="R35" s="238"/>
      <c r="S35" s="237"/>
      <c r="T35" s="238"/>
      <c r="U35" s="237"/>
      <c r="V35" s="238"/>
      <c r="W35" s="237"/>
      <c r="X35" s="238"/>
      <c r="Y35" s="237"/>
      <c r="Z35" s="238"/>
    </row>
    <row r="36" spans="1:32" x14ac:dyDescent="0.2">
      <c r="A36" s="93" t="s">
        <v>32</v>
      </c>
      <c r="B36" s="5"/>
      <c r="C36" s="26"/>
      <c r="D36" s="26"/>
      <c r="E36" s="26"/>
      <c r="F36" s="26"/>
      <c r="G36" s="228"/>
      <c r="H36" s="228"/>
      <c r="I36" s="228"/>
      <c r="J36" s="228"/>
      <c r="K36" s="228"/>
      <c r="L36" s="228"/>
      <c r="M36" s="228" t="s">
        <v>20</v>
      </c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</row>
    <row r="37" spans="1:32" ht="8.25" customHeight="1" thickBot="1" x14ac:dyDescent="0.25">
      <c r="A37" s="93"/>
      <c r="B37" s="5"/>
      <c r="C37" s="26"/>
      <c r="D37" s="26"/>
      <c r="E37" s="26"/>
      <c r="F37" s="26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</row>
    <row r="38" spans="1:32" ht="14.25" thickTop="1" thickBot="1" x14ac:dyDescent="0.25">
      <c r="A38" s="3"/>
      <c r="B38" s="117" t="s">
        <v>33</v>
      </c>
      <c r="C38" s="811" t="s">
        <v>24</v>
      </c>
      <c r="D38" s="812"/>
      <c r="E38" s="811" t="s">
        <v>25</v>
      </c>
      <c r="F38" s="813"/>
      <c r="G38" s="798" t="s">
        <v>76</v>
      </c>
      <c r="H38" s="793"/>
      <c r="I38" s="792" t="s">
        <v>86</v>
      </c>
      <c r="J38" s="792"/>
      <c r="K38" s="798" t="s">
        <v>87</v>
      </c>
      <c r="L38" s="792"/>
      <c r="M38" s="798" t="s">
        <v>90</v>
      </c>
      <c r="N38" s="793"/>
      <c r="O38" s="792" t="s">
        <v>113</v>
      </c>
      <c r="P38" s="793"/>
      <c r="Q38" s="792" t="s">
        <v>118</v>
      </c>
      <c r="R38" s="793"/>
      <c r="S38" s="792" t="s">
        <v>131</v>
      </c>
      <c r="T38" s="793"/>
      <c r="U38" s="792" t="s">
        <v>139</v>
      </c>
      <c r="V38" s="793"/>
      <c r="W38" s="792" t="s">
        <v>141</v>
      </c>
      <c r="X38" s="793"/>
      <c r="Y38" s="792" t="s">
        <v>143</v>
      </c>
      <c r="Z38" s="793"/>
      <c r="AB38" s="823" t="s">
        <v>105</v>
      </c>
      <c r="AC38" s="824"/>
    </row>
    <row r="39" spans="1:32" x14ac:dyDescent="0.2">
      <c r="A39" s="3"/>
      <c r="B39" s="116" t="s">
        <v>34</v>
      </c>
      <c r="C39" s="129"/>
      <c r="D39" s="130"/>
      <c r="E39" s="129"/>
      <c r="F39" s="4"/>
      <c r="G39" s="258"/>
      <c r="H39" s="344"/>
      <c r="I39" s="235"/>
      <c r="J39" s="235"/>
      <c r="K39" s="258"/>
      <c r="L39" s="235"/>
      <c r="M39" s="258"/>
      <c r="N39" s="344"/>
      <c r="O39" s="235"/>
      <c r="P39" s="344"/>
      <c r="Q39" s="235"/>
      <c r="R39" s="344"/>
      <c r="S39" s="235"/>
      <c r="T39" s="344"/>
      <c r="U39" s="235"/>
      <c r="V39" s="344"/>
      <c r="W39" s="235"/>
      <c r="X39" s="344"/>
      <c r="Y39" s="235"/>
      <c r="Z39" s="344"/>
      <c r="AB39" s="560"/>
      <c r="AC39" s="506"/>
    </row>
    <row r="40" spans="1:32" x14ac:dyDescent="0.2">
      <c r="A40" s="3"/>
      <c r="B40" s="95" t="s">
        <v>35</v>
      </c>
      <c r="C40" s="127"/>
      <c r="D40" s="407">
        <v>0</v>
      </c>
      <c r="E40" s="127"/>
      <c r="F40" s="407">
        <v>0</v>
      </c>
      <c r="G40" s="299"/>
      <c r="H40" s="407">
        <v>0</v>
      </c>
      <c r="I40" s="234"/>
      <c r="J40" s="407">
        <v>0</v>
      </c>
      <c r="K40" s="299"/>
      <c r="L40" s="389">
        <v>54937</v>
      </c>
      <c r="M40" s="299"/>
      <c r="N40" s="363">
        <v>55330</v>
      </c>
      <c r="O40" s="234"/>
      <c r="P40" s="363">
        <v>54728</v>
      </c>
      <c r="Q40" s="234"/>
      <c r="R40" s="363">
        <v>55747</v>
      </c>
      <c r="S40" s="234"/>
      <c r="T40" s="363">
        <v>56784</v>
      </c>
      <c r="U40" s="234"/>
      <c r="V40" s="363">
        <v>57193</v>
      </c>
      <c r="W40" s="234"/>
      <c r="X40" s="363">
        <v>57383</v>
      </c>
      <c r="Y40" s="234"/>
      <c r="Z40" s="363">
        <v>103710</v>
      </c>
      <c r="AB40" s="211"/>
      <c r="AC40" s="558">
        <f>AVERAGE(T40,V40,X40,Z40,R40)</f>
        <v>66163.399999999994</v>
      </c>
    </row>
    <row r="41" spans="1:32" x14ac:dyDescent="0.2">
      <c r="A41" s="3"/>
      <c r="B41" s="229" t="s">
        <v>120</v>
      </c>
      <c r="C41" s="127"/>
      <c r="D41" s="407"/>
      <c r="E41" s="127"/>
      <c r="F41" s="407"/>
      <c r="G41" s="299"/>
      <c r="H41" s="407"/>
      <c r="I41" s="234"/>
      <c r="J41" s="696"/>
      <c r="K41" s="299"/>
      <c r="L41" s="389"/>
      <c r="M41" s="299"/>
      <c r="N41" s="363"/>
      <c r="O41" s="234"/>
      <c r="P41" s="363"/>
      <c r="Q41" s="234"/>
      <c r="R41" s="363"/>
      <c r="S41" s="234"/>
      <c r="T41" s="363"/>
      <c r="U41" s="234"/>
      <c r="V41" s="363"/>
      <c r="W41" s="234"/>
      <c r="X41" s="363"/>
      <c r="Y41" s="234"/>
      <c r="Z41" s="363"/>
      <c r="AB41" s="211"/>
      <c r="AC41" s="558"/>
    </row>
    <row r="42" spans="1:32" ht="36" customHeight="1" x14ac:dyDescent="0.2">
      <c r="A42" s="3"/>
      <c r="B42" s="230" t="s">
        <v>121</v>
      </c>
      <c r="C42" s="409"/>
      <c r="D42" s="408">
        <v>0</v>
      </c>
      <c r="E42" s="129"/>
      <c r="F42" s="408">
        <v>0</v>
      </c>
      <c r="G42" s="258"/>
      <c r="H42" s="366">
        <v>2998520</v>
      </c>
      <c r="I42" s="235"/>
      <c r="J42" s="390">
        <v>2556045</v>
      </c>
      <c r="K42" s="258"/>
      <c r="L42" s="570">
        <v>1055569</v>
      </c>
      <c r="M42" s="260"/>
      <c r="N42" s="637">
        <f>17776+1054997</f>
        <v>1072773</v>
      </c>
      <c r="O42" s="239"/>
      <c r="P42" s="637">
        <f>17811+1054203</f>
        <v>1072014</v>
      </c>
      <c r="Q42" s="239"/>
      <c r="R42" s="637">
        <v>1105284</v>
      </c>
      <c r="S42" s="239"/>
      <c r="T42" s="637">
        <v>2105845</v>
      </c>
      <c r="U42" s="239"/>
      <c r="V42" s="637">
        <v>3885284</v>
      </c>
      <c r="W42" s="239"/>
      <c r="X42" s="637">
        <v>3170412</v>
      </c>
      <c r="Y42" s="239"/>
      <c r="Z42" s="637">
        <v>3171501</v>
      </c>
      <c r="AB42" s="209"/>
      <c r="AC42" s="558">
        <f t="shared" ref="AC42:AC43" si="4">AVERAGE(T42,V42,X42,Z42,R42)</f>
        <v>2687665.2</v>
      </c>
    </row>
    <row r="43" spans="1:32" x14ac:dyDescent="0.2">
      <c r="A43" s="3"/>
      <c r="B43" s="96" t="s">
        <v>36</v>
      </c>
      <c r="C43" s="410"/>
      <c r="D43" s="406">
        <f>SUM(D40:D42)</f>
        <v>0</v>
      </c>
      <c r="E43" s="137"/>
      <c r="F43" s="406">
        <f>SUM(F40:F42)</f>
        <v>0</v>
      </c>
      <c r="G43" s="259"/>
      <c r="H43" s="364">
        <f>SUM(H42)</f>
        <v>2998520</v>
      </c>
      <c r="I43" s="331"/>
      <c r="J43" s="391">
        <f>SUM(J40:J42)</f>
        <v>2556045</v>
      </c>
      <c r="K43" s="259"/>
      <c r="L43" s="571">
        <f>SUM(L40:L42)</f>
        <v>1110506</v>
      </c>
      <c r="M43" s="572"/>
      <c r="N43" s="638">
        <f>SUM(N40:N42)</f>
        <v>1128103</v>
      </c>
      <c r="O43" s="634"/>
      <c r="P43" s="638">
        <f>SUM(P40:P42)</f>
        <v>1126742</v>
      </c>
      <c r="Q43" s="634"/>
      <c r="R43" s="638">
        <f>SUM(R40:R42)</f>
        <v>1161031</v>
      </c>
      <c r="S43" s="634"/>
      <c r="T43" s="638">
        <f>SUM(T40:T42)</f>
        <v>2162629</v>
      </c>
      <c r="U43" s="634"/>
      <c r="V43" s="638">
        <f>SUM(V40:V42)</f>
        <v>3942477</v>
      </c>
      <c r="W43" s="634"/>
      <c r="X43" s="638">
        <f>SUM(X40:X42)</f>
        <v>3227795</v>
      </c>
      <c r="Y43" s="634"/>
      <c r="Z43" s="638">
        <f>SUM(Z40:Z42)</f>
        <v>3275211</v>
      </c>
      <c r="AB43" s="209"/>
      <c r="AC43" s="573">
        <f t="shared" si="4"/>
        <v>2753828.6</v>
      </c>
    </row>
    <row r="44" spans="1:32" x14ac:dyDescent="0.2">
      <c r="A44" s="3"/>
      <c r="B44" s="94" t="s">
        <v>37</v>
      </c>
      <c r="C44" s="129"/>
      <c r="D44" s="136"/>
      <c r="E44" s="129"/>
      <c r="F44" s="136"/>
      <c r="G44" s="258"/>
      <c r="H44" s="366"/>
      <c r="I44" s="235"/>
      <c r="J44" s="390"/>
      <c r="K44" s="258"/>
      <c r="L44" s="570"/>
      <c r="M44" s="260"/>
      <c r="N44" s="637"/>
      <c r="O44" s="239"/>
      <c r="P44" s="637"/>
      <c r="Q44" s="239"/>
      <c r="R44" s="637"/>
      <c r="S44" s="239"/>
      <c r="T44" s="637"/>
      <c r="U44" s="239"/>
      <c r="V44" s="637"/>
      <c r="W44" s="239"/>
      <c r="X44" s="637"/>
      <c r="Y44" s="239"/>
      <c r="Z44" s="637"/>
      <c r="AB44" s="209"/>
      <c r="AC44" s="558"/>
    </row>
    <row r="45" spans="1:32" x14ac:dyDescent="0.2">
      <c r="A45" s="3"/>
      <c r="B45" s="95" t="s">
        <v>35</v>
      </c>
      <c r="C45" s="129"/>
      <c r="D45" s="408">
        <v>0</v>
      </c>
      <c r="E45" s="129"/>
      <c r="F45" s="408">
        <v>0</v>
      </c>
      <c r="G45" s="258"/>
      <c r="H45" s="408">
        <v>0</v>
      </c>
      <c r="I45" s="235"/>
      <c r="J45" s="390">
        <v>41791</v>
      </c>
      <c r="K45" s="258"/>
      <c r="L45" s="570">
        <v>0</v>
      </c>
      <c r="M45" s="260"/>
      <c r="N45" s="637">
        <v>0</v>
      </c>
      <c r="O45" s="239"/>
      <c r="P45" s="637">
        <v>0</v>
      </c>
      <c r="Q45" s="239"/>
      <c r="R45" s="637">
        <v>0</v>
      </c>
      <c r="S45" s="239"/>
      <c r="T45" s="637">
        <v>0</v>
      </c>
      <c r="U45" s="239"/>
      <c r="V45" s="637">
        <v>139623</v>
      </c>
      <c r="W45" s="239"/>
      <c r="X45" s="637">
        <v>144270</v>
      </c>
      <c r="Y45" s="239"/>
      <c r="Z45" s="637">
        <v>151848</v>
      </c>
      <c r="AB45" s="209"/>
      <c r="AC45" s="558">
        <f>AVERAGE(T45,V45,X45,Z45,R45)</f>
        <v>87148.2</v>
      </c>
    </row>
    <row r="46" spans="1:32" x14ac:dyDescent="0.2">
      <c r="A46" s="3"/>
      <c r="B46" s="229" t="s">
        <v>120</v>
      </c>
      <c r="C46" s="129"/>
      <c r="D46" s="408"/>
      <c r="E46" s="129"/>
      <c r="F46" s="695"/>
      <c r="G46" s="258"/>
      <c r="H46" s="408"/>
      <c r="I46" s="235"/>
      <c r="J46" s="390"/>
      <c r="K46" s="258"/>
      <c r="L46" s="570"/>
      <c r="M46" s="260"/>
      <c r="N46" s="637"/>
      <c r="O46" s="239"/>
      <c r="P46" s="637"/>
      <c r="Q46" s="239"/>
      <c r="R46" s="637"/>
      <c r="S46" s="239"/>
      <c r="T46" s="637"/>
      <c r="U46" s="239"/>
      <c r="V46" s="637"/>
      <c r="W46" s="239"/>
      <c r="X46" s="637"/>
      <c r="Y46" s="239"/>
      <c r="Z46" s="637"/>
      <c r="AB46" s="209"/>
      <c r="AC46" s="558"/>
    </row>
    <row r="47" spans="1:32" ht="36" customHeight="1" x14ac:dyDescent="0.2">
      <c r="A47" s="3"/>
      <c r="B47" s="230" t="s">
        <v>121</v>
      </c>
      <c r="C47" s="129"/>
      <c r="D47" s="136">
        <v>415093</v>
      </c>
      <c r="E47" s="129"/>
      <c r="F47" s="156">
        <v>426406</v>
      </c>
      <c r="G47" s="258"/>
      <c r="H47" s="366">
        <f>2062100+428883</f>
        <v>2490983</v>
      </c>
      <c r="I47" s="235"/>
      <c r="J47" s="390">
        <f>1863948+434133</f>
        <v>2298081</v>
      </c>
      <c r="K47" s="258"/>
      <c r="L47" s="570">
        <f>477644+1863634</f>
        <v>2341278</v>
      </c>
      <c r="M47" s="260"/>
      <c r="N47" s="637">
        <v>2306657</v>
      </c>
      <c r="O47" s="239"/>
      <c r="P47" s="637">
        <v>2132835</v>
      </c>
      <c r="Q47" s="239"/>
      <c r="R47" s="637">
        <v>2133603</v>
      </c>
      <c r="S47" s="239"/>
      <c r="T47" s="637">
        <v>2133389</v>
      </c>
      <c r="U47" s="239"/>
      <c r="V47" s="637">
        <v>2133207</v>
      </c>
      <c r="W47" s="239"/>
      <c r="X47" s="637">
        <v>2131917</v>
      </c>
      <c r="Y47" s="239"/>
      <c r="Z47" s="637">
        <v>2131513</v>
      </c>
      <c r="AB47" s="209"/>
      <c r="AC47" s="558">
        <f t="shared" ref="AC47:AC48" si="5">AVERAGE(T47,V47,X47,Z47,R47)</f>
        <v>2132725.7999999998</v>
      </c>
    </row>
    <row r="48" spans="1:32" x14ac:dyDescent="0.2">
      <c r="A48" s="3"/>
      <c r="B48" s="96" t="s">
        <v>38</v>
      </c>
      <c r="C48" s="137"/>
      <c r="D48" s="138">
        <f>SUM(D45:D47)</f>
        <v>415093</v>
      </c>
      <c r="E48" s="137"/>
      <c r="F48" s="157">
        <f>SUM(F45:F47)</f>
        <v>426406</v>
      </c>
      <c r="G48" s="259"/>
      <c r="H48" s="364">
        <f>SUM(H45:H47)</f>
        <v>2490983</v>
      </c>
      <c r="I48" s="331"/>
      <c r="J48" s="391">
        <f>SUM(J45:J47)</f>
        <v>2339872</v>
      </c>
      <c r="K48" s="259"/>
      <c r="L48" s="571">
        <f>SUM(L45:L47)</f>
        <v>2341278</v>
      </c>
      <c r="M48" s="572"/>
      <c r="N48" s="638">
        <f>SUM(N45:N47)</f>
        <v>2306657</v>
      </c>
      <c r="O48" s="634"/>
      <c r="P48" s="638">
        <f>SUM(P45:P47)</f>
        <v>2132835</v>
      </c>
      <c r="Q48" s="634"/>
      <c r="R48" s="638">
        <f>SUM(R45:R47)</f>
        <v>2133603</v>
      </c>
      <c r="S48" s="634"/>
      <c r="T48" s="638">
        <f>SUM(T45:T47)</f>
        <v>2133389</v>
      </c>
      <c r="U48" s="634"/>
      <c r="V48" s="638">
        <f>SUM(V45:V47)</f>
        <v>2272830</v>
      </c>
      <c r="W48" s="634"/>
      <c r="X48" s="638">
        <f>SUM(X45:X47)</f>
        <v>2276187</v>
      </c>
      <c r="Y48" s="634"/>
      <c r="Z48" s="638">
        <f>SUM(Z45:Z47)</f>
        <v>2283361</v>
      </c>
      <c r="AB48" s="209"/>
      <c r="AC48" s="573">
        <f t="shared" si="5"/>
        <v>2219874</v>
      </c>
    </row>
    <row r="49" spans="1:29" x14ac:dyDescent="0.2">
      <c r="A49" s="3"/>
      <c r="B49" s="94" t="s">
        <v>45</v>
      </c>
      <c r="C49" s="129"/>
      <c r="D49" s="136"/>
      <c r="E49" s="129"/>
      <c r="F49" s="156"/>
      <c r="G49" s="258"/>
      <c r="H49" s="366"/>
      <c r="I49" s="235"/>
      <c r="J49" s="390"/>
      <c r="K49" s="258"/>
      <c r="L49" s="390"/>
      <c r="M49" s="258"/>
      <c r="N49" s="366"/>
      <c r="O49" s="235"/>
      <c r="P49" s="366"/>
      <c r="Q49" s="235"/>
      <c r="R49" s="366"/>
      <c r="S49" s="235"/>
      <c r="T49" s="366"/>
      <c r="U49" s="235"/>
      <c r="V49" s="366"/>
      <c r="W49" s="235"/>
      <c r="X49" s="366"/>
      <c r="Y49" s="235"/>
      <c r="Z49" s="366"/>
      <c r="AB49" s="209"/>
      <c r="AC49" s="558"/>
    </row>
    <row r="50" spans="1:29" x14ac:dyDescent="0.2">
      <c r="A50" s="3"/>
      <c r="B50" s="95" t="s">
        <v>35</v>
      </c>
      <c r="C50" s="129"/>
      <c r="D50" s="136">
        <f>2257418+2553276</f>
        <v>4810694</v>
      </c>
      <c r="E50" s="129"/>
      <c r="F50" s="156">
        <f>2678636+2964897</f>
        <v>5643533</v>
      </c>
      <c r="G50" s="258"/>
      <c r="H50" s="366">
        <f>2863991+3591175</f>
        <v>6455166</v>
      </c>
      <c r="I50" s="235"/>
      <c r="J50" s="390">
        <f>2567145+3262911</f>
        <v>5830056</v>
      </c>
      <c r="K50" s="258"/>
      <c r="L50" s="390">
        <f>1537846+3974022</f>
        <v>5511868</v>
      </c>
      <c r="M50" s="258"/>
      <c r="N50" s="366">
        <v>5645232</v>
      </c>
      <c r="O50" s="235"/>
      <c r="P50" s="366">
        <v>5860580</v>
      </c>
      <c r="Q50" s="235"/>
      <c r="R50" s="366">
        <v>6734196</v>
      </c>
      <c r="S50" s="235"/>
      <c r="T50" s="366">
        <v>6954690</v>
      </c>
      <c r="U50" s="235"/>
      <c r="V50" s="366">
        <v>11225274</v>
      </c>
      <c r="W50" s="235"/>
      <c r="X50" s="366">
        <v>10521180</v>
      </c>
      <c r="Y50" s="235"/>
      <c r="Z50" s="366">
        <v>10399604</v>
      </c>
      <c r="AB50" s="209"/>
      <c r="AC50" s="558">
        <f>AVERAGE(T50,V50,X50,Z50,R50)</f>
        <v>9166988.8000000007</v>
      </c>
    </row>
    <row r="51" spans="1:29" x14ac:dyDescent="0.2">
      <c r="A51" s="3"/>
      <c r="B51" s="229" t="s">
        <v>120</v>
      </c>
      <c r="C51" s="129"/>
      <c r="D51" s="136"/>
      <c r="E51" s="129"/>
      <c r="F51" s="156"/>
      <c r="G51" s="258"/>
      <c r="H51" s="366"/>
      <c r="I51" s="235"/>
      <c r="J51" s="390"/>
      <c r="K51" s="258"/>
      <c r="L51" s="390"/>
      <c r="M51" s="258"/>
      <c r="N51" s="366"/>
      <c r="O51" s="235"/>
      <c r="P51" s="366"/>
      <c r="Q51" s="235"/>
      <c r="R51" s="366"/>
      <c r="S51" s="235"/>
      <c r="T51" s="366"/>
      <c r="U51" s="235"/>
      <c r="V51" s="366"/>
      <c r="W51" s="235"/>
      <c r="X51" s="366"/>
      <c r="Y51" s="235"/>
      <c r="Z51" s="366"/>
      <c r="AB51" s="211"/>
      <c r="AC51" s="558"/>
    </row>
    <row r="52" spans="1:29" ht="36" customHeight="1" x14ac:dyDescent="0.2">
      <c r="A52" s="3"/>
      <c r="B52" s="230" t="s">
        <v>121</v>
      </c>
      <c r="C52" s="129"/>
      <c r="D52" s="136">
        <v>639815</v>
      </c>
      <c r="E52" s="129"/>
      <c r="F52" s="156">
        <f>661795+13473</f>
        <v>675268</v>
      </c>
      <c r="G52" s="258"/>
      <c r="H52" s="366">
        <f>756309+45689</f>
        <v>801998</v>
      </c>
      <c r="I52" s="235"/>
      <c r="J52" s="390">
        <f>252948+727902</f>
        <v>980850</v>
      </c>
      <c r="K52" s="258"/>
      <c r="L52" s="390">
        <f>472744+544482</f>
        <v>1017226</v>
      </c>
      <c r="M52" s="258"/>
      <c r="N52" s="366">
        <v>1827174</v>
      </c>
      <c r="O52" s="235"/>
      <c r="P52" s="366">
        <v>2815540</v>
      </c>
      <c r="Q52" s="235"/>
      <c r="R52" s="366">
        <v>2774225</v>
      </c>
      <c r="S52" s="235"/>
      <c r="T52" s="366">
        <v>2533064</v>
      </c>
      <c r="U52" s="235"/>
      <c r="V52" s="366">
        <v>2328593</v>
      </c>
      <c r="W52" s="235"/>
      <c r="X52" s="366">
        <v>2328913</v>
      </c>
      <c r="Y52" s="235"/>
      <c r="Z52" s="366">
        <v>2553707</v>
      </c>
      <c r="AB52" s="211"/>
      <c r="AC52" s="558">
        <f t="shared" ref="AC52:AC54" si="6">AVERAGE(T52,V52,X52,Z52,R52)</f>
        <v>2503700.4</v>
      </c>
    </row>
    <row r="53" spans="1:29" x14ac:dyDescent="0.2">
      <c r="A53" s="3"/>
      <c r="B53" s="96" t="s">
        <v>44</v>
      </c>
      <c r="C53" s="137"/>
      <c r="D53" s="138">
        <f>SUM(D50:D52)</f>
        <v>5450509</v>
      </c>
      <c r="E53" s="137"/>
      <c r="F53" s="157">
        <f>SUM(F50:F52)</f>
        <v>6318801</v>
      </c>
      <c r="G53" s="259"/>
      <c r="H53" s="364">
        <f>SUM(H50:H52)</f>
        <v>7257164</v>
      </c>
      <c r="I53" s="331"/>
      <c r="J53" s="391">
        <f>SUM(J50:J52)</f>
        <v>6810906</v>
      </c>
      <c r="K53" s="259"/>
      <c r="L53" s="391">
        <f>SUM(L50:L52)</f>
        <v>6529094</v>
      </c>
      <c r="M53" s="259"/>
      <c r="N53" s="364">
        <f>SUM(N50:N52)</f>
        <v>7472406</v>
      </c>
      <c r="O53" s="331"/>
      <c r="P53" s="364">
        <f>SUM(P50:P52)</f>
        <v>8676120</v>
      </c>
      <c r="Q53" s="331"/>
      <c r="R53" s="364">
        <f>SUM(R50:R52)</f>
        <v>9508421</v>
      </c>
      <c r="S53" s="331"/>
      <c r="T53" s="364">
        <f>SUM(T50:T52)</f>
        <v>9487754</v>
      </c>
      <c r="U53" s="331"/>
      <c r="V53" s="364">
        <f>SUM(V50:V52)</f>
        <v>13553867</v>
      </c>
      <c r="W53" s="331"/>
      <c r="X53" s="364">
        <f>SUM(X50:X52)</f>
        <v>12850093</v>
      </c>
      <c r="Y53" s="331"/>
      <c r="Z53" s="364">
        <f>SUM(Z50:Z52)</f>
        <v>12953311</v>
      </c>
      <c r="AB53" s="209"/>
      <c r="AC53" s="573">
        <f t="shared" si="6"/>
        <v>11670689.199999999</v>
      </c>
    </row>
    <row r="54" spans="1:29" ht="13.5" thickBot="1" x14ac:dyDescent="0.25">
      <c r="A54" s="3"/>
      <c r="B54" s="98" t="s">
        <v>39</v>
      </c>
      <c r="C54" s="129"/>
      <c r="D54" s="138">
        <f>SUM(D43,D48,D53)</f>
        <v>5865602</v>
      </c>
      <c r="E54" s="129"/>
      <c r="F54" s="157">
        <f>SUM(F43,F48,F53)</f>
        <v>6745207</v>
      </c>
      <c r="G54" s="258"/>
      <c r="H54" s="364">
        <f>H43+H48+H53</f>
        <v>12746667</v>
      </c>
      <c r="I54" s="235"/>
      <c r="J54" s="391">
        <f>J43+J48+J53</f>
        <v>11706823</v>
      </c>
      <c r="K54" s="258"/>
      <c r="L54" s="391">
        <f>L43+L48+L53</f>
        <v>9980878</v>
      </c>
      <c r="M54" s="258"/>
      <c r="N54" s="364">
        <f>N43+N48+N53</f>
        <v>10907166</v>
      </c>
      <c r="O54" s="235"/>
      <c r="P54" s="364">
        <f>P43+P48+P53</f>
        <v>11935697</v>
      </c>
      <c r="Q54" s="235"/>
      <c r="R54" s="364">
        <f>R43+R48+R53</f>
        <v>12803055</v>
      </c>
      <c r="S54" s="235"/>
      <c r="T54" s="364">
        <f>T43+T48+T53</f>
        <v>13783772</v>
      </c>
      <c r="U54" s="235"/>
      <c r="V54" s="364">
        <f>V43+V48+V53</f>
        <v>19769174</v>
      </c>
      <c r="W54" s="235"/>
      <c r="X54" s="364">
        <f>X43+X48+X53</f>
        <v>18354075</v>
      </c>
      <c r="Y54" s="235"/>
      <c r="Z54" s="364">
        <f>Z43+Z48+Z53</f>
        <v>18511883</v>
      </c>
      <c r="AB54" s="567"/>
      <c r="AC54" s="573">
        <f t="shared" si="6"/>
        <v>16644391.800000001</v>
      </c>
    </row>
    <row r="55" spans="1:29" ht="12" x14ac:dyDescent="0.2">
      <c r="B55" s="100" t="s">
        <v>129</v>
      </c>
      <c r="C55" s="139"/>
      <c r="D55" s="140"/>
      <c r="E55" s="139"/>
      <c r="F55" s="101"/>
      <c r="G55" s="261"/>
      <c r="H55" s="341"/>
      <c r="I55" s="332"/>
      <c r="J55" s="332"/>
      <c r="K55" s="261"/>
      <c r="L55" s="332"/>
      <c r="M55" s="261"/>
      <c r="N55" s="341"/>
      <c r="O55" s="332"/>
      <c r="P55" s="341"/>
      <c r="Q55" s="332"/>
      <c r="R55" s="341"/>
      <c r="S55" s="332"/>
      <c r="T55" s="341"/>
      <c r="U55" s="332"/>
      <c r="V55" s="341"/>
      <c r="W55" s="332"/>
      <c r="X55" s="341"/>
      <c r="Y55" s="332"/>
      <c r="Z55" s="341"/>
      <c r="AB55" s="549"/>
      <c r="AC55" s="569"/>
    </row>
    <row r="56" spans="1:29" ht="12" x14ac:dyDescent="0.2">
      <c r="B56" s="6" t="s">
        <v>15</v>
      </c>
      <c r="C56" s="141"/>
      <c r="D56" s="142">
        <v>129720</v>
      </c>
      <c r="E56" s="141"/>
      <c r="F56" s="43">
        <v>382540</v>
      </c>
      <c r="G56" s="262"/>
      <c r="H56" s="317">
        <v>1234782</v>
      </c>
      <c r="I56" s="339"/>
      <c r="J56" s="339">
        <v>979477</v>
      </c>
      <c r="K56" s="262"/>
      <c r="L56" s="339">
        <f>514411+157924+1800766+51856</f>
        <v>2524957</v>
      </c>
      <c r="M56" s="262"/>
      <c r="N56" s="421">
        <v>1759702</v>
      </c>
      <c r="O56" s="339"/>
      <c r="P56" s="736">
        <v>598581</v>
      </c>
      <c r="Q56" s="718"/>
      <c r="R56" s="736">
        <v>1885969</v>
      </c>
      <c r="S56" s="718"/>
      <c r="T56" s="736">
        <v>1188160</v>
      </c>
      <c r="U56" s="718"/>
      <c r="V56" s="736">
        <v>3644695</v>
      </c>
      <c r="W56" s="718"/>
      <c r="X56" s="736">
        <v>1631540</v>
      </c>
      <c r="Y56" s="718"/>
      <c r="Z56" s="737"/>
      <c r="AB56" s="211"/>
      <c r="AC56" s="562">
        <f>AVERAGE(T56,V56,X56,P56,R56)</f>
        <v>1789789</v>
      </c>
    </row>
    <row r="57" spans="1:29" ht="12" x14ac:dyDescent="0.2">
      <c r="B57" s="41" t="s">
        <v>16</v>
      </c>
      <c r="C57" s="143"/>
      <c r="D57" s="144">
        <v>70862</v>
      </c>
      <c r="E57" s="143"/>
      <c r="F57" s="44">
        <v>190085</v>
      </c>
      <c r="G57" s="414"/>
      <c r="H57" s="454">
        <f>2403+1545+108181+4573</f>
        <v>116702</v>
      </c>
      <c r="I57" s="417"/>
      <c r="J57" s="738">
        <f>947163.33+2393790</f>
        <v>3340953.33</v>
      </c>
      <c r="K57" s="414"/>
      <c r="L57" s="417">
        <f>37278+8757+273906+29766+23+1023864</f>
        <v>1373594</v>
      </c>
      <c r="M57" s="414"/>
      <c r="N57" s="421">
        <f>55330+35212+45099+75942</f>
        <v>211583</v>
      </c>
      <c r="O57" s="417"/>
      <c r="P57" s="739">
        <f>21265+137387-33.5+63443+42554</f>
        <v>264615.5</v>
      </c>
      <c r="Q57" s="740"/>
      <c r="R57" s="739">
        <f>36643.59+21498.54+63209.36+138309.17</f>
        <v>259660.66</v>
      </c>
      <c r="S57" s="740"/>
      <c r="T57" s="739">
        <f>28308.34+24485.84+38549.61+13093.14</f>
        <v>104436.93000000001</v>
      </c>
      <c r="U57" s="740"/>
      <c r="V57" s="739">
        <v>79539</v>
      </c>
      <c r="W57" s="740"/>
      <c r="X57" s="739">
        <v>122160.51</v>
      </c>
      <c r="Y57" s="740"/>
      <c r="Z57" s="741"/>
      <c r="AB57" s="209"/>
      <c r="AC57" s="562">
        <f>AVERAGE(T57,V57,X57,P57,R57)</f>
        <v>166082.51999999999</v>
      </c>
    </row>
    <row r="58" spans="1:29" ht="3.75" customHeight="1" thickBot="1" x14ac:dyDescent="0.25">
      <c r="B58" s="42"/>
      <c r="C58" s="145"/>
      <c r="D58" s="146"/>
      <c r="E58" s="145"/>
      <c r="F58" s="58"/>
      <c r="G58" s="263"/>
      <c r="H58" s="342"/>
      <c r="I58" s="326"/>
      <c r="J58" s="340"/>
      <c r="K58" s="263"/>
      <c r="L58" s="340"/>
      <c r="M58" s="263"/>
      <c r="N58" s="342"/>
      <c r="O58" s="326"/>
      <c r="P58" s="342"/>
      <c r="Q58" s="326"/>
      <c r="R58" s="342"/>
      <c r="S58" s="326"/>
      <c r="T58" s="342"/>
      <c r="U58" s="326"/>
      <c r="V58" s="342"/>
      <c r="W58" s="326"/>
      <c r="X58" s="342"/>
      <c r="Y58" s="326"/>
      <c r="Z58" s="342"/>
      <c r="AB58" s="567"/>
      <c r="AC58" s="568"/>
    </row>
    <row r="59" spans="1:29" ht="12" x14ac:dyDescent="0.2">
      <c r="B59" s="17"/>
      <c r="C59" s="147" t="s">
        <v>69</v>
      </c>
      <c r="D59" s="148" t="s">
        <v>75</v>
      </c>
      <c r="E59" s="147" t="s">
        <v>69</v>
      </c>
      <c r="F59" s="158" t="s">
        <v>75</v>
      </c>
      <c r="G59" s="264" t="s">
        <v>69</v>
      </c>
      <c r="H59" s="343" t="s">
        <v>75</v>
      </c>
      <c r="I59" s="240" t="s">
        <v>69</v>
      </c>
      <c r="J59" s="378" t="s">
        <v>75</v>
      </c>
      <c r="K59" s="264" t="s">
        <v>69</v>
      </c>
      <c r="L59" s="378" t="s">
        <v>75</v>
      </c>
      <c r="M59" s="264" t="s">
        <v>69</v>
      </c>
      <c r="N59" s="343" t="s">
        <v>75</v>
      </c>
      <c r="O59" s="240" t="s">
        <v>69</v>
      </c>
      <c r="P59" s="343" t="s">
        <v>75</v>
      </c>
      <c r="Q59" s="240" t="s">
        <v>69</v>
      </c>
      <c r="R59" s="343" t="s">
        <v>75</v>
      </c>
      <c r="S59" s="240" t="s">
        <v>69</v>
      </c>
      <c r="T59" s="343" t="s">
        <v>75</v>
      </c>
      <c r="U59" s="240" t="s">
        <v>69</v>
      </c>
      <c r="V59" s="343" t="s">
        <v>75</v>
      </c>
      <c r="W59" s="240" t="s">
        <v>69</v>
      </c>
      <c r="X59" s="343" t="s">
        <v>75</v>
      </c>
      <c r="Y59" s="240" t="s">
        <v>69</v>
      </c>
      <c r="Z59" s="343" t="s">
        <v>75</v>
      </c>
      <c r="AB59" s="561" t="s">
        <v>69</v>
      </c>
      <c r="AC59" s="241" t="s">
        <v>75</v>
      </c>
    </row>
    <row r="60" spans="1:29" ht="11.45" customHeight="1" x14ac:dyDescent="0.2">
      <c r="B60" s="276" t="s">
        <v>30</v>
      </c>
      <c r="C60" s="314">
        <v>3</v>
      </c>
      <c r="D60" s="457">
        <v>23519</v>
      </c>
      <c r="E60" s="314">
        <v>3</v>
      </c>
      <c r="F60" s="462">
        <v>316855</v>
      </c>
      <c r="G60" s="452">
        <v>2</v>
      </c>
      <c r="H60" s="421">
        <v>458100</v>
      </c>
      <c r="I60" s="625">
        <v>9</v>
      </c>
      <c r="J60" s="421">
        <v>677457</v>
      </c>
      <c r="K60" s="452">
        <v>9</v>
      </c>
      <c r="L60" s="424">
        <v>402581</v>
      </c>
      <c r="M60" s="452">
        <v>3</v>
      </c>
      <c r="N60" s="421">
        <v>14889788</v>
      </c>
      <c r="O60" s="452">
        <v>2</v>
      </c>
      <c r="P60" s="421">
        <v>447961</v>
      </c>
      <c r="Q60" s="452">
        <v>2</v>
      </c>
      <c r="R60" s="421">
        <v>115000</v>
      </c>
      <c r="S60" s="452">
        <v>1</v>
      </c>
      <c r="T60" s="421">
        <v>1374873</v>
      </c>
      <c r="U60" s="452">
        <v>0</v>
      </c>
      <c r="V60" s="421">
        <v>0</v>
      </c>
      <c r="W60" s="452">
        <v>1</v>
      </c>
      <c r="X60" s="421">
        <v>30000</v>
      </c>
      <c r="Y60" s="635"/>
      <c r="Z60" s="690"/>
      <c r="AB60" s="586">
        <f t="shared" ref="AB60:AB61" si="7">AVERAGE(S60,U60,W60,Y60,Q60)</f>
        <v>1</v>
      </c>
      <c r="AC60" s="564">
        <f t="shared" ref="AC60:AC61" si="8">AVERAGE(T60,V60,X60,Z60,R60)</f>
        <v>379968.25</v>
      </c>
    </row>
    <row r="61" spans="1:29" thickBot="1" x14ac:dyDescent="0.25">
      <c r="B61" s="277" t="s">
        <v>17</v>
      </c>
      <c r="C61" s="315">
        <v>1</v>
      </c>
      <c r="D61" s="160">
        <v>11269</v>
      </c>
      <c r="E61" s="676">
        <v>2</v>
      </c>
      <c r="F61" s="419">
        <v>713345</v>
      </c>
      <c r="G61" s="453">
        <v>1</v>
      </c>
      <c r="H61" s="423">
        <v>23200</v>
      </c>
      <c r="I61" s="429">
        <v>8</v>
      </c>
      <c r="J61" s="423">
        <v>94539</v>
      </c>
      <c r="K61" s="453">
        <v>7</v>
      </c>
      <c r="L61" s="426">
        <v>2636770</v>
      </c>
      <c r="M61" s="453">
        <v>3</v>
      </c>
      <c r="N61" s="423">
        <v>205880</v>
      </c>
      <c r="O61" s="453">
        <v>2</v>
      </c>
      <c r="P61" s="423">
        <v>142790</v>
      </c>
      <c r="Q61" s="453">
        <v>1</v>
      </c>
      <c r="R61" s="423">
        <v>177879</v>
      </c>
      <c r="S61" s="453">
        <v>2</v>
      </c>
      <c r="T61" s="423">
        <v>287167</v>
      </c>
      <c r="U61" s="453">
        <v>1</v>
      </c>
      <c r="V61" s="423">
        <v>199401</v>
      </c>
      <c r="W61" s="453">
        <v>1</v>
      </c>
      <c r="X61" s="423">
        <v>206431</v>
      </c>
      <c r="Y61" s="636"/>
      <c r="Z61" s="692"/>
      <c r="AB61" s="586">
        <f t="shared" si="7"/>
        <v>1.25</v>
      </c>
      <c r="AC61" s="562">
        <f t="shared" si="8"/>
        <v>217719.5</v>
      </c>
    </row>
    <row r="62" spans="1:29" ht="12" x14ac:dyDescent="0.2">
      <c r="B62" s="100" t="s">
        <v>46</v>
      </c>
      <c r="C62" s="150"/>
      <c r="D62" s="161"/>
      <c r="E62" s="150"/>
      <c r="F62" s="294"/>
      <c r="G62" s="266"/>
      <c r="H62" s="337"/>
      <c r="I62" s="323"/>
      <c r="J62" s="392"/>
      <c r="K62" s="266"/>
      <c r="L62" s="392"/>
      <c r="M62" s="266"/>
      <c r="N62" s="337"/>
      <c r="O62" s="323"/>
      <c r="P62" s="337"/>
      <c r="Q62" s="323"/>
      <c r="R62" s="337"/>
      <c r="S62" s="323"/>
      <c r="T62" s="337"/>
      <c r="U62" s="323"/>
      <c r="V62" s="337"/>
      <c r="W62" s="323"/>
      <c r="X62" s="337"/>
      <c r="Y62" s="323"/>
      <c r="Z62" s="337"/>
      <c r="AB62" s="560"/>
      <c r="AC62" s="563"/>
    </row>
    <row r="63" spans="1:29" ht="5.25" customHeight="1" x14ac:dyDescent="0.2">
      <c r="B63" s="107" t="s">
        <v>47</v>
      </c>
      <c r="C63" s="151"/>
      <c r="D63" s="162"/>
      <c r="E63" s="151"/>
      <c r="F63" s="27"/>
      <c r="G63" s="267"/>
      <c r="H63" s="338"/>
      <c r="I63" s="242"/>
      <c r="J63" s="233"/>
      <c r="K63" s="267"/>
      <c r="L63" s="233"/>
      <c r="M63" s="267"/>
      <c r="N63" s="338"/>
      <c r="O63" s="242"/>
      <c r="P63" s="338"/>
      <c r="Q63" s="242"/>
      <c r="R63" s="338"/>
      <c r="S63" s="242"/>
      <c r="T63" s="338"/>
      <c r="U63" s="242"/>
      <c r="V63" s="338"/>
      <c r="W63" s="242"/>
      <c r="X63" s="338"/>
      <c r="Y63" s="242"/>
      <c r="Z63" s="338"/>
      <c r="AB63" s="560"/>
      <c r="AC63" s="563"/>
    </row>
    <row r="64" spans="1:29" ht="12" x14ac:dyDescent="0.2">
      <c r="B64" s="108" t="s">
        <v>48</v>
      </c>
      <c r="C64" s="152"/>
      <c r="D64" s="163">
        <f>1292548.43+1500</f>
        <v>1294048.43</v>
      </c>
      <c r="E64" s="152"/>
      <c r="F64" s="295">
        <f>1570375.98+0</f>
        <v>1570375.98</v>
      </c>
      <c r="G64" s="302"/>
      <c r="H64" s="431">
        <f>2949654.14</f>
        <v>2949654.14</v>
      </c>
      <c r="I64" s="360"/>
      <c r="J64" s="438">
        <v>2871045.68</v>
      </c>
      <c r="K64" s="433"/>
      <c r="L64" s="438">
        <v>1834221.58</v>
      </c>
      <c r="M64" s="433"/>
      <c r="N64" s="639">
        <v>1764026</v>
      </c>
      <c r="O64" s="440"/>
      <c r="P64" s="639">
        <v>1515670</v>
      </c>
      <c r="Q64" s="440"/>
      <c r="R64" s="639">
        <v>1354980.19</v>
      </c>
      <c r="S64" s="440"/>
      <c r="T64" s="639">
        <v>3685327.54</v>
      </c>
      <c r="U64" s="440"/>
      <c r="V64" s="639">
        <v>1384908.85</v>
      </c>
      <c r="W64" s="440"/>
      <c r="X64" s="639">
        <v>2236552.37</v>
      </c>
      <c r="Y64" s="440"/>
      <c r="Z64" s="687"/>
      <c r="AB64" s="211"/>
      <c r="AC64" s="562">
        <f>AVERAGE(T64,V64,X64,P64,R64)</f>
        <v>2035487.7900000003</v>
      </c>
    </row>
    <row r="65" spans="1:29" thickBot="1" x14ac:dyDescent="0.25">
      <c r="B65" s="109" t="s">
        <v>49</v>
      </c>
      <c r="C65" s="154"/>
      <c r="D65" s="164">
        <v>3441756.4</v>
      </c>
      <c r="E65" s="154"/>
      <c r="F65" s="296">
        <v>3686093.11</v>
      </c>
      <c r="G65" s="303"/>
      <c r="H65" s="432">
        <v>4037351.14</v>
      </c>
      <c r="I65" s="370"/>
      <c r="J65" s="434">
        <v>4629729.58</v>
      </c>
      <c r="K65" s="435"/>
      <c r="L65" s="434">
        <v>4564787.37</v>
      </c>
      <c r="M65" s="435"/>
      <c r="N65" s="434">
        <v>4450728.57</v>
      </c>
      <c r="O65" s="435"/>
      <c r="P65" s="732">
        <v>4706720</v>
      </c>
      <c r="Q65" s="442"/>
      <c r="R65" s="732">
        <v>5472200.2999999998</v>
      </c>
      <c r="S65" s="442"/>
      <c r="T65" s="732">
        <v>6915167.54</v>
      </c>
      <c r="U65" s="442"/>
      <c r="V65" s="732">
        <v>7432239.9299999997</v>
      </c>
      <c r="W65" s="442"/>
      <c r="X65" s="732">
        <v>8717787.1199999992</v>
      </c>
      <c r="Y65" s="442"/>
      <c r="Z65" s="748"/>
      <c r="AB65" s="778"/>
      <c r="AC65" s="584">
        <f t="shared" ref="AC65" si="9">AVERAGE(T65,V65,X65,P65,R65)</f>
        <v>6648822.9779999992</v>
      </c>
    </row>
    <row r="66" spans="1:29" thickTop="1" x14ac:dyDescent="0.2">
      <c r="B66" s="5"/>
      <c r="C66" s="73"/>
      <c r="D66" s="74"/>
      <c r="E66" s="73"/>
      <c r="F66" s="240"/>
      <c r="G66" s="242"/>
      <c r="H66" s="240"/>
      <c r="I66" s="242"/>
      <c r="J66" s="436"/>
      <c r="K66" s="437"/>
      <c r="L66" s="436"/>
      <c r="M66" s="437"/>
      <c r="N66" s="436"/>
      <c r="O66" s="437"/>
      <c r="P66" s="436"/>
      <c r="Q66" s="437"/>
      <c r="R66" s="436"/>
      <c r="S66" s="437"/>
      <c r="T66" s="436"/>
      <c r="U66" s="437"/>
      <c r="V66" s="436"/>
      <c r="W66" s="437"/>
      <c r="X66" s="436"/>
      <c r="Y66" s="437"/>
      <c r="Z66" s="436"/>
      <c r="AC66" s="26"/>
    </row>
    <row r="67" spans="1:29" x14ac:dyDescent="0.2">
      <c r="A67" s="3" t="s">
        <v>42</v>
      </c>
      <c r="B67" s="5"/>
      <c r="C67" s="73"/>
      <c r="D67" s="74"/>
      <c r="E67" s="73"/>
      <c r="F67" s="75"/>
      <c r="G67" s="242"/>
      <c r="H67" s="240"/>
      <c r="I67" s="242"/>
      <c r="J67" s="240"/>
      <c r="K67" s="242"/>
      <c r="L67" s="240"/>
      <c r="M67" s="242"/>
      <c r="N67" s="240"/>
      <c r="O67" s="242"/>
      <c r="P67" s="240"/>
      <c r="Q67" s="242"/>
      <c r="R67" s="240"/>
      <c r="S67" s="242"/>
      <c r="T67" s="240"/>
      <c r="U67" s="242"/>
      <c r="V67" s="240"/>
      <c r="W67" s="242"/>
      <c r="X67" s="240"/>
      <c r="Y67" s="242"/>
      <c r="Z67" s="240"/>
    </row>
    <row r="68" spans="1:29" thickBot="1" x14ac:dyDescent="0.25">
      <c r="B68" s="5"/>
      <c r="C68" s="73"/>
      <c r="D68" s="74"/>
      <c r="E68" s="73"/>
      <c r="F68" s="75"/>
      <c r="G68" s="242"/>
      <c r="H68" s="240"/>
      <c r="I68" s="242"/>
      <c r="J68" s="240"/>
      <c r="K68" s="242"/>
      <c r="L68" s="240"/>
      <c r="M68" s="242"/>
      <c r="N68" s="240"/>
      <c r="O68" s="242"/>
      <c r="P68" s="240"/>
      <c r="Q68" s="242"/>
      <c r="R68" s="240"/>
      <c r="S68" s="242"/>
      <c r="T68" s="240"/>
      <c r="U68" s="242"/>
      <c r="V68" s="240"/>
      <c r="W68" s="242"/>
      <c r="X68" s="240"/>
      <c r="Y68" s="242"/>
      <c r="Z68" s="240"/>
    </row>
    <row r="69" spans="1:29" ht="13.5" thickTop="1" thickBot="1" x14ac:dyDescent="0.25">
      <c r="B69" s="18"/>
      <c r="C69" s="811" t="s">
        <v>24</v>
      </c>
      <c r="D69" s="812"/>
      <c r="E69" s="811" t="s">
        <v>25</v>
      </c>
      <c r="F69" s="813"/>
      <c r="G69" s="798" t="s">
        <v>76</v>
      </c>
      <c r="H69" s="793"/>
      <c r="I69" s="792" t="s">
        <v>86</v>
      </c>
      <c r="J69" s="792"/>
      <c r="K69" s="798" t="s">
        <v>87</v>
      </c>
      <c r="L69" s="792"/>
      <c r="M69" s="798" t="s">
        <v>90</v>
      </c>
      <c r="N69" s="793"/>
      <c r="O69" s="798" t="s">
        <v>113</v>
      </c>
      <c r="P69" s="793"/>
      <c r="Q69" s="798" t="s">
        <v>118</v>
      </c>
      <c r="R69" s="793"/>
      <c r="S69" s="798" t="s">
        <v>131</v>
      </c>
      <c r="T69" s="793"/>
      <c r="U69" s="798" t="s">
        <v>139</v>
      </c>
      <c r="V69" s="793"/>
      <c r="W69" s="798" t="s">
        <v>141</v>
      </c>
      <c r="X69" s="793"/>
      <c r="Y69" s="798" t="s">
        <v>143</v>
      </c>
      <c r="Z69" s="793"/>
      <c r="AB69" s="823" t="s">
        <v>105</v>
      </c>
      <c r="AC69" s="824"/>
    </row>
    <row r="70" spans="1:29" ht="12" x14ac:dyDescent="0.2">
      <c r="B70" s="76" t="s">
        <v>26</v>
      </c>
      <c r="C70" s="127"/>
      <c r="D70" s="128"/>
      <c r="E70" s="127"/>
      <c r="F70" s="7"/>
      <c r="G70" s="299"/>
      <c r="H70" s="335"/>
      <c r="I70" s="234"/>
      <c r="J70" s="234"/>
      <c r="K70" s="299"/>
      <c r="L70" s="234"/>
      <c r="M70" s="299"/>
      <c r="N70" s="335"/>
      <c r="O70" s="299"/>
      <c r="P70" s="335"/>
      <c r="Q70" s="299"/>
      <c r="R70" s="335"/>
      <c r="S70" s="299"/>
      <c r="T70" s="335"/>
      <c r="U70" s="299"/>
      <c r="V70" s="335"/>
      <c r="W70" s="299"/>
      <c r="X70" s="335"/>
      <c r="Y70" s="299"/>
      <c r="Z70" s="335"/>
      <c r="AB70" s="560"/>
      <c r="AC70" s="506"/>
    </row>
    <row r="71" spans="1:29" ht="12" x14ac:dyDescent="0.2">
      <c r="B71" s="77" t="s">
        <v>27</v>
      </c>
      <c r="C71" s="129"/>
      <c r="D71" s="166"/>
      <c r="E71" s="129"/>
      <c r="F71" s="125"/>
      <c r="G71" s="258"/>
      <c r="H71" s="328"/>
      <c r="I71" s="235"/>
      <c r="J71" s="248"/>
      <c r="K71" s="258"/>
      <c r="L71" s="248"/>
      <c r="M71" s="258"/>
      <c r="N71" s="328"/>
      <c r="O71" s="258"/>
      <c r="P71" s="328"/>
      <c r="Q71" s="258"/>
      <c r="R71" s="328"/>
      <c r="S71" s="258"/>
      <c r="T71" s="328"/>
      <c r="U71" s="258"/>
      <c r="V71" s="328"/>
      <c r="W71" s="258"/>
      <c r="X71" s="328"/>
      <c r="Y71" s="258"/>
      <c r="Z71" s="328"/>
      <c r="AB71" s="211"/>
      <c r="AC71" s="575"/>
    </row>
    <row r="72" spans="1:29" ht="12" x14ac:dyDescent="0.2">
      <c r="B72" s="78" t="s">
        <v>28</v>
      </c>
      <c r="C72" s="129"/>
      <c r="D72" s="166">
        <v>11</v>
      </c>
      <c r="E72" s="129"/>
      <c r="F72" s="125">
        <v>9</v>
      </c>
      <c r="G72" s="258"/>
      <c r="H72" s="328">
        <v>2</v>
      </c>
      <c r="I72" s="235"/>
      <c r="J72" s="248">
        <v>2</v>
      </c>
      <c r="K72" s="258"/>
      <c r="L72" s="248">
        <v>2</v>
      </c>
      <c r="M72" s="258"/>
      <c r="N72" s="328">
        <v>2</v>
      </c>
      <c r="O72" s="258"/>
      <c r="P72" s="328">
        <v>1</v>
      </c>
      <c r="Q72" s="258"/>
      <c r="R72" s="328">
        <v>1</v>
      </c>
      <c r="S72" s="258"/>
      <c r="T72" s="328">
        <v>1</v>
      </c>
      <c r="U72" s="258"/>
      <c r="V72" s="328">
        <v>1</v>
      </c>
      <c r="W72" s="258"/>
      <c r="X72" s="328">
        <v>1</v>
      </c>
      <c r="Y72" s="258"/>
      <c r="Z72" s="328">
        <v>2</v>
      </c>
      <c r="AB72" s="209"/>
      <c r="AC72" s="13">
        <f t="shared" ref="AC72:AC73" si="10">AVERAGE(T72,V72,X72,Z72,R72)</f>
        <v>1.2</v>
      </c>
    </row>
    <row r="73" spans="1:29" ht="12" x14ac:dyDescent="0.2">
      <c r="B73" s="78" t="s">
        <v>104</v>
      </c>
      <c r="C73" s="129"/>
      <c r="D73" s="166">
        <v>2</v>
      </c>
      <c r="E73" s="129"/>
      <c r="F73" s="125">
        <v>3</v>
      </c>
      <c r="G73" s="258"/>
      <c r="H73" s="328">
        <v>0</v>
      </c>
      <c r="I73" s="235"/>
      <c r="J73" s="248">
        <v>0</v>
      </c>
      <c r="K73" s="258"/>
      <c r="L73" s="248">
        <v>0</v>
      </c>
      <c r="M73" s="258"/>
      <c r="N73" s="328">
        <v>0</v>
      </c>
      <c r="O73" s="258"/>
      <c r="P73" s="328">
        <v>0</v>
      </c>
      <c r="Q73" s="258"/>
      <c r="R73" s="328">
        <v>0</v>
      </c>
      <c r="S73" s="258"/>
      <c r="T73" s="328">
        <v>0</v>
      </c>
      <c r="U73" s="258"/>
      <c r="V73" s="328">
        <v>0</v>
      </c>
      <c r="W73" s="258"/>
      <c r="X73" s="328">
        <v>0</v>
      </c>
      <c r="Y73" s="258"/>
      <c r="Z73" s="328">
        <v>0</v>
      </c>
      <c r="AB73" s="209"/>
      <c r="AC73" s="13">
        <f t="shared" si="10"/>
        <v>0</v>
      </c>
    </row>
    <row r="74" spans="1:29" ht="12" x14ac:dyDescent="0.2">
      <c r="B74" s="77" t="s">
        <v>29</v>
      </c>
      <c r="C74" s="129"/>
      <c r="D74" s="132"/>
      <c r="E74" s="129"/>
      <c r="F74" s="39"/>
      <c r="G74" s="258"/>
      <c r="H74" s="329"/>
      <c r="I74" s="235"/>
      <c r="J74" s="239"/>
      <c r="K74" s="258"/>
      <c r="L74" s="239"/>
      <c r="M74" s="258"/>
      <c r="N74" s="329"/>
      <c r="O74" s="258"/>
      <c r="P74" s="329"/>
      <c r="Q74" s="258"/>
      <c r="R74" s="329"/>
      <c r="S74" s="258"/>
      <c r="T74" s="329"/>
      <c r="U74" s="258"/>
      <c r="V74" s="329"/>
      <c r="W74" s="258"/>
      <c r="X74" s="329"/>
      <c r="Y74" s="258"/>
      <c r="Z74" s="329"/>
      <c r="AB74" s="209"/>
      <c r="AC74" s="13"/>
    </row>
    <row r="75" spans="1:29" ht="12" x14ac:dyDescent="0.2">
      <c r="B75" s="78" t="s">
        <v>28</v>
      </c>
      <c r="C75" s="129"/>
      <c r="D75" s="132">
        <v>5</v>
      </c>
      <c r="E75" s="129"/>
      <c r="F75" s="39">
        <v>7</v>
      </c>
      <c r="G75" s="258"/>
      <c r="H75" s="329">
        <v>0</v>
      </c>
      <c r="I75" s="235"/>
      <c r="J75" s="239">
        <v>0</v>
      </c>
      <c r="K75" s="258"/>
      <c r="L75" s="239">
        <v>1</v>
      </c>
      <c r="M75" s="258"/>
      <c r="N75" s="329">
        <v>1</v>
      </c>
      <c r="O75" s="258"/>
      <c r="P75" s="329">
        <v>1</v>
      </c>
      <c r="Q75" s="258"/>
      <c r="R75" s="329">
        <v>0</v>
      </c>
      <c r="S75" s="258"/>
      <c r="T75" s="329">
        <v>0</v>
      </c>
      <c r="U75" s="258"/>
      <c r="V75" s="329">
        <v>0</v>
      </c>
      <c r="W75" s="258"/>
      <c r="X75" s="329">
        <v>0</v>
      </c>
      <c r="Y75" s="258"/>
      <c r="Z75" s="329">
        <v>2</v>
      </c>
      <c r="AB75" s="209"/>
      <c r="AC75" s="13">
        <f t="shared" ref="AC75:AC77" si="11">AVERAGE(T75,V75,X75,Z75,R75)</f>
        <v>0.4</v>
      </c>
    </row>
    <row r="76" spans="1:29" ht="12" x14ac:dyDescent="0.2">
      <c r="B76" s="80" t="s">
        <v>104</v>
      </c>
      <c r="C76" s="129"/>
      <c r="D76" s="132">
        <v>2</v>
      </c>
      <c r="E76" s="129"/>
      <c r="F76" s="39">
        <v>1</v>
      </c>
      <c r="G76" s="258"/>
      <c r="H76" s="329">
        <v>0</v>
      </c>
      <c r="I76" s="235"/>
      <c r="J76" s="239">
        <v>0</v>
      </c>
      <c r="K76" s="258"/>
      <c r="L76" s="239">
        <v>0</v>
      </c>
      <c r="M76" s="258"/>
      <c r="N76" s="329">
        <v>0</v>
      </c>
      <c r="O76" s="258"/>
      <c r="P76" s="329">
        <v>0</v>
      </c>
      <c r="Q76" s="258"/>
      <c r="R76" s="329">
        <v>0</v>
      </c>
      <c r="S76" s="258"/>
      <c r="T76" s="329">
        <v>0</v>
      </c>
      <c r="U76" s="258"/>
      <c r="V76" s="329">
        <v>0</v>
      </c>
      <c r="W76" s="258"/>
      <c r="X76" s="329">
        <v>0</v>
      </c>
      <c r="Y76" s="258"/>
      <c r="Z76" s="329">
        <v>0</v>
      </c>
      <c r="AB76" s="209"/>
      <c r="AC76" s="13">
        <f t="shared" si="11"/>
        <v>0</v>
      </c>
    </row>
    <row r="77" spans="1:29" thickBot="1" x14ac:dyDescent="0.25">
      <c r="B77" s="81" t="s">
        <v>14</v>
      </c>
      <c r="C77" s="167"/>
      <c r="D77" s="180">
        <f>SUM(D72:D76)</f>
        <v>20</v>
      </c>
      <c r="E77" s="167"/>
      <c r="F77" s="82">
        <f>SUM(F72:F76)</f>
        <v>20</v>
      </c>
      <c r="G77" s="304"/>
      <c r="H77" s="330">
        <v>2</v>
      </c>
      <c r="I77" s="327"/>
      <c r="J77" s="82">
        <f>SUM(J72:J76)</f>
        <v>2</v>
      </c>
      <c r="K77" s="304"/>
      <c r="L77" s="82">
        <f>SUM(L72:L76)</f>
        <v>3</v>
      </c>
      <c r="M77" s="304"/>
      <c r="N77" s="180">
        <f>SUM(N72:N76)</f>
        <v>3</v>
      </c>
      <c r="O77" s="304"/>
      <c r="P77" s="180">
        <f>SUM(P72:P76)</f>
        <v>2</v>
      </c>
      <c r="Q77" s="304"/>
      <c r="R77" s="330">
        <f>SUM(R72:R76)</f>
        <v>1</v>
      </c>
      <c r="S77" s="304"/>
      <c r="T77" s="330">
        <f>SUM(T72:T76)</f>
        <v>1</v>
      </c>
      <c r="U77" s="304"/>
      <c r="V77" s="330">
        <f>SUM(V72:V76)</f>
        <v>1</v>
      </c>
      <c r="W77" s="304"/>
      <c r="X77" s="330">
        <f>SUM(X72:X76)</f>
        <v>1</v>
      </c>
      <c r="Y77" s="304"/>
      <c r="Z77" s="330">
        <f>SUM(Z72:Z76)</f>
        <v>4</v>
      </c>
      <c r="AB77" s="560"/>
      <c r="AC77" s="413">
        <f t="shared" si="11"/>
        <v>1.6</v>
      </c>
    </row>
    <row r="78" spans="1:29" thickTop="1" x14ac:dyDescent="0.2">
      <c r="B78" s="121" t="s">
        <v>71</v>
      </c>
      <c r="C78" s="168" t="s">
        <v>69</v>
      </c>
      <c r="D78" s="169" t="s">
        <v>70</v>
      </c>
      <c r="E78" s="186" t="s">
        <v>69</v>
      </c>
      <c r="F78" s="165" t="s">
        <v>70</v>
      </c>
      <c r="G78" s="305" t="s">
        <v>69</v>
      </c>
      <c r="H78" s="372" t="s">
        <v>70</v>
      </c>
      <c r="I78" s="351" t="s">
        <v>69</v>
      </c>
      <c r="J78" s="393" t="s">
        <v>70</v>
      </c>
      <c r="K78" s="305" t="s">
        <v>69</v>
      </c>
      <c r="L78" s="393" t="s">
        <v>70</v>
      </c>
      <c r="M78" s="305" t="s">
        <v>69</v>
      </c>
      <c r="N78" s="372" t="s">
        <v>70</v>
      </c>
      <c r="O78" s="305" t="s">
        <v>69</v>
      </c>
      <c r="P78" s="372" t="s">
        <v>70</v>
      </c>
      <c r="Q78" s="305" t="s">
        <v>69</v>
      </c>
      <c r="R78" s="372" t="s">
        <v>70</v>
      </c>
      <c r="S78" s="305" t="s">
        <v>69</v>
      </c>
      <c r="T78" s="372" t="s">
        <v>70</v>
      </c>
      <c r="U78" s="305" t="s">
        <v>69</v>
      </c>
      <c r="V78" s="372" t="s">
        <v>70</v>
      </c>
      <c r="W78" s="305" t="s">
        <v>69</v>
      </c>
      <c r="X78" s="372" t="s">
        <v>70</v>
      </c>
      <c r="Y78" s="305" t="s">
        <v>69</v>
      </c>
      <c r="Z78" s="372" t="s">
        <v>70</v>
      </c>
      <c r="AB78" s="576" t="s">
        <v>69</v>
      </c>
      <c r="AC78" s="577" t="s">
        <v>70</v>
      </c>
    </row>
    <row r="79" spans="1:29" ht="12" x14ac:dyDescent="0.2">
      <c r="B79" s="119" t="s">
        <v>53</v>
      </c>
      <c r="C79" s="170">
        <v>18</v>
      </c>
      <c r="D79" s="171">
        <f>C79/D$77</f>
        <v>0.9</v>
      </c>
      <c r="E79" s="170">
        <v>16</v>
      </c>
      <c r="F79" s="177">
        <f t="shared" ref="F79:H86" si="12">E79/F$77</f>
        <v>0.8</v>
      </c>
      <c r="G79" s="170">
        <v>2</v>
      </c>
      <c r="H79" s="188">
        <f t="shared" si="12"/>
        <v>1</v>
      </c>
      <c r="I79" s="123">
        <v>2</v>
      </c>
      <c r="J79" s="177">
        <f t="shared" ref="J79:L86" si="13">I79/J$77</f>
        <v>1</v>
      </c>
      <c r="K79" s="170">
        <v>3</v>
      </c>
      <c r="L79" s="177">
        <f t="shared" si="13"/>
        <v>1</v>
      </c>
      <c r="M79" s="170">
        <v>3</v>
      </c>
      <c r="N79" s="188">
        <f t="shared" ref="N79:P86" si="14">M79/N$77</f>
        <v>1</v>
      </c>
      <c r="O79" s="170">
        <v>2</v>
      </c>
      <c r="P79" s="188">
        <f t="shared" si="14"/>
        <v>1</v>
      </c>
      <c r="Q79" s="170">
        <v>1</v>
      </c>
      <c r="R79" s="188">
        <f>Q79/R$77</f>
        <v>1</v>
      </c>
      <c r="S79" s="170">
        <v>1</v>
      </c>
      <c r="T79" s="188">
        <f>S79/T$77</f>
        <v>1</v>
      </c>
      <c r="U79" s="170">
        <v>1</v>
      </c>
      <c r="V79" s="188">
        <f>U79/V$77</f>
        <v>1</v>
      </c>
      <c r="W79" s="170">
        <v>1</v>
      </c>
      <c r="X79" s="188">
        <f>W79/X$77</f>
        <v>1</v>
      </c>
      <c r="Y79" s="170">
        <v>4</v>
      </c>
      <c r="Z79" s="188">
        <f>Y79/Z$77</f>
        <v>1</v>
      </c>
      <c r="AA79" s="506"/>
      <c r="AB79" s="578">
        <f t="shared" ref="AB79:AB86" si="15">AVERAGE(S79,U79,W79,Y79,Q79)</f>
        <v>1.6</v>
      </c>
      <c r="AC79" s="580">
        <f t="shared" ref="AC79:AC86" si="16">AVERAGE(T79,V79,X79,Z79,R79)</f>
        <v>1</v>
      </c>
    </row>
    <row r="80" spans="1:29" ht="12" x14ac:dyDescent="0.2">
      <c r="B80" s="120" t="s">
        <v>54</v>
      </c>
      <c r="C80" s="170">
        <v>1</v>
      </c>
      <c r="D80" s="171">
        <f t="shared" ref="D80:D98" si="17">C80/$D$77</f>
        <v>0.05</v>
      </c>
      <c r="E80" s="170">
        <v>1</v>
      </c>
      <c r="F80" s="177">
        <f t="shared" si="12"/>
        <v>0.05</v>
      </c>
      <c r="G80" s="170">
        <v>0</v>
      </c>
      <c r="H80" s="188">
        <f t="shared" si="12"/>
        <v>0</v>
      </c>
      <c r="I80" s="123">
        <v>0</v>
      </c>
      <c r="J80" s="177">
        <f t="shared" si="13"/>
        <v>0</v>
      </c>
      <c r="K80" s="170">
        <v>0</v>
      </c>
      <c r="L80" s="177">
        <f t="shared" si="13"/>
        <v>0</v>
      </c>
      <c r="M80" s="170">
        <v>0</v>
      </c>
      <c r="N80" s="188">
        <f t="shared" si="14"/>
        <v>0</v>
      </c>
      <c r="O80" s="170">
        <v>0</v>
      </c>
      <c r="P80" s="188">
        <f t="shared" si="14"/>
        <v>0</v>
      </c>
      <c r="Q80" s="170">
        <v>0</v>
      </c>
      <c r="R80" s="188">
        <f t="shared" ref="R80:T86" si="18">Q80/R$77</f>
        <v>0</v>
      </c>
      <c r="S80" s="170">
        <v>0</v>
      </c>
      <c r="T80" s="188">
        <f t="shared" si="18"/>
        <v>0</v>
      </c>
      <c r="U80" s="170">
        <v>0</v>
      </c>
      <c r="V80" s="188">
        <f t="shared" ref="V80:V86" si="19">U80/V$77</f>
        <v>0</v>
      </c>
      <c r="W80" s="170">
        <v>0</v>
      </c>
      <c r="X80" s="188">
        <f t="shared" ref="X80" si="20">W80/X$77</f>
        <v>0</v>
      </c>
      <c r="Y80" s="170">
        <v>0</v>
      </c>
      <c r="Z80" s="188">
        <f t="shared" ref="Z80" si="21">Y80/Z$77</f>
        <v>0</v>
      </c>
      <c r="AA80" s="506"/>
      <c r="AB80" s="578">
        <f t="shared" si="15"/>
        <v>0</v>
      </c>
      <c r="AC80" s="580">
        <f t="shared" si="16"/>
        <v>0</v>
      </c>
    </row>
    <row r="81" spans="2:29" ht="12" x14ac:dyDescent="0.2">
      <c r="B81" s="120" t="s">
        <v>55</v>
      </c>
      <c r="C81" s="170">
        <v>0</v>
      </c>
      <c r="D81" s="171">
        <f t="shared" si="17"/>
        <v>0</v>
      </c>
      <c r="E81" s="170">
        <v>0</v>
      </c>
      <c r="F81" s="177">
        <f t="shared" si="12"/>
        <v>0</v>
      </c>
      <c r="G81" s="170">
        <v>0</v>
      </c>
      <c r="H81" s="188">
        <f t="shared" si="12"/>
        <v>0</v>
      </c>
      <c r="I81" s="123">
        <v>0</v>
      </c>
      <c r="J81" s="177">
        <f t="shared" si="13"/>
        <v>0</v>
      </c>
      <c r="K81" s="170">
        <v>0</v>
      </c>
      <c r="L81" s="177">
        <f t="shared" si="13"/>
        <v>0</v>
      </c>
      <c r="M81" s="170">
        <v>0</v>
      </c>
      <c r="N81" s="188">
        <f t="shared" si="14"/>
        <v>0</v>
      </c>
      <c r="O81" s="170">
        <v>0</v>
      </c>
      <c r="P81" s="188">
        <f t="shared" si="14"/>
        <v>0</v>
      </c>
      <c r="Q81" s="170">
        <v>0</v>
      </c>
      <c r="R81" s="188">
        <f t="shared" si="18"/>
        <v>0</v>
      </c>
      <c r="S81" s="170">
        <v>0</v>
      </c>
      <c r="T81" s="188">
        <f t="shared" si="18"/>
        <v>0</v>
      </c>
      <c r="U81" s="170">
        <v>0</v>
      </c>
      <c r="V81" s="188">
        <f>U81/V$77</f>
        <v>0</v>
      </c>
      <c r="W81" s="170">
        <v>0</v>
      </c>
      <c r="X81" s="188">
        <f>W81/X$77</f>
        <v>0</v>
      </c>
      <c r="Y81" s="170">
        <v>0</v>
      </c>
      <c r="Z81" s="188">
        <f>Y81/Z$77</f>
        <v>0</v>
      </c>
      <c r="AA81" s="506"/>
      <c r="AB81" s="578">
        <f t="shared" si="15"/>
        <v>0</v>
      </c>
      <c r="AC81" s="580">
        <f t="shared" si="16"/>
        <v>0</v>
      </c>
    </row>
    <row r="82" spans="2:29" ht="12" x14ac:dyDescent="0.2">
      <c r="B82" s="120" t="s">
        <v>56</v>
      </c>
      <c r="C82" s="170">
        <v>0</v>
      </c>
      <c r="D82" s="171">
        <f t="shared" si="17"/>
        <v>0</v>
      </c>
      <c r="E82" s="170">
        <v>0</v>
      </c>
      <c r="F82" s="177">
        <f t="shared" si="12"/>
        <v>0</v>
      </c>
      <c r="G82" s="170">
        <v>0</v>
      </c>
      <c r="H82" s="188">
        <f t="shared" si="12"/>
        <v>0</v>
      </c>
      <c r="I82" s="123">
        <v>0</v>
      </c>
      <c r="J82" s="177">
        <f t="shared" si="13"/>
        <v>0</v>
      </c>
      <c r="K82" s="170">
        <v>0</v>
      </c>
      <c r="L82" s="177">
        <f t="shared" si="13"/>
        <v>0</v>
      </c>
      <c r="M82" s="170">
        <v>0</v>
      </c>
      <c r="N82" s="188">
        <f t="shared" si="14"/>
        <v>0</v>
      </c>
      <c r="O82" s="170">
        <v>0</v>
      </c>
      <c r="P82" s="188">
        <f t="shared" si="14"/>
        <v>0</v>
      </c>
      <c r="Q82" s="170">
        <v>0</v>
      </c>
      <c r="R82" s="188">
        <f t="shared" si="18"/>
        <v>0</v>
      </c>
      <c r="S82" s="170">
        <v>0</v>
      </c>
      <c r="T82" s="188">
        <f t="shared" si="18"/>
        <v>0</v>
      </c>
      <c r="U82" s="170">
        <v>0</v>
      </c>
      <c r="V82" s="188">
        <f t="shared" si="19"/>
        <v>0</v>
      </c>
      <c r="W82" s="170">
        <v>0</v>
      </c>
      <c r="X82" s="188">
        <f t="shared" ref="X82:X86" si="22">W82/X$77</f>
        <v>0</v>
      </c>
      <c r="Y82" s="170">
        <v>0</v>
      </c>
      <c r="Z82" s="188">
        <f t="shared" ref="Z82:Z86" si="23">Y82/Z$77</f>
        <v>0</v>
      </c>
      <c r="AA82" s="506"/>
      <c r="AB82" s="578">
        <f t="shared" si="15"/>
        <v>0</v>
      </c>
      <c r="AC82" s="580">
        <f t="shared" si="16"/>
        <v>0</v>
      </c>
    </row>
    <row r="83" spans="2:29" ht="12" x14ac:dyDescent="0.2">
      <c r="B83" s="102" t="s">
        <v>57</v>
      </c>
      <c r="C83" s="170">
        <v>0</v>
      </c>
      <c r="D83" s="171">
        <f t="shared" si="17"/>
        <v>0</v>
      </c>
      <c r="E83" s="123">
        <v>0</v>
      </c>
      <c r="F83" s="177">
        <f t="shared" si="12"/>
        <v>0</v>
      </c>
      <c r="G83" s="170">
        <v>0</v>
      </c>
      <c r="H83" s="188">
        <f t="shared" si="12"/>
        <v>0</v>
      </c>
      <c r="I83" s="123">
        <v>0</v>
      </c>
      <c r="J83" s="177">
        <f t="shared" si="13"/>
        <v>0</v>
      </c>
      <c r="K83" s="170">
        <v>0</v>
      </c>
      <c r="L83" s="177">
        <f t="shared" si="13"/>
        <v>0</v>
      </c>
      <c r="M83" s="170">
        <v>0</v>
      </c>
      <c r="N83" s="188">
        <f t="shared" si="14"/>
        <v>0</v>
      </c>
      <c r="O83" s="170">
        <v>0</v>
      </c>
      <c r="P83" s="188">
        <f t="shared" si="14"/>
        <v>0</v>
      </c>
      <c r="Q83" s="170">
        <v>0</v>
      </c>
      <c r="R83" s="188">
        <f t="shared" si="18"/>
        <v>0</v>
      </c>
      <c r="S83" s="170">
        <v>0</v>
      </c>
      <c r="T83" s="188">
        <f t="shared" si="18"/>
        <v>0</v>
      </c>
      <c r="U83" s="170">
        <v>0</v>
      </c>
      <c r="V83" s="188">
        <f t="shared" si="19"/>
        <v>0</v>
      </c>
      <c r="W83" s="170">
        <v>0</v>
      </c>
      <c r="X83" s="188">
        <f t="shared" si="22"/>
        <v>0</v>
      </c>
      <c r="Y83" s="170">
        <v>0</v>
      </c>
      <c r="Z83" s="188">
        <f t="shared" si="23"/>
        <v>0</v>
      </c>
      <c r="AA83" s="506"/>
      <c r="AB83" s="578">
        <f t="shared" si="15"/>
        <v>0</v>
      </c>
      <c r="AC83" s="580">
        <f t="shared" si="16"/>
        <v>0</v>
      </c>
    </row>
    <row r="84" spans="2:29" ht="12" x14ac:dyDescent="0.2">
      <c r="B84" s="102" t="s">
        <v>58</v>
      </c>
      <c r="C84" s="170">
        <v>1</v>
      </c>
      <c r="D84" s="171">
        <f t="shared" si="17"/>
        <v>0.05</v>
      </c>
      <c r="E84" s="123">
        <v>3</v>
      </c>
      <c r="F84" s="177">
        <f t="shared" si="12"/>
        <v>0.15</v>
      </c>
      <c r="G84" s="170">
        <v>0</v>
      </c>
      <c r="H84" s="188">
        <f t="shared" si="12"/>
        <v>0</v>
      </c>
      <c r="I84" s="123">
        <v>0</v>
      </c>
      <c r="J84" s="177">
        <f t="shared" si="13"/>
        <v>0</v>
      </c>
      <c r="K84" s="170">
        <v>0</v>
      </c>
      <c r="L84" s="177">
        <f t="shared" si="13"/>
        <v>0</v>
      </c>
      <c r="M84" s="170">
        <v>0</v>
      </c>
      <c r="N84" s="188">
        <f t="shared" si="14"/>
        <v>0</v>
      </c>
      <c r="O84" s="170">
        <v>0</v>
      </c>
      <c r="P84" s="188">
        <f t="shared" si="14"/>
        <v>0</v>
      </c>
      <c r="Q84" s="170">
        <v>0</v>
      </c>
      <c r="R84" s="188">
        <f t="shared" si="18"/>
        <v>0</v>
      </c>
      <c r="S84" s="170">
        <v>0</v>
      </c>
      <c r="T84" s="188">
        <f t="shared" si="18"/>
        <v>0</v>
      </c>
      <c r="U84" s="170">
        <v>0</v>
      </c>
      <c r="V84" s="188">
        <f t="shared" si="19"/>
        <v>0</v>
      </c>
      <c r="W84" s="170">
        <v>0</v>
      </c>
      <c r="X84" s="188">
        <f t="shared" si="22"/>
        <v>0</v>
      </c>
      <c r="Y84" s="170">
        <v>0</v>
      </c>
      <c r="Z84" s="188">
        <f t="shared" si="23"/>
        <v>0</v>
      </c>
      <c r="AA84" s="506"/>
      <c r="AB84" s="578">
        <f t="shared" si="15"/>
        <v>0</v>
      </c>
      <c r="AC84" s="580">
        <f t="shared" si="16"/>
        <v>0</v>
      </c>
    </row>
    <row r="85" spans="2:29" ht="12" x14ac:dyDescent="0.2">
      <c r="B85" s="102" t="s">
        <v>126</v>
      </c>
      <c r="C85" s="172"/>
      <c r="D85" s="171"/>
      <c r="E85" s="124"/>
      <c r="F85" s="177"/>
      <c r="G85" s="722"/>
      <c r="H85" s="723"/>
      <c r="I85" s="724"/>
      <c r="J85" s="725"/>
      <c r="K85" s="722"/>
      <c r="L85" s="725"/>
      <c r="M85" s="722"/>
      <c r="N85" s="723"/>
      <c r="O85" s="722"/>
      <c r="P85" s="723"/>
      <c r="Q85" s="172">
        <v>0</v>
      </c>
      <c r="R85" s="188">
        <f t="shared" si="18"/>
        <v>0</v>
      </c>
      <c r="S85" s="172">
        <v>0</v>
      </c>
      <c r="T85" s="188">
        <f t="shared" si="18"/>
        <v>0</v>
      </c>
      <c r="U85" s="172">
        <v>0</v>
      </c>
      <c r="V85" s="188">
        <f t="shared" si="19"/>
        <v>0</v>
      </c>
      <c r="W85" s="172">
        <v>0</v>
      </c>
      <c r="X85" s="188">
        <f t="shared" si="22"/>
        <v>0</v>
      </c>
      <c r="Y85" s="172">
        <v>0</v>
      </c>
      <c r="Z85" s="188">
        <f t="shared" si="23"/>
        <v>0</v>
      </c>
      <c r="AA85" s="506"/>
      <c r="AB85" s="578">
        <f t="shared" si="15"/>
        <v>0</v>
      </c>
      <c r="AC85" s="580">
        <f t="shared" si="16"/>
        <v>0</v>
      </c>
    </row>
    <row r="86" spans="2:29" ht="12" x14ac:dyDescent="0.2">
      <c r="B86" s="102" t="s">
        <v>59</v>
      </c>
      <c r="C86" s="172">
        <v>0</v>
      </c>
      <c r="D86" s="171">
        <f t="shared" si="17"/>
        <v>0</v>
      </c>
      <c r="E86" s="124">
        <v>0</v>
      </c>
      <c r="F86" s="177">
        <f t="shared" si="12"/>
        <v>0</v>
      </c>
      <c r="G86" s="172">
        <v>0</v>
      </c>
      <c r="H86" s="188">
        <f t="shared" si="12"/>
        <v>0</v>
      </c>
      <c r="I86" s="124">
        <v>0</v>
      </c>
      <c r="J86" s="177">
        <f t="shared" si="13"/>
        <v>0</v>
      </c>
      <c r="K86" s="172">
        <v>0</v>
      </c>
      <c r="L86" s="177">
        <f t="shared" si="13"/>
        <v>0</v>
      </c>
      <c r="M86" s="172">
        <v>0</v>
      </c>
      <c r="N86" s="188">
        <f t="shared" si="14"/>
        <v>0</v>
      </c>
      <c r="O86" s="172">
        <v>0</v>
      </c>
      <c r="P86" s="188">
        <f t="shared" si="14"/>
        <v>0</v>
      </c>
      <c r="Q86" s="172">
        <v>0</v>
      </c>
      <c r="R86" s="188">
        <f t="shared" si="18"/>
        <v>0</v>
      </c>
      <c r="S86" s="172">
        <v>0</v>
      </c>
      <c r="T86" s="188">
        <f t="shared" si="18"/>
        <v>0</v>
      </c>
      <c r="U86" s="172">
        <v>0</v>
      </c>
      <c r="V86" s="188">
        <f t="shared" si="19"/>
        <v>0</v>
      </c>
      <c r="W86" s="172">
        <v>0</v>
      </c>
      <c r="X86" s="188">
        <f t="shared" si="22"/>
        <v>0</v>
      </c>
      <c r="Y86" s="172">
        <v>0</v>
      </c>
      <c r="Z86" s="188">
        <f t="shared" si="23"/>
        <v>0</v>
      </c>
      <c r="AA86" s="506"/>
      <c r="AB86" s="578">
        <f t="shared" si="15"/>
        <v>0</v>
      </c>
      <c r="AC86" s="580">
        <f t="shared" si="16"/>
        <v>0</v>
      </c>
    </row>
    <row r="87" spans="2:29" ht="12" x14ac:dyDescent="0.2">
      <c r="B87" s="286" t="s">
        <v>72</v>
      </c>
      <c r="C87" s="173"/>
      <c r="D87" s="171"/>
      <c r="E87" s="182"/>
      <c r="F87" s="291"/>
      <c r="G87" s="306"/>
      <c r="H87" s="356"/>
      <c r="I87" s="373"/>
      <c r="J87" s="291"/>
      <c r="K87" s="306"/>
      <c r="L87" s="291"/>
      <c r="M87" s="306"/>
      <c r="N87" s="356"/>
      <c r="O87" s="306"/>
      <c r="P87" s="356"/>
      <c r="Q87" s="306"/>
      <c r="R87" s="356"/>
      <c r="S87" s="306"/>
      <c r="T87" s="356"/>
      <c r="U87" s="306"/>
      <c r="V87" s="356"/>
      <c r="W87" s="306"/>
      <c r="X87" s="356"/>
      <c r="Y87" s="306"/>
      <c r="Z87" s="356"/>
      <c r="AA87" s="506"/>
      <c r="AB87" s="578"/>
      <c r="AC87" s="580"/>
    </row>
    <row r="88" spans="2:29" ht="12" x14ac:dyDescent="0.2">
      <c r="B88" s="57" t="s">
        <v>60</v>
      </c>
      <c r="C88" s="185">
        <v>6</v>
      </c>
      <c r="D88" s="171">
        <f t="shared" si="17"/>
        <v>0.3</v>
      </c>
      <c r="E88" s="125">
        <v>6</v>
      </c>
      <c r="F88" s="297">
        <f>E88/F$77</f>
        <v>0.3</v>
      </c>
      <c r="G88" s="185">
        <v>0</v>
      </c>
      <c r="H88" s="357">
        <f>G88/H$77</f>
        <v>0</v>
      </c>
      <c r="I88" s="248">
        <v>0</v>
      </c>
      <c r="J88" s="177">
        <f>I88/J$77</f>
        <v>0</v>
      </c>
      <c r="K88" s="185">
        <v>0</v>
      </c>
      <c r="L88" s="177">
        <f>K88/L$77</f>
        <v>0</v>
      </c>
      <c r="M88" s="185">
        <v>0</v>
      </c>
      <c r="N88" s="188">
        <f>M88/N$77</f>
        <v>0</v>
      </c>
      <c r="O88" s="185">
        <v>0</v>
      </c>
      <c r="P88" s="188">
        <f>O88/P$77</f>
        <v>0</v>
      </c>
      <c r="Q88" s="185">
        <v>0</v>
      </c>
      <c r="R88" s="188">
        <f>Q88/R$77</f>
        <v>0</v>
      </c>
      <c r="S88" s="185">
        <v>0</v>
      </c>
      <c r="T88" s="188">
        <f>S88/T$77</f>
        <v>0</v>
      </c>
      <c r="U88" s="185">
        <v>0</v>
      </c>
      <c r="V88" s="188">
        <f>U88/V$77</f>
        <v>0</v>
      </c>
      <c r="W88" s="185">
        <v>0</v>
      </c>
      <c r="X88" s="188">
        <f>W88/X$77</f>
        <v>0</v>
      </c>
      <c r="Y88" s="185">
        <v>3</v>
      </c>
      <c r="Z88" s="188">
        <f>Y88/Z$77</f>
        <v>0.75</v>
      </c>
      <c r="AA88" s="506"/>
      <c r="AB88" s="578">
        <f t="shared" ref="AB88:AB89" si="24">AVERAGE(S88,U88,W88,Y88,Q88)</f>
        <v>0.6</v>
      </c>
      <c r="AC88" s="580">
        <f t="shared" ref="AC88:AC89" si="25">AVERAGE(T88,V88,X88,Z88,R88)</f>
        <v>0.15</v>
      </c>
    </row>
    <row r="89" spans="2:29" ht="12" x14ac:dyDescent="0.2">
      <c r="B89" s="57" t="s">
        <v>61</v>
      </c>
      <c r="C89" s="185">
        <v>14</v>
      </c>
      <c r="D89" s="171">
        <f t="shared" si="17"/>
        <v>0.7</v>
      </c>
      <c r="E89" s="179">
        <v>14</v>
      </c>
      <c r="F89" s="297">
        <f>E89/F$77</f>
        <v>0.7</v>
      </c>
      <c r="G89" s="190">
        <v>2</v>
      </c>
      <c r="H89" s="357">
        <f>G89/H$77</f>
        <v>1</v>
      </c>
      <c r="I89" s="352">
        <v>2</v>
      </c>
      <c r="J89" s="177">
        <f>I89/J$77</f>
        <v>1</v>
      </c>
      <c r="K89" s="190">
        <v>3</v>
      </c>
      <c r="L89" s="177">
        <f>K89/L$77</f>
        <v>1</v>
      </c>
      <c r="M89" s="190">
        <v>3</v>
      </c>
      <c r="N89" s="188">
        <f>M89/N$77</f>
        <v>1</v>
      </c>
      <c r="O89" s="190">
        <v>2</v>
      </c>
      <c r="P89" s="188">
        <f>O89/P$77</f>
        <v>1</v>
      </c>
      <c r="Q89" s="190">
        <v>1</v>
      </c>
      <c r="R89" s="188">
        <f>Q89/R$77</f>
        <v>1</v>
      </c>
      <c r="S89" s="190">
        <v>1</v>
      </c>
      <c r="T89" s="188">
        <f>S89/T$77</f>
        <v>1</v>
      </c>
      <c r="U89" s="190">
        <v>1</v>
      </c>
      <c r="V89" s="188">
        <f>U89/V$77</f>
        <v>1</v>
      </c>
      <c r="W89" s="190">
        <v>1</v>
      </c>
      <c r="X89" s="188">
        <f>W89/X$77</f>
        <v>1</v>
      </c>
      <c r="Y89" s="190">
        <v>1</v>
      </c>
      <c r="Z89" s="188">
        <f>Y89/Z$77</f>
        <v>0.25</v>
      </c>
      <c r="AA89" s="506"/>
      <c r="AB89" s="578">
        <f t="shared" si="24"/>
        <v>1</v>
      </c>
      <c r="AC89" s="580">
        <f t="shared" si="25"/>
        <v>0.85</v>
      </c>
    </row>
    <row r="90" spans="2:29" ht="12" x14ac:dyDescent="0.2">
      <c r="B90" s="286" t="s">
        <v>73</v>
      </c>
      <c r="C90" s="174"/>
      <c r="D90" s="171"/>
      <c r="E90" s="183"/>
      <c r="F90" s="177"/>
      <c r="G90" s="307"/>
      <c r="H90" s="188"/>
      <c r="I90" s="353"/>
      <c r="J90" s="177"/>
      <c r="K90" s="307"/>
      <c r="L90" s="177"/>
      <c r="M90" s="307"/>
      <c r="N90" s="188"/>
      <c r="O90" s="307"/>
      <c r="P90" s="188"/>
      <c r="Q90" s="307"/>
      <c r="R90" s="188"/>
      <c r="S90" s="307"/>
      <c r="T90" s="188"/>
      <c r="U90" s="307"/>
      <c r="V90" s="188"/>
      <c r="W90" s="307"/>
      <c r="X90" s="188"/>
      <c r="Y90" s="307"/>
      <c r="Z90" s="188"/>
      <c r="AA90" s="506"/>
      <c r="AB90" s="578"/>
      <c r="AC90" s="580"/>
    </row>
    <row r="91" spans="2:29" ht="12" x14ac:dyDescent="0.2">
      <c r="B91" s="57" t="s">
        <v>62</v>
      </c>
      <c r="C91" s="181">
        <v>2</v>
      </c>
      <c r="D91" s="171">
        <f t="shared" si="17"/>
        <v>0.1</v>
      </c>
      <c r="E91" s="179">
        <v>7</v>
      </c>
      <c r="F91" s="297">
        <f>E91/F$77</f>
        <v>0.35</v>
      </c>
      <c r="G91" s="190">
        <v>1</v>
      </c>
      <c r="H91" s="357">
        <f>G91/H$77</f>
        <v>0.5</v>
      </c>
      <c r="I91" s="352">
        <v>1</v>
      </c>
      <c r="J91" s="177">
        <f>I91/J$77</f>
        <v>0.5</v>
      </c>
      <c r="K91" s="190">
        <v>1</v>
      </c>
      <c r="L91" s="177">
        <f>K91/L$77</f>
        <v>0.33333333333333331</v>
      </c>
      <c r="M91" s="190">
        <v>1</v>
      </c>
      <c r="N91" s="188">
        <f>M91/N$77</f>
        <v>0.33333333333333331</v>
      </c>
      <c r="O91" s="190">
        <v>1</v>
      </c>
      <c r="P91" s="188">
        <f>O91/P$77</f>
        <v>0.5</v>
      </c>
      <c r="Q91" s="190">
        <v>1</v>
      </c>
      <c r="R91" s="188">
        <f>Q91/R$77</f>
        <v>1</v>
      </c>
      <c r="S91" s="190">
        <v>1</v>
      </c>
      <c r="T91" s="188">
        <f>S91/T$77</f>
        <v>1</v>
      </c>
      <c r="U91" s="190">
        <v>1</v>
      </c>
      <c r="V91" s="188">
        <f>U91/V$77</f>
        <v>1</v>
      </c>
      <c r="W91" s="190">
        <v>1</v>
      </c>
      <c r="X91" s="188">
        <f>W91/X$77</f>
        <v>1</v>
      </c>
      <c r="Y91" s="190">
        <v>2</v>
      </c>
      <c r="Z91" s="188">
        <f>Y91/Z$77</f>
        <v>0.5</v>
      </c>
      <c r="AA91" s="506"/>
      <c r="AB91" s="578">
        <f t="shared" ref="AB91:AC91" si="26">AVERAGE(S91,U91,W91,Y91,Q91)</f>
        <v>1.2</v>
      </c>
      <c r="AC91" s="580">
        <f t="shared" si="26"/>
        <v>0.9</v>
      </c>
    </row>
    <row r="92" spans="2:29" ht="12" x14ac:dyDescent="0.2">
      <c r="B92" s="57" t="s">
        <v>63</v>
      </c>
      <c r="C92" s="181">
        <v>0</v>
      </c>
      <c r="D92" s="171">
        <f t="shared" si="17"/>
        <v>0</v>
      </c>
      <c r="E92" s="179">
        <v>1</v>
      </c>
      <c r="F92" s="297">
        <f>E92/F$77</f>
        <v>0.05</v>
      </c>
      <c r="G92" s="190">
        <v>0</v>
      </c>
      <c r="H92" s="357">
        <f>G92/H$77</f>
        <v>0</v>
      </c>
      <c r="I92" s="352">
        <v>0</v>
      </c>
      <c r="J92" s="177">
        <f>I92/J$77</f>
        <v>0</v>
      </c>
      <c r="K92" s="190">
        <v>1</v>
      </c>
      <c r="L92" s="177">
        <f>K92/L$77</f>
        <v>0.33333333333333331</v>
      </c>
      <c r="M92" s="190">
        <v>1</v>
      </c>
      <c r="N92" s="188">
        <f>M92/N$77</f>
        <v>0.33333333333333331</v>
      </c>
      <c r="O92" s="190">
        <v>1</v>
      </c>
      <c r="P92" s="188">
        <f>O92/P$77</f>
        <v>0.5</v>
      </c>
      <c r="Q92" s="190">
        <v>0</v>
      </c>
      <c r="R92" s="188">
        <f>Q92/R$77</f>
        <v>0</v>
      </c>
      <c r="S92" s="190">
        <v>0</v>
      </c>
      <c r="T92" s="188">
        <f>S92/T$77</f>
        <v>0</v>
      </c>
      <c r="U92" s="190">
        <v>0</v>
      </c>
      <c r="V92" s="188">
        <f>U92/V$77</f>
        <v>0</v>
      </c>
      <c r="W92" s="190">
        <v>0</v>
      </c>
      <c r="X92" s="188">
        <f>W92/X$77</f>
        <v>0</v>
      </c>
      <c r="Y92" s="190">
        <v>0</v>
      </c>
      <c r="Z92" s="188">
        <f>Y92/Z$77</f>
        <v>0</v>
      </c>
      <c r="AA92" s="506"/>
      <c r="AB92" s="578">
        <f t="shared" ref="AB92:AB93" si="27">AVERAGE(S92,U92,W92,Y92,Q92)</f>
        <v>0</v>
      </c>
      <c r="AC92" s="580">
        <f t="shared" ref="AC92:AC93" si="28">AVERAGE(T92,V92,X92,Z92,R92)</f>
        <v>0</v>
      </c>
    </row>
    <row r="93" spans="2:29" ht="12" x14ac:dyDescent="0.2">
      <c r="B93" s="57" t="s">
        <v>64</v>
      </c>
      <c r="C93" s="181">
        <v>18</v>
      </c>
      <c r="D93" s="171">
        <f t="shared" si="17"/>
        <v>0.9</v>
      </c>
      <c r="E93" s="179">
        <v>12</v>
      </c>
      <c r="F93" s="297">
        <f>E93/F$77</f>
        <v>0.6</v>
      </c>
      <c r="G93" s="190">
        <v>1</v>
      </c>
      <c r="H93" s="357">
        <f>G93/H$77</f>
        <v>0.5</v>
      </c>
      <c r="I93" s="352">
        <v>1</v>
      </c>
      <c r="J93" s="177">
        <f>I93/J$77</f>
        <v>0.5</v>
      </c>
      <c r="K93" s="190">
        <v>1</v>
      </c>
      <c r="L93" s="177">
        <f>K93/L$77</f>
        <v>0.33333333333333331</v>
      </c>
      <c r="M93" s="190">
        <v>1</v>
      </c>
      <c r="N93" s="188">
        <f>M93/N$77</f>
        <v>0.33333333333333331</v>
      </c>
      <c r="O93" s="190">
        <v>0</v>
      </c>
      <c r="P93" s="188">
        <f>O93/P$77</f>
        <v>0</v>
      </c>
      <c r="Q93" s="190">
        <v>0</v>
      </c>
      <c r="R93" s="188">
        <f>Q93/R$77</f>
        <v>0</v>
      </c>
      <c r="S93" s="190">
        <v>0</v>
      </c>
      <c r="T93" s="188">
        <f>S93/T$77</f>
        <v>0</v>
      </c>
      <c r="U93" s="190">
        <v>0</v>
      </c>
      <c r="V93" s="188">
        <f>U93/V$77</f>
        <v>0</v>
      </c>
      <c r="W93" s="190">
        <v>0</v>
      </c>
      <c r="X93" s="188">
        <f>W93/X$77</f>
        <v>0</v>
      </c>
      <c r="Y93" s="190">
        <v>2</v>
      </c>
      <c r="Z93" s="188">
        <f>Y93/Z$77</f>
        <v>0.5</v>
      </c>
      <c r="AA93" s="506"/>
      <c r="AB93" s="578">
        <f t="shared" si="27"/>
        <v>0.4</v>
      </c>
      <c r="AC93" s="580">
        <f t="shared" si="28"/>
        <v>0.1</v>
      </c>
    </row>
    <row r="94" spans="2:29" ht="12" x14ac:dyDescent="0.2">
      <c r="B94" s="286" t="s">
        <v>74</v>
      </c>
      <c r="C94" s="174"/>
      <c r="D94" s="171"/>
      <c r="E94" s="183"/>
      <c r="F94" s="177"/>
      <c r="G94" s="307"/>
      <c r="H94" s="188"/>
      <c r="I94" s="353"/>
      <c r="J94" s="177"/>
      <c r="K94" s="307"/>
      <c r="L94" s="177"/>
      <c r="M94" s="307"/>
      <c r="N94" s="188"/>
      <c r="O94" s="307"/>
      <c r="P94" s="188"/>
      <c r="Q94" s="307"/>
      <c r="R94" s="188"/>
      <c r="S94" s="307"/>
      <c r="T94" s="188"/>
      <c r="U94" s="307"/>
      <c r="V94" s="188"/>
      <c r="W94" s="307"/>
      <c r="X94" s="188"/>
      <c r="Y94" s="307"/>
      <c r="Z94" s="188"/>
      <c r="AA94" s="506"/>
      <c r="AB94" s="578"/>
      <c r="AC94" s="580"/>
    </row>
    <row r="95" spans="2:29" ht="12" x14ac:dyDescent="0.2">
      <c r="B95" s="57" t="s">
        <v>65</v>
      </c>
      <c r="C95" s="181">
        <v>17</v>
      </c>
      <c r="D95" s="171">
        <f t="shared" si="17"/>
        <v>0.85</v>
      </c>
      <c r="E95" s="179">
        <v>17</v>
      </c>
      <c r="F95" s="297">
        <f>E95/F$77</f>
        <v>0.85</v>
      </c>
      <c r="G95" s="190">
        <v>1</v>
      </c>
      <c r="H95" s="357">
        <f>G95/H$77</f>
        <v>0.5</v>
      </c>
      <c r="I95" s="352">
        <v>1</v>
      </c>
      <c r="J95" s="177">
        <f>I95/J$77</f>
        <v>0.5</v>
      </c>
      <c r="K95" s="190">
        <v>1</v>
      </c>
      <c r="L95" s="177">
        <f>K95/L$77</f>
        <v>0.33333333333333331</v>
      </c>
      <c r="M95" s="190">
        <v>1</v>
      </c>
      <c r="N95" s="188">
        <f>M95/N$77</f>
        <v>0.33333333333333331</v>
      </c>
      <c r="O95" s="190">
        <v>0</v>
      </c>
      <c r="P95" s="188">
        <f>O95/P$77</f>
        <v>0</v>
      </c>
      <c r="Q95" s="190">
        <v>0</v>
      </c>
      <c r="R95" s="188">
        <f>Q95/R$77</f>
        <v>0</v>
      </c>
      <c r="S95" s="190">
        <v>1</v>
      </c>
      <c r="T95" s="188">
        <f>S95/T$77</f>
        <v>1</v>
      </c>
      <c r="U95" s="190">
        <v>0</v>
      </c>
      <c r="V95" s="188">
        <f>U95/V$77</f>
        <v>0</v>
      </c>
      <c r="W95" s="190">
        <v>0</v>
      </c>
      <c r="X95" s="188">
        <f>W95/X$77</f>
        <v>0</v>
      </c>
      <c r="Y95" s="190">
        <v>3</v>
      </c>
      <c r="Z95" s="188">
        <f>Y95/Z$77</f>
        <v>0.75</v>
      </c>
      <c r="AA95" s="506"/>
      <c r="AB95" s="578">
        <f t="shared" ref="AB95:AB98" si="29">AVERAGE(S95,U95,W95,Y95,Q95)</f>
        <v>0.8</v>
      </c>
      <c r="AC95" s="580">
        <f t="shared" ref="AC95:AC98" si="30">AVERAGE(T95,V95,X95,Z95,R95)</f>
        <v>0.35</v>
      </c>
    </row>
    <row r="96" spans="2:29" ht="12" x14ac:dyDescent="0.2">
      <c r="B96" s="57" t="s">
        <v>66</v>
      </c>
      <c r="C96" s="181">
        <v>2</v>
      </c>
      <c r="D96" s="171">
        <f t="shared" si="17"/>
        <v>0.1</v>
      </c>
      <c r="E96" s="179">
        <v>3</v>
      </c>
      <c r="F96" s="297">
        <f>E96/F$77</f>
        <v>0.15</v>
      </c>
      <c r="G96" s="190">
        <v>1</v>
      </c>
      <c r="H96" s="357">
        <f>G96/H$77</f>
        <v>0.5</v>
      </c>
      <c r="I96" s="352">
        <v>1</v>
      </c>
      <c r="J96" s="177">
        <f>I96/J$77</f>
        <v>0.5</v>
      </c>
      <c r="K96" s="190">
        <v>2</v>
      </c>
      <c r="L96" s="177">
        <f>K96/L$77</f>
        <v>0.66666666666666663</v>
      </c>
      <c r="M96" s="190">
        <v>2</v>
      </c>
      <c r="N96" s="188">
        <f>M96/N$77</f>
        <v>0.66666666666666663</v>
      </c>
      <c r="O96" s="190">
        <v>2</v>
      </c>
      <c r="P96" s="188">
        <f>O96/P$77</f>
        <v>1</v>
      </c>
      <c r="Q96" s="190">
        <v>1</v>
      </c>
      <c r="R96" s="188">
        <f>Q96/R$77</f>
        <v>1</v>
      </c>
      <c r="S96" s="190">
        <v>0</v>
      </c>
      <c r="T96" s="188">
        <f>S96/T$77</f>
        <v>0</v>
      </c>
      <c r="U96" s="190">
        <v>1</v>
      </c>
      <c r="V96" s="188">
        <f>U96/V$77</f>
        <v>1</v>
      </c>
      <c r="W96" s="190">
        <v>1</v>
      </c>
      <c r="X96" s="188">
        <f>W96/X$77</f>
        <v>1</v>
      </c>
      <c r="Y96" s="190">
        <v>1</v>
      </c>
      <c r="Z96" s="188">
        <f>Y96/Z$77</f>
        <v>0.25</v>
      </c>
      <c r="AA96" s="506"/>
      <c r="AB96" s="578">
        <f t="shared" si="29"/>
        <v>0.8</v>
      </c>
      <c r="AC96" s="580">
        <f t="shared" si="30"/>
        <v>0.65</v>
      </c>
    </row>
    <row r="97" spans="1:32" ht="12" x14ac:dyDescent="0.2">
      <c r="B97" s="57" t="s">
        <v>67</v>
      </c>
      <c r="C97" s="181">
        <v>1</v>
      </c>
      <c r="D97" s="171">
        <f t="shared" si="17"/>
        <v>0.05</v>
      </c>
      <c r="E97" s="179">
        <v>0</v>
      </c>
      <c r="F97" s="297">
        <f>E97/F$77</f>
        <v>0</v>
      </c>
      <c r="G97" s="190">
        <v>0</v>
      </c>
      <c r="H97" s="357">
        <f>G97/H$77</f>
        <v>0</v>
      </c>
      <c r="I97" s="352">
        <v>0</v>
      </c>
      <c r="J97" s="177">
        <f>I97/J$77</f>
        <v>0</v>
      </c>
      <c r="K97" s="190">
        <v>0</v>
      </c>
      <c r="L97" s="177">
        <f>K97/L$77</f>
        <v>0</v>
      </c>
      <c r="M97" s="190">
        <v>0</v>
      </c>
      <c r="N97" s="188">
        <f>M97/N$77</f>
        <v>0</v>
      </c>
      <c r="O97" s="190">
        <v>0</v>
      </c>
      <c r="P97" s="188">
        <f>O97/P$77</f>
        <v>0</v>
      </c>
      <c r="Q97" s="190">
        <v>0</v>
      </c>
      <c r="R97" s="188">
        <f>Q97/R$77</f>
        <v>0</v>
      </c>
      <c r="S97" s="190">
        <v>0</v>
      </c>
      <c r="T97" s="188">
        <f>S97/T$77</f>
        <v>0</v>
      </c>
      <c r="U97" s="190">
        <v>0</v>
      </c>
      <c r="V97" s="188">
        <f>U97/V$77</f>
        <v>0</v>
      </c>
      <c r="W97" s="190">
        <v>0</v>
      </c>
      <c r="X97" s="188">
        <f>W97/X$77</f>
        <v>0</v>
      </c>
      <c r="Y97" s="190">
        <v>0</v>
      </c>
      <c r="Z97" s="188">
        <f>Y97/Z$77</f>
        <v>0</v>
      </c>
      <c r="AA97" s="506"/>
      <c r="AB97" s="578">
        <f t="shared" si="29"/>
        <v>0</v>
      </c>
      <c r="AC97" s="580">
        <f t="shared" si="30"/>
        <v>0</v>
      </c>
      <c r="AD97" s="560"/>
    </row>
    <row r="98" spans="1:32" thickBot="1" x14ac:dyDescent="0.25">
      <c r="B98" s="290" t="s">
        <v>68</v>
      </c>
      <c r="C98" s="175">
        <v>0</v>
      </c>
      <c r="D98" s="176">
        <f t="shared" si="17"/>
        <v>0</v>
      </c>
      <c r="E98" s="184">
        <v>0</v>
      </c>
      <c r="F98" s="298">
        <f>E98/F$77</f>
        <v>0</v>
      </c>
      <c r="G98" s="310">
        <v>0</v>
      </c>
      <c r="H98" s="358">
        <f>G98/H$77</f>
        <v>0</v>
      </c>
      <c r="I98" s="354">
        <v>0</v>
      </c>
      <c r="J98" s="178">
        <f>I98/J$77</f>
        <v>0</v>
      </c>
      <c r="K98" s="310">
        <v>0</v>
      </c>
      <c r="L98" s="178">
        <f>K98/L$77</f>
        <v>0</v>
      </c>
      <c r="M98" s="310">
        <v>0</v>
      </c>
      <c r="N98" s="193">
        <f>M98/N$77</f>
        <v>0</v>
      </c>
      <c r="O98" s="310">
        <v>0</v>
      </c>
      <c r="P98" s="193">
        <f>O98/P$77</f>
        <v>0</v>
      </c>
      <c r="Q98" s="310">
        <v>0</v>
      </c>
      <c r="R98" s="193">
        <f>Q98/R$77</f>
        <v>0</v>
      </c>
      <c r="S98" s="310">
        <v>0</v>
      </c>
      <c r="T98" s="193">
        <f>S98/T$77</f>
        <v>0</v>
      </c>
      <c r="U98" s="310">
        <v>0</v>
      </c>
      <c r="V98" s="193">
        <f>U98/V$77</f>
        <v>0</v>
      </c>
      <c r="W98" s="310">
        <v>0</v>
      </c>
      <c r="X98" s="193">
        <f>W98/X$77</f>
        <v>0</v>
      </c>
      <c r="Y98" s="310">
        <v>0</v>
      </c>
      <c r="Z98" s="193">
        <f>Y98/Z$77</f>
        <v>0</v>
      </c>
      <c r="AA98" s="506"/>
      <c r="AB98" s="581">
        <f t="shared" si="29"/>
        <v>0</v>
      </c>
      <c r="AC98" s="580">
        <f t="shared" si="30"/>
        <v>0</v>
      </c>
    </row>
    <row r="99" spans="1:32" ht="13.5" thickTop="1" thickBot="1" x14ac:dyDescent="0.25">
      <c r="A99" s="506"/>
      <c r="B99" s="507" t="s">
        <v>92</v>
      </c>
      <c r="C99" s="802" t="s">
        <v>93</v>
      </c>
      <c r="D99" s="803"/>
      <c r="E99" s="802" t="s">
        <v>94</v>
      </c>
      <c r="F99" s="803"/>
      <c r="G99" s="804" t="s">
        <v>95</v>
      </c>
      <c r="H99" s="805"/>
      <c r="I99" s="804" t="s">
        <v>96</v>
      </c>
      <c r="J99" s="805"/>
      <c r="K99" s="804" t="s">
        <v>97</v>
      </c>
      <c r="L99" s="805"/>
      <c r="M99" s="788" t="s">
        <v>98</v>
      </c>
      <c r="N99" s="789"/>
      <c r="O99" s="788" t="s">
        <v>114</v>
      </c>
      <c r="P99" s="789"/>
      <c r="Q99" s="788" t="s">
        <v>119</v>
      </c>
      <c r="R99" s="789"/>
      <c r="S99" s="788" t="s">
        <v>132</v>
      </c>
      <c r="T99" s="789"/>
      <c r="U99" s="788" t="s">
        <v>140</v>
      </c>
      <c r="V99" s="789"/>
      <c r="W99" s="788" t="s">
        <v>142</v>
      </c>
      <c r="X99" s="789"/>
      <c r="Y99" s="788" t="s">
        <v>144</v>
      </c>
      <c r="Z99" s="789"/>
      <c r="AA99" s="506"/>
      <c r="AB99" s="823" t="s">
        <v>105</v>
      </c>
      <c r="AC99" s="824"/>
    </row>
    <row r="100" spans="1:32" ht="12" x14ac:dyDescent="0.2">
      <c r="A100" s="506"/>
      <c r="B100" s="508"/>
      <c r="C100" s="509" t="s">
        <v>69</v>
      </c>
      <c r="D100" s="510" t="s">
        <v>18</v>
      </c>
      <c r="E100" s="509" t="s">
        <v>69</v>
      </c>
      <c r="F100" s="510" t="s">
        <v>18</v>
      </c>
      <c r="G100" s="509" t="s">
        <v>69</v>
      </c>
      <c r="H100" s="510" t="s">
        <v>18</v>
      </c>
      <c r="I100" s="509" t="s">
        <v>69</v>
      </c>
      <c r="J100" s="510" t="s">
        <v>18</v>
      </c>
      <c r="K100" s="509" t="s">
        <v>69</v>
      </c>
      <c r="L100" s="510" t="s">
        <v>18</v>
      </c>
      <c r="M100" s="509" t="s">
        <v>69</v>
      </c>
      <c r="N100" s="510" t="s">
        <v>18</v>
      </c>
      <c r="O100" s="509" t="s">
        <v>69</v>
      </c>
      <c r="P100" s="510" t="s">
        <v>18</v>
      </c>
      <c r="Q100" s="622" t="s">
        <v>69</v>
      </c>
      <c r="R100" s="510" t="s">
        <v>18</v>
      </c>
      <c r="S100" s="622" t="s">
        <v>69</v>
      </c>
      <c r="T100" s="510" t="s">
        <v>18</v>
      </c>
      <c r="U100" s="622" t="s">
        <v>69</v>
      </c>
      <c r="V100" s="510" t="s">
        <v>18</v>
      </c>
      <c r="W100" s="622" t="s">
        <v>69</v>
      </c>
      <c r="X100" s="510" t="s">
        <v>18</v>
      </c>
      <c r="Y100" s="622" t="s">
        <v>69</v>
      </c>
      <c r="Z100" s="510" t="s">
        <v>18</v>
      </c>
      <c r="AA100" s="506"/>
      <c r="AB100" s="613" t="s">
        <v>69</v>
      </c>
      <c r="AC100" s="614" t="s">
        <v>18</v>
      </c>
    </row>
    <row r="101" spans="1:32" ht="12" x14ac:dyDescent="0.2">
      <c r="A101" s="506"/>
      <c r="B101" s="282" t="s">
        <v>99</v>
      </c>
      <c r="C101" s="509">
        <v>2</v>
      </c>
      <c r="D101" s="621">
        <v>1</v>
      </c>
      <c r="E101" s="622">
        <v>1</v>
      </c>
      <c r="F101" s="512">
        <v>0.4</v>
      </c>
      <c r="G101" s="622">
        <v>1</v>
      </c>
      <c r="H101" s="512">
        <v>0.5</v>
      </c>
      <c r="I101" s="622">
        <v>2</v>
      </c>
      <c r="J101" s="512">
        <v>1</v>
      </c>
      <c r="K101" s="509">
        <v>11</v>
      </c>
      <c r="L101" s="512">
        <v>5.4</v>
      </c>
      <c r="M101" s="513">
        <v>5</v>
      </c>
      <c r="N101" s="640">
        <v>2.5</v>
      </c>
      <c r="O101" s="513">
        <v>2</v>
      </c>
      <c r="P101" s="640">
        <v>1</v>
      </c>
      <c r="Q101" s="513">
        <v>2</v>
      </c>
      <c r="R101" s="720">
        <v>1</v>
      </c>
      <c r="S101" s="513">
        <v>2</v>
      </c>
      <c r="T101" s="720">
        <v>1</v>
      </c>
      <c r="U101" s="513">
        <v>2</v>
      </c>
      <c r="V101" s="720">
        <v>1</v>
      </c>
      <c r="W101" s="513">
        <v>2</v>
      </c>
      <c r="X101" s="720">
        <v>1</v>
      </c>
      <c r="Y101" s="513">
        <v>9</v>
      </c>
      <c r="Z101" s="720">
        <v>4.5</v>
      </c>
      <c r="AA101" s="506"/>
      <c r="AB101" s="615">
        <f t="shared" ref="AB101:AB103" si="31">AVERAGE(S101,U101,W101,Y101,Q101)</f>
        <v>3.4</v>
      </c>
      <c r="AC101" s="616">
        <f t="shared" ref="AC101:AC103" si="32">AVERAGE(T101,V101,X101,Z101,R101)</f>
        <v>1.7</v>
      </c>
    </row>
    <row r="102" spans="1:32" ht="12" x14ac:dyDescent="0.2">
      <c r="A102" s="506"/>
      <c r="B102" s="282" t="s">
        <v>100</v>
      </c>
      <c r="C102" s="509">
        <v>1</v>
      </c>
      <c r="D102" s="621">
        <v>0.5</v>
      </c>
      <c r="E102" s="622">
        <v>1</v>
      </c>
      <c r="F102" s="512">
        <v>0.5</v>
      </c>
      <c r="G102" s="622">
        <v>1</v>
      </c>
      <c r="H102" s="512">
        <v>0.5</v>
      </c>
      <c r="I102" s="622">
        <v>0</v>
      </c>
      <c r="J102" s="512">
        <v>0</v>
      </c>
      <c r="K102" s="509">
        <v>0</v>
      </c>
      <c r="L102" s="512">
        <v>0</v>
      </c>
      <c r="M102" s="513">
        <v>0</v>
      </c>
      <c r="N102" s="640">
        <v>0</v>
      </c>
      <c r="O102" s="513">
        <v>0</v>
      </c>
      <c r="P102" s="640">
        <v>0</v>
      </c>
      <c r="Q102" s="513">
        <v>0</v>
      </c>
      <c r="R102" s="720">
        <v>0</v>
      </c>
      <c r="S102" s="513">
        <v>0</v>
      </c>
      <c r="T102" s="720">
        <v>0</v>
      </c>
      <c r="U102" s="513">
        <v>0</v>
      </c>
      <c r="V102" s="720">
        <v>0</v>
      </c>
      <c r="W102" s="513">
        <v>0</v>
      </c>
      <c r="X102" s="720">
        <v>0</v>
      </c>
      <c r="Y102" s="513">
        <v>1</v>
      </c>
      <c r="Z102" s="720">
        <v>0.5</v>
      </c>
      <c r="AA102" s="506"/>
      <c r="AB102" s="615">
        <f t="shared" si="31"/>
        <v>0.2</v>
      </c>
      <c r="AC102" s="616">
        <f t="shared" si="32"/>
        <v>0.1</v>
      </c>
    </row>
    <row r="103" spans="1:32" thickBot="1" x14ac:dyDescent="0.25">
      <c r="A103" s="506"/>
      <c r="B103" s="290" t="s">
        <v>101</v>
      </c>
      <c r="C103" s="514">
        <v>0</v>
      </c>
      <c r="D103" s="623">
        <v>0</v>
      </c>
      <c r="E103" s="624">
        <v>0</v>
      </c>
      <c r="F103" s="515">
        <v>0</v>
      </c>
      <c r="G103" s="624">
        <v>0</v>
      </c>
      <c r="H103" s="515">
        <v>0</v>
      </c>
      <c r="I103" s="624">
        <v>0</v>
      </c>
      <c r="J103" s="515">
        <v>0</v>
      </c>
      <c r="K103" s="514">
        <v>0</v>
      </c>
      <c r="L103" s="515">
        <v>0</v>
      </c>
      <c r="M103" s="516">
        <v>0</v>
      </c>
      <c r="N103" s="641">
        <v>0</v>
      </c>
      <c r="O103" s="516">
        <v>0</v>
      </c>
      <c r="P103" s="641">
        <v>0</v>
      </c>
      <c r="Q103" s="516">
        <v>0</v>
      </c>
      <c r="R103" s="721">
        <v>0</v>
      </c>
      <c r="S103" s="516">
        <v>0</v>
      </c>
      <c r="T103" s="721">
        <v>0</v>
      </c>
      <c r="U103" s="516">
        <v>0</v>
      </c>
      <c r="V103" s="721">
        <v>0</v>
      </c>
      <c r="W103" s="516">
        <v>0</v>
      </c>
      <c r="X103" s="721">
        <v>0</v>
      </c>
      <c r="Y103" s="516">
        <v>0</v>
      </c>
      <c r="Z103" s="721">
        <v>0</v>
      </c>
      <c r="AA103" s="506"/>
      <c r="AB103" s="617">
        <f t="shared" si="31"/>
        <v>0</v>
      </c>
      <c r="AC103" s="618">
        <f t="shared" si="32"/>
        <v>0</v>
      </c>
      <c r="AF103" s="26"/>
    </row>
    <row r="104" spans="1:32" thickTop="1" x14ac:dyDescent="0.2">
      <c r="C104" s="1"/>
      <c r="D104" s="1"/>
      <c r="E104" s="1"/>
      <c r="F104" s="1"/>
      <c r="G104" s="215"/>
      <c r="H104" s="215"/>
      <c r="I104" s="215"/>
      <c r="J104" s="215"/>
      <c r="U104" s="215"/>
      <c r="V104" s="215"/>
      <c r="W104" s="215"/>
      <c r="X104" s="215"/>
      <c r="Y104" s="215"/>
      <c r="Z104" s="215"/>
    </row>
    <row r="105" spans="1:32" ht="12" x14ac:dyDescent="0.2">
      <c r="C105" s="1"/>
      <c r="D105" s="1"/>
      <c r="E105" s="1"/>
      <c r="F105" s="1"/>
      <c r="G105" s="215"/>
      <c r="H105" s="215"/>
      <c r="I105" s="215"/>
      <c r="J105" s="215"/>
    </row>
    <row r="106" spans="1:32" ht="12" x14ac:dyDescent="0.2">
      <c r="C106" s="1"/>
      <c r="D106" s="1"/>
      <c r="E106" s="1"/>
      <c r="F106" s="1"/>
      <c r="G106" s="215"/>
      <c r="H106" s="215"/>
      <c r="I106" s="215"/>
      <c r="J106" s="215"/>
    </row>
    <row r="107" spans="1:32" ht="12" x14ac:dyDescent="0.2">
      <c r="C107" s="1"/>
      <c r="D107" s="1"/>
      <c r="E107" s="1"/>
      <c r="F107" s="1"/>
      <c r="G107" s="215"/>
      <c r="H107" s="215"/>
      <c r="I107" s="215"/>
      <c r="J107" s="215"/>
    </row>
    <row r="108" spans="1:32" ht="12" x14ac:dyDescent="0.2">
      <c r="C108" s="1"/>
      <c r="D108" s="1"/>
      <c r="E108" s="1"/>
      <c r="F108" s="1"/>
      <c r="G108" s="215"/>
      <c r="H108" s="215"/>
      <c r="I108" s="215"/>
      <c r="J108" s="215"/>
    </row>
    <row r="109" spans="1:32" ht="12" x14ac:dyDescent="0.2">
      <c r="C109" s="1"/>
      <c r="D109" s="1"/>
      <c r="E109" s="1"/>
      <c r="F109" s="1"/>
      <c r="G109" s="215"/>
      <c r="H109" s="215"/>
      <c r="I109" s="215"/>
      <c r="J109" s="215"/>
    </row>
    <row r="110" spans="1:32" ht="12" x14ac:dyDescent="0.2">
      <c r="C110" s="1"/>
      <c r="D110" s="1"/>
      <c r="E110" s="1"/>
      <c r="F110" s="1"/>
      <c r="G110" s="215"/>
      <c r="H110" s="215"/>
      <c r="I110" s="215"/>
      <c r="J110" s="215"/>
    </row>
    <row r="111" spans="1:32" ht="12" x14ac:dyDescent="0.2">
      <c r="C111" s="1"/>
      <c r="D111" s="1"/>
      <c r="E111" s="1"/>
      <c r="F111" s="1"/>
      <c r="G111" s="215"/>
      <c r="H111" s="215"/>
      <c r="I111" s="215"/>
      <c r="J111" s="215"/>
    </row>
  </sheetData>
  <mergeCells count="94">
    <mergeCell ref="Y69:Z69"/>
    <mergeCell ref="Y99:Z99"/>
    <mergeCell ref="AB34:AC34"/>
    <mergeCell ref="Y7:Z7"/>
    <mergeCell ref="Y23:Z23"/>
    <mergeCell ref="Y31:Z31"/>
    <mergeCell ref="Y34:Z34"/>
    <mergeCell ref="Y38:Z38"/>
    <mergeCell ref="AB99:AC99"/>
    <mergeCell ref="AB7:AC7"/>
    <mergeCell ref="AB23:AC23"/>
    <mergeCell ref="AB38:AC38"/>
    <mergeCell ref="AB69:AC69"/>
    <mergeCell ref="U99:V99"/>
    <mergeCell ref="U7:V7"/>
    <mergeCell ref="U23:V23"/>
    <mergeCell ref="U31:V31"/>
    <mergeCell ref="U34:V34"/>
    <mergeCell ref="U38:V38"/>
    <mergeCell ref="U69:V69"/>
    <mergeCell ref="Q99:R99"/>
    <mergeCell ref="Q7:R7"/>
    <mergeCell ref="Q23:R23"/>
    <mergeCell ref="Q31:R31"/>
    <mergeCell ref="Q34:R34"/>
    <mergeCell ref="Q38:R38"/>
    <mergeCell ref="Q69:R69"/>
    <mergeCell ref="O38:P38"/>
    <mergeCell ref="O69:P69"/>
    <mergeCell ref="O99:P99"/>
    <mergeCell ref="O7:P7"/>
    <mergeCell ref="O23:P23"/>
    <mergeCell ref="O31:P31"/>
    <mergeCell ref="O34:P34"/>
    <mergeCell ref="K7:L7"/>
    <mergeCell ref="K23:L23"/>
    <mergeCell ref="K38:L38"/>
    <mergeCell ref="K69:L69"/>
    <mergeCell ref="K99:L99"/>
    <mergeCell ref="K34:L34"/>
    <mergeCell ref="K31:L31"/>
    <mergeCell ref="C23:D23"/>
    <mergeCell ref="E23:F23"/>
    <mergeCell ref="E69:F69"/>
    <mergeCell ref="C69:D69"/>
    <mergeCell ref="G23:H23"/>
    <mergeCell ref="C31:D31"/>
    <mergeCell ref="E31:F31"/>
    <mergeCell ref="G31:H31"/>
    <mergeCell ref="G33:H33"/>
    <mergeCell ref="E34:F34"/>
    <mergeCell ref="G34:H34"/>
    <mergeCell ref="I23:J23"/>
    <mergeCell ref="I38:J38"/>
    <mergeCell ref="I31:J31"/>
    <mergeCell ref="I33:J33"/>
    <mergeCell ref="I34:J34"/>
    <mergeCell ref="C99:D99"/>
    <mergeCell ref="E99:F99"/>
    <mergeCell ref="G99:H99"/>
    <mergeCell ref="I99:J99"/>
    <mergeCell ref="C32:D32"/>
    <mergeCell ref="E32:F32"/>
    <mergeCell ref="G32:H32"/>
    <mergeCell ref="I32:J32"/>
    <mergeCell ref="C34:D34"/>
    <mergeCell ref="G38:H38"/>
    <mergeCell ref="G69:H69"/>
    <mergeCell ref="I69:J69"/>
    <mergeCell ref="C38:D38"/>
    <mergeCell ref="E38:F38"/>
    <mergeCell ref="C33:D33"/>
    <mergeCell ref="E33:F33"/>
    <mergeCell ref="S99:T99"/>
    <mergeCell ref="S7:T7"/>
    <mergeCell ref="S23:T23"/>
    <mergeCell ref="S31:T31"/>
    <mergeCell ref="S34:T34"/>
    <mergeCell ref="S38:T38"/>
    <mergeCell ref="S69:T69"/>
    <mergeCell ref="M99:N99"/>
    <mergeCell ref="M7:N7"/>
    <mergeCell ref="M23:N23"/>
    <mergeCell ref="M38:N38"/>
    <mergeCell ref="M69:N69"/>
    <mergeCell ref="M31:N31"/>
    <mergeCell ref="M34:N34"/>
    <mergeCell ref="W99:X99"/>
    <mergeCell ref="W7:X7"/>
    <mergeCell ref="W23:X23"/>
    <mergeCell ref="W31:X31"/>
    <mergeCell ref="W34:X34"/>
    <mergeCell ref="W38:X38"/>
    <mergeCell ref="W69:X69"/>
  </mergeCells>
  <phoneticPr fontId="0" type="noConversion"/>
  <printOptions horizontalCentered="1"/>
  <pageMargins left="0.5" right="0.5" top="0.25" bottom="0.25" header="0.5" footer="0.5"/>
  <pageSetup scale="67" orientation="landscape" r:id="rId1"/>
  <headerFooter alignWithMargins="0">
    <oddFooter>&amp;R&amp;P of &amp;N
&amp;D</oddFooter>
  </headerFooter>
  <rowBreaks count="1" manualBreakCount="1">
    <brk id="66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2"/>
  <sheetViews>
    <sheetView zoomScaleNormal="100" zoomScaleSheetLayoutView="85" workbookViewId="0">
      <pane xSplit="2" ySplit="1" topLeftCell="M62" activePane="bottomRight" state="frozen"/>
      <selection activeCell="Z47" sqref="Z47"/>
      <selection pane="topRight" activeCell="Z47" sqref="Z47"/>
      <selection pane="bottomLeft" activeCell="Z47" sqref="Z47"/>
      <selection pane="bottomRight" activeCell="Z47" sqref="Z47"/>
    </sheetView>
  </sheetViews>
  <sheetFormatPr defaultColWidth="10.28515625" defaultRowHeight="12.75" x14ac:dyDescent="0.2"/>
  <cols>
    <col min="1" max="1" width="3.7109375" style="1" customWidth="1"/>
    <col min="2" max="2" width="27" style="1" customWidth="1"/>
    <col min="3" max="3" width="7.7109375" hidden="1" customWidth="1"/>
    <col min="4" max="4" width="10.28515625" hidden="1" customWidth="1"/>
    <col min="5" max="5" width="7.7109375" hidden="1" customWidth="1"/>
    <col min="6" max="6" width="10.28515625" hidden="1" customWidth="1"/>
    <col min="7" max="7" width="7.7109375" style="216" hidden="1" customWidth="1"/>
    <col min="8" max="8" width="10.28515625" style="216" hidden="1" customWidth="1"/>
    <col min="9" max="9" width="7.7109375" style="216" hidden="1" customWidth="1"/>
    <col min="10" max="10" width="10.42578125" style="216" hidden="1" customWidth="1"/>
    <col min="11" max="11" width="7.7109375" style="1" hidden="1" customWidth="1"/>
    <col min="12" max="12" width="10.28515625" style="1" hidden="1" customWidth="1"/>
    <col min="13" max="13" width="7.7109375" style="1" hidden="1" customWidth="1"/>
    <col min="14" max="14" width="11" style="1" hidden="1" customWidth="1"/>
    <col min="15" max="15" width="7.7109375" style="1" customWidth="1"/>
    <col min="16" max="16" width="11" style="1" customWidth="1"/>
    <col min="17" max="17" width="7.7109375" style="1" customWidth="1"/>
    <col min="18" max="18" width="11" style="1" customWidth="1"/>
    <col min="19" max="19" width="7.7109375" style="1" customWidth="1"/>
    <col min="20" max="20" width="11" style="1" customWidth="1"/>
    <col min="21" max="21" width="7.7109375" style="1" customWidth="1"/>
    <col min="22" max="22" width="11" style="1" customWidth="1"/>
    <col min="23" max="23" width="7.7109375" style="1" customWidth="1"/>
    <col min="24" max="24" width="11" style="1" customWidth="1"/>
    <col min="25" max="25" width="7.7109375" style="1" customWidth="1"/>
    <col min="26" max="26" width="11" style="1" customWidth="1"/>
    <col min="27" max="27" width="4" style="1" customWidth="1"/>
    <col min="28" max="28" width="7.7109375" style="1" customWidth="1"/>
    <col min="29" max="29" width="10.28515625" style="1" customWidth="1"/>
    <col min="30" max="30" width="3.140625" style="1" customWidth="1"/>
    <col min="31" max="16384" width="10.28515625" style="1"/>
  </cols>
  <sheetData>
    <row r="1" spans="1:29" ht="18" x14ac:dyDescent="0.25">
      <c r="A1" s="533" t="str">
        <f>Dean_VM!A1</f>
        <v>Department Profile Report - FY 2015</v>
      </c>
      <c r="B1" s="533"/>
      <c r="C1" s="533"/>
      <c r="D1" s="533"/>
      <c r="E1" s="533"/>
      <c r="F1" s="533"/>
      <c r="G1" s="533"/>
      <c r="H1" s="533"/>
      <c r="I1" s="629"/>
      <c r="J1" s="629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</row>
    <row r="2" spans="1:29" ht="12" x14ac:dyDescent="0.2">
      <c r="C2" s="1"/>
      <c r="D2" s="1"/>
      <c r="E2" s="1"/>
      <c r="F2" s="1"/>
      <c r="G2" s="215"/>
      <c r="H2" s="215"/>
      <c r="I2" s="215"/>
      <c r="J2" s="215"/>
    </row>
    <row r="3" spans="1:29" x14ac:dyDescent="0.2">
      <c r="A3" s="3" t="s">
        <v>0</v>
      </c>
      <c r="C3" s="1"/>
      <c r="D3" s="1"/>
      <c r="E3" s="1"/>
      <c r="F3" s="1"/>
      <c r="G3" s="215"/>
      <c r="H3" s="215"/>
      <c r="I3" s="215"/>
      <c r="J3" s="215"/>
    </row>
    <row r="4" spans="1:29" ht="12" x14ac:dyDescent="0.2">
      <c r="C4" s="1"/>
      <c r="D4" s="1"/>
      <c r="E4" s="1"/>
      <c r="F4" s="1"/>
      <c r="G4" s="215"/>
      <c r="H4" s="215"/>
      <c r="I4" s="215"/>
      <c r="J4" s="215"/>
    </row>
    <row r="5" spans="1:29" x14ac:dyDescent="0.2">
      <c r="A5" s="3" t="s">
        <v>41</v>
      </c>
      <c r="C5" s="1"/>
      <c r="D5" s="1"/>
      <c r="E5" s="1"/>
      <c r="F5" s="1"/>
      <c r="G5" s="215"/>
      <c r="H5" s="215"/>
      <c r="I5" s="215"/>
      <c r="J5" s="215"/>
    </row>
    <row r="6" spans="1:29" thickBot="1" x14ac:dyDescent="0.25">
      <c r="A6" s="2"/>
      <c r="C6" s="1"/>
      <c r="D6" s="1"/>
      <c r="E6" s="1"/>
      <c r="F6" s="1"/>
      <c r="G6" s="215"/>
      <c r="H6" s="215"/>
      <c r="I6" s="215"/>
      <c r="J6" s="215"/>
    </row>
    <row r="7" spans="1:29" ht="13.5" customHeight="1" thickTop="1" thickBot="1" x14ac:dyDescent="0.25">
      <c r="B7" s="48"/>
      <c r="C7" s="10" t="s">
        <v>24</v>
      </c>
      <c r="D7" s="28"/>
      <c r="E7" s="10" t="s">
        <v>25</v>
      </c>
      <c r="F7" s="8"/>
      <c r="G7" s="251" t="s">
        <v>76</v>
      </c>
      <c r="H7" s="368"/>
      <c r="I7" s="251" t="s">
        <v>86</v>
      </c>
      <c r="J7" s="368"/>
      <c r="K7" s="799" t="s">
        <v>87</v>
      </c>
      <c r="L7" s="790"/>
      <c r="M7" s="799" t="s">
        <v>90</v>
      </c>
      <c r="N7" s="791"/>
      <c r="O7" s="790" t="s">
        <v>113</v>
      </c>
      <c r="P7" s="791"/>
      <c r="Q7" s="790" t="s">
        <v>118</v>
      </c>
      <c r="R7" s="791"/>
      <c r="S7" s="790" t="s">
        <v>131</v>
      </c>
      <c r="T7" s="791"/>
      <c r="U7" s="790" t="s">
        <v>139</v>
      </c>
      <c r="V7" s="791"/>
      <c r="W7" s="790" t="s">
        <v>141</v>
      </c>
      <c r="X7" s="791"/>
      <c r="Y7" s="790" t="s">
        <v>143</v>
      </c>
      <c r="Z7" s="791"/>
      <c r="AB7" s="823" t="s">
        <v>105</v>
      </c>
      <c r="AC7" s="824"/>
    </row>
    <row r="8" spans="1:29" ht="12" x14ac:dyDescent="0.2">
      <c r="B8" s="49"/>
      <c r="C8" s="19" t="s">
        <v>1</v>
      </c>
      <c r="D8" s="29" t="s">
        <v>2</v>
      </c>
      <c r="E8" s="19" t="s">
        <v>1</v>
      </c>
      <c r="F8" s="21" t="s">
        <v>2</v>
      </c>
      <c r="G8" s="252" t="s">
        <v>1</v>
      </c>
      <c r="H8" s="333" t="s">
        <v>2</v>
      </c>
      <c r="I8" s="225" t="s">
        <v>1</v>
      </c>
      <c r="J8" s="382" t="s">
        <v>2</v>
      </c>
      <c r="K8" s="252" t="s">
        <v>1</v>
      </c>
      <c r="L8" s="382" t="s">
        <v>2</v>
      </c>
      <c r="M8" s="252" t="s">
        <v>1</v>
      </c>
      <c r="N8" s="333" t="s">
        <v>2</v>
      </c>
      <c r="O8" s="225" t="s">
        <v>1</v>
      </c>
      <c r="P8" s="333" t="s">
        <v>2</v>
      </c>
      <c r="Q8" s="225" t="s">
        <v>1</v>
      </c>
      <c r="R8" s="333" t="s">
        <v>2</v>
      </c>
      <c r="S8" s="225" t="s">
        <v>1</v>
      </c>
      <c r="T8" s="333" t="s">
        <v>2</v>
      </c>
      <c r="U8" s="225" t="s">
        <v>1</v>
      </c>
      <c r="V8" s="333" t="s">
        <v>2</v>
      </c>
      <c r="W8" s="225" t="s">
        <v>1</v>
      </c>
      <c r="X8" s="333" t="s">
        <v>2</v>
      </c>
      <c r="Y8" s="225" t="s">
        <v>1</v>
      </c>
      <c r="Z8" s="333" t="s">
        <v>2</v>
      </c>
      <c r="AB8" s="545" t="s">
        <v>106</v>
      </c>
      <c r="AC8" s="546" t="s">
        <v>107</v>
      </c>
    </row>
    <row r="9" spans="1:29" thickBot="1" x14ac:dyDescent="0.25">
      <c r="B9" s="50"/>
      <c r="C9" s="22" t="s">
        <v>3</v>
      </c>
      <c r="D9" s="30" t="s">
        <v>4</v>
      </c>
      <c r="E9" s="22" t="s">
        <v>3</v>
      </c>
      <c r="F9" s="23" t="s">
        <v>4</v>
      </c>
      <c r="G9" s="256" t="s">
        <v>3</v>
      </c>
      <c r="H9" s="334" t="s">
        <v>4</v>
      </c>
      <c r="I9" s="226" t="s">
        <v>3</v>
      </c>
      <c r="J9" s="383" t="s">
        <v>4</v>
      </c>
      <c r="K9" s="256" t="s">
        <v>3</v>
      </c>
      <c r="L9" s="383" t="s">
        <v>4</v>
      </c>
      <c r="M9" s="256" t="s">
        <v>3</v>
      </c>
      <c r="N9" s="334" t="s">
        <v>4</v>
      </c>
      <c r="O9" s="226" t="s">
        <v>3</v>
      </c>
      <c r="P9" s="334" t="s">
        <v>4</v>
      </c>
      <c r="Q9" s="226" t="s">
        <v>3</v>
      </c>
      <c r="R9" s="334" t="s">
        <v>4</v>
      </c>
      <c r="S9" s="226" t="s">
        <v>3</v>
      </c>
      <c r="T9" s="334" t="s">
        <v>4</v>
      </c>
      <c r="U9" s="226" t="s">
        <v>3</v>
      </c>
      <c r="V9" s="334" t="s">
        <v>4</v>
      </c>
      <c r="W9" s="226" t="s">
        <v>3</v>
      </c>
      <c r="X9" s="334" t="s">
        <v>4</v>
      </c>
      <c r="Y9" s="226" t="s">
        <v>3</v>
      </c>
      <c r="Z9" s="334" t="s">
        <v>4</v>
      </c>
      <c r="AB9" s="547" t="s">
        <v>3</v>
      </c>
      <c r="AC9" s="548" t="s">
        <v>4</v>
      </c>
    </row>
    <row r="10" spans="1:29" ht="12" x14ac:dyDescent="0.2">
      <c r="B10" s="51" t="s">
        <v>5</v>
      </c>
      <c r="C10" s="14"/>
      <c r="D10" s="32"/>
      <c r="E10" s="14"/>
      <c r="F10" s="15"/>
      <c r="G10" s="255"/>
      <c r="H10" s="348"/>
      <c r="I10" s="227"/>
      <c r="J10" s="384"/>
      <c r="K10" s="255"/>
      <c r="L10" s="384"/>
      <c r="M10" s="255"/>
      <c r="N10" s="348"/>
      <c r="O10" s="227"/>
      <c r="P10" s="348"/>
      <c r="Q10" s="227"/>
      <c r="R10" s="348"/>
      <c r="S10" s="227"/>
      <c r="T10" s="348"/>
      <c r="U10" s="227"/>
      <c r="V10" s="348"/>
      <c r="W10" s="227"/>
      <c r="X10" s="348"/>
      <c r="Y10" s="227"/>
      <c r="Z10" s="348"/>
      <c r="AB10" s="549"/>
      <c r="AC10" s="550"/>
    </row>
    <row r="11" spans="1:29" ht="12" x14ac:dyDescent="0.2">
      <c r="B11" s="52" t="s">
        <v>124</v>
      </c>
      <c r="C11" s="11"/>
      <c r="D11" s="34"/>
      <c r="E11" s="11"/>
      <c r="F11" s="9"/>
      <c r="G11" s="253"/>
      <c r="H11" s="349"/>
      <c r="I11" s="72"/>
      <c r="J11" s="385"/>
      <c r="K11" s="253"/>
      <c r="L11" s="385"/>
      <c r="M11" s="253"/>
      <c r="N11" s="349"/>
      <c r="O11" s="72"/>
      <c r="P11" s="349"/>
      <c r="Q11" s="72"/>
      <c r="R11" s="349"/>
      <c r="S11" s="72"/>
      <c r="T11" s="349"/>
      <c r="U11" s="72"/>
      <c r="V11" s="349"/>
      <c r="W11" s="72"/>
      <c r="X11" s="349"/>
      <c r="Y11" s="72"/>
      <c r="Z11" s="349"/>
      <c r="AA11" s="506"/>
      <c r="AC11" s="583"/>
    </row>
    <row r="12" spans="1:29" ht="12" hidden="1" x14ac:dyDescent="0.2">
      <c r="B12" s="57" t="s">
        <v>6</v>
      </c>
      <c r="C12" s="72">
        <v>3</v>
      </c>
      <c r="D12" s="475">
        <v>0</v>
      </c>
      <c r="E12" s="476">
        <v>2</v>
      </c>
      <c r="F12" s="477">
        <v>0</v>
      </c>
      <c r="G12" s="484">
        <v>5</v>
      </c>
      <c r="H12" s="478">
        <v>1</v>
      </c>
      <c r="I12" s="699"/>
      <c r="J12" s="700"/>
      <c r="K12" s="701"/>
      <c r="L12" s="702"/>
      <c r="M12" s="701"/>
      <c r="N12" s="681"/>
      <c r="O12" s="699"/>
      <c r="P12" s="681"/>
      <c r="Q12" s="699"/>
      <c r="R12" s="681"/>
      <c r="S12" s="699"/>
      <c r="T12" s="681"/>
      <c r="U12" s="699"/>
      <c r="V12" s="681"/>
      <c r="W12" s="699"/>
      <c r="X12" s="681"/>
      <c r="Y12" s="699"/>
      <c r="Z12" s="681"/>
      <c r="AA12" s="506"/>
      <c r="AB12" s="551">
        <f>AVERAGE(M12,K12,I12,G12,O12)</f>
        <v>5</v>
      </c>
      <c r="AC12" s="553">
        <f>AVERAGE(L12,J12,H12,F12,N12)</f>
        <v>0.5</v>
      </c>
    </row>
    <row r="13" spans="1:29" ht="12" x14ac:dyDescent="0.2">
      <c r="B13" s="102" t="s">
        <v>7</v>
      </c>
      <c r="C13" s="105">
        <v>20</v>
      </c>
      <c r="D13" s="479">
        <v>2</v>
      </c>
      <c r="E13" s="480">
        <v>19</v>
      </c>
      <c r="F13" s="481">
        <v>2</v>
      </c>
      <c r="G13" s="484">
        <v>18</v>
      </c>
      <c r="H13" s="482">
        <v>5</v>
      </c>
      <c r="I13" s="485">
        <v>16</v>
      </c>
      <c r="J13" s="483">
        <v>4</v>
      </c>
      <c r="K13" s="486">
        <v>13</v>
      </c>
      <c r="L13" s="449">
        <v>4</v>
      </c>
      <c r="M13" s="486">
        <v>13</v>
      </c>
      <c r="N13" s="448">
        <v>3</v>
      </c>
      <c r="O13" s="485">
        <v>12</v>
      </c>
      <c r="P13" s="448">
        <v>0</v>
      </c>
      <c r="Q13" s="485">
        <v>12</v>
      </c>
      <c r="R13" s="448">
        <v>0</v>
      </c>
      <c r="S13" s="485">
        <v>14</v>
      </c>
      <c r="T13" s="448">
        <v>0</v>
      </c>
      <c r="U13" s="485">
        <v>15</v>
      </c>
      <c r="V13" s="448">
        <v>2</v>
      </c>
      <c r="W13" s="485">
        <v>13</v>
      </c>
      <c r="X13" s="448">
        <v>6</v>
      </c>
      <c r="Y13" s="485">
        <v>7</v>
      </c>
      <c r="Z13" s="772"/>
      <c r="AA13" s="506"/>
      <c r="AB13" s="551">
        <f>AVERAGE(W13,U13,S13,Q13,Y13)</f>
        <v>12.2</v>
      </c>
      <c r="AC13" s="553">
        <f>AVERAGE(X13,V13,T13,R13,Z13)</f>
        <v>2</v>
      </c>
    </row>
    <row r="14" spans="1:29" thickBot="1" x14ac:dyDescent="0.25">
      <c r="B14" s="280" t="s">
        <v>130</v>
      </c>
      <c r="C14" s="114"/>
      <c r="D14" s="68"/>
      <c r="E14" s="12"/>
      <c r="F14" s="250"/>
      <c r="G14" s="254">
        <v>0</v>
      </c>
      <c r="H14" s="376">
        <v>1</v>
      </c>
      <c r="I14" s="375">
        <v>0</v>
      </c>
      <c r="J14" s="386">
        <v>1</v>
      </c>
      <c r="K14" s="246">
        <v>0</v>
      </c>
      <c r="L14" s="386">
        <v>0</v>
      </c>
      <c r="M14" s="246">
        <v>0</v>
      </c>
      <c r="N14" s="376">
        <v>0</v>
      </c>
      <c r="O14" s="375">
        <v>1</v>
      </c>
      <c r="P14" s="376">
        <v>0</v>
      </c>
      <c r="Q14" s="375">
        <v>1</v>
      </c>
      <c r="R14" s="376">
        <v>0</v>
      </c>
      <c r="S14" s="762"/>
      <c r="T14" s="763"/>
      <c r="U14" s="762"/>
      <c r="V14" s="763"/>
      <c r="W14" s="762"/>
      <c r="X14" s="763"/>
      <c r="Y14" s="762"/>
      <c r="Z14" s="763"/>
      <c r="AB14" s="544"/>
      <c r="AC14" s="643"/>
    </row>
    <row r="15" spans="1:29" thickTop="1" x14ac:dyDescent="0.2">
      <c r="B15" s="67" t="s">
        <v>85</v>
      </c>
      <c r="C15" s="26"/>
      <c r="D15" s="27"/>
      <c r="E15" s="26"/>
      <c r="F15" s="27"/>
      <c r="G15" s="228"/>
      <c r="H15" s="233"/>
      <c r="I15" s="228"/>
      <c r="J15" s="233"/>
      <c r="K15" s="228"/>
      <c r="L15" s="233"/>
      <c r="M15" s="495"/>
      <c r="N15" s="233"/>
      <c r="O15" s="495"/>
      <c r="P15" s="233"/>
      <c r="Q15" s="495"/>
      <c r="R15" s="233"/>
      <c r="S15" s="495"/>
      <c r="T15" s="233"/>
      <c r="U15" s="495"/>
      <c r="V15" s="233"/>
      <c r="W15" s="495"/>
      <c r="X15" s="233"/>
      <c r="Y15" s="495"/>
      <c r="Z15" s="233"/>
      <c r="AC15" s="574"/>
    </row>
    <row r="16" spans="1:29" thickBot="1" x14ac:dyDescent="0.25">
      <c r="C16" s="1"/>
      <c r="D16" s="1"/>
      <c r="E16" s="1"/>
      <c r="F16" s="1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</row>
    <row r="17" spans="1:32" ht="13.5" thickTop="1" thickBot="1" x14ac:dyDescent="0.25">
      <c r="B17" s="281"/>
      <c r="C17" s="811" t="s">
        <v>24</v>
      </c>
      <c r="D17" s="812"/>
      <c r="E17" s="813" t="s">
        <v>25</v>
      </c>
      <c r="F17" s="813"/>
      <c r="G17" s="798" t="s">
        <v>76</v>
      </c>
      <c r="H17" s="792"/>
      <c r="I17" s="798" t="s">
        <v>86</v>
      </c>
      <c r="J17" s="792"/>
      <c r="K17" s="798" t="s">
        <v>87</v>
      </c>
      <c r="L17" s="792"/>
      <c r="M17" s="798" t="s">
        <v>90</v>
      </c>
      <c r="N17" s="793"/>
      <c r="O17" s="792" t="s">
        <v>113</v>
      </c>
      <c r="P17" s="793"/>
      <c r="Q17" s="792" t="s">
        <v>118</v>
      </c>
      <c r="R17" s="793"/>
      <c r="S17" s="792" t="s">
        <v>131</v>
      </c>
      <c r="T17" s="793"/>
      <c r="U17" s="792" t="s">
        <v>139</v>
      </c>
      <c r="V17" s="793"/>
      <c r="W17" s="792" t="s">
        <v>141</v>
      </c>
      <c r="X17" s="793"/>
      <c r="Y17" s="792" t="s">
        <v>143</v>
      </c>
      <c r="Z17" s="793"/>
      <c r="AB17" s="825" t="s">
        <v>105</v>
      </c>
      <c r="AC17" s="826"/>
    </row>
    <row r="18" spans="1:32" ht="12" x14ac:dyDescent="0.2">
      <c r="B18" s="51" t="s">
        <v>8</v>
      </c>
      <c r="C18" s="127"/>
      <c r="D18" s="128"/>
      <c r="E18" s="7"/>
      <c r="F18" s="7"/>
      <c r="G18" s="299"/>
      <c r="H18" s="341"/>
      <c r="I18" s="234"/>
      <c r="J18" s="234"/>
      <c r="K18" s="299"/>
      <c r="L18" s="234"/>
      <c r="M18" s="299"/>
      <c r="N18" s="335"/>
      <c r="O18" s="234"/>
      <c r="P18" s="335"/>
      <c r="Q18" s="234"/>
      <c r="R18" s="335"/>
      <c r="S18" s="234"/>
      <c r="T18" s="335"/>
      <c r="U18" s="234"/>
      <c r="V18" s="335"/>
      <c r="W18" s="234"/>
      <c r="X18" s="335"/>
      <c r="Y18" s="234"/>
      <c r="Z18" s="335"/>
      <c r="AB18" s="555"/>
      <c r="AC18" s="556"/>
    </row>
    <row r="19" spans="1:32" ht="12" x14ac:dyDescent="0.2">
      <c r="B19" s="55" t="s">
        <v>9</v>
      </c>
      <c r="C19" s="129"/>
      <c r="D19" s="130"/>
      <c r="E19" s="4"/>
      <c r="F19" s="4"/>
      <c r="G19" s="258"/>
      <c r="H19" s="344"/>
      <c r="I19" s="235"/>
      <c r="J19" s="235"/>
      <c r="K19" s="258"/>
      <c r="L19" s="235"/>
      <c r="M19" s="258"/>
      <c r="N19" s="344"/>
      <c r="O19" s="235"/>
      <c r="P19" s="344"/>
      <c r="Q19" s="235"/>
      <c r="R19" s="344"/>
      <c r="S19" s="235"/>
      <c r="T19" s="344"/>
      <c r="U19" s="235"/>
      <c r="V19" s="344"/>
      <c r="W19" s="235"/>
      <c r="X19" s="344"/>
      <c r="Y19" s="235"/>
      <c r="Z19" s="344"/>
      <c r="AB19" s="555"/>
      <c r="AC19" s="556"/>
    </row>
    <row r="20" spans="1:32" ht="12" x14ac:dyDescent="0.2">
      <c r="B20" s="55" t="s">
        <v>10</v>
      </c>
      <c r="C20" s="129"/>
      <c r="D20" s="132"/>
      <c r="E20" s="4"/>
      <c r="F20" s="39"/>
      <c r="G20" s="258"/>
      <c r="H20" s="329"/>
      <c r="I20" s="235"/>
      <c r="J20" s="239"/>
      <c r="K20" s="258"/>
      <c r="L20" s="239"/>
      <c r="M20" s="258"/>
      <c r="N20" s="329"/>
      <c r="O20" s="235"/>
      <c r="P20" s="329"/>
      <c r="Q20" s="235"/>
      <c r="R20" s="329"/>
      <c r="S20" s="235"/>
      <c r="T20" s="329"/>
      <c r="U20" s="235"/>
      <c r="V20" s="329"/>
      <c r="W20" s="235"/>
      <c r="X20" s="329"/>
      <c r="Y20" s="235"/>
      <c r="Z20" s="329"/>
      <c r="AB20" s="557"/>
      <c r="AC20" s="558"/>
    </row>
    <row r="21" spans="1:32" ht="12" x14ac:dyDescent="0.2">
      <c r="B21" s="55" t="s">
        <v>11</v>
      </c>
      <c r="C21" s="129"/>
      <c r="D21" s="132"/>
      <c r="E21" s="4"/>
      <c r="F21" s="39"/>
      <c r="G21" s="258"/>
      <c r="H21" s="329"/>
      <c r="I21" s="235"/>
      <c r="J21" s="239"/>
      <c r="K21" s="258"/>
      <c r="L21" s="239"/>
      <c r="M21" s="258"/>
      <c r="N21" s="329"/>
      <c r="O21" s="235"/>
      <c r="P21" s="329"/>
      <c r="Q21" s="235"/>
      <c r="R21" s="329"/>
      <c r="S21" s="235"/>
      <c r="T21" s="329"/>
      <c r="U21" s="235"/>
      <c r="V21" s="329"/>
      <c r="W21" s="235"/>
      <c r="X21" s="329"/>
      <c r="Y21" s="235"/>
      <c r="Z21" s="329"/>
      <c r="AB21" s="559"/>
      <c r="AC21" s="13"/>
    </row>
    <row r="22" spans="1:32" ht="12" x14ac:dyDescent="0.2">
      <c r="B22" s="55" t="s">
        <v>12</v>
      </c>
      <c r="C22" s="129"/>
      <c r="D22" s="132">
        <v>4048</v>
      </c>
      <c r="E22" s="4"/>
      <c r="F22" s="125">
        <v>4066</v>
      </c>
      <c r="G22" s="258"/>
      <c r="H22" s="328">
        <v>4055</v>
      </c>
      <c r="I22" s="235"/>
      <c r="J22" s="248">
        <v>4067</v>
      </c>
      <c r="K22" s="258"/>
      <c r="L22" s="248">
        <v>4147</v>
      </c>
      <c r="M22" s="258"/>
      <c r="N22" s="328">
        <v>4261</v>
      </c>
      <c r="O22" s="235"/>
      <c r="P22" s="328">
        <v>4381</v>
      </c>
      <c r="Q22" s="235"/>
      <c r="R22" s="328">
        <v>4718</v>
      </c>
      <c r="S22" s="235"/>
      <c r="T22" s="328">
        <v>4435</v>
      </c>
      <c r="U22" s="235"/>
      <c r="V22" s="328">
        <v>4478</v>
      </c>
      <c r="W22" s="235"/>
      <c r="X22" s="328">
        <v>4381</v>
      </c>
      <c r="Y22" s="235"/>
      <c r="Z22" s="779"/>
      <c r="AB22" s="559"/>
      <c r="AC22" s="13">
        <f t="shared" ref="AC22:AC24" si="0">AVERAGE(X22,V22,T22,R22,Z22)</f>
        <v>4503</v>
      </c>
    </row>
    <row r="23" spans="1:32" ht="12" x14ac:dyDescent="0.2">
      <c r="B23" s="55" t="s">
        <v>13</v>
      </c>
      <c r="C23" s="129"/>
      <c r="D23" s="132">
        <v>175</v>
      </c>
      <c r="E23" s="4"/>
      <c r="F23" s="125">
        <v>190</v>
      </c>
      <c r="G23" s="258"/>
      <c r="H23" s="328">
        <v>120</v>
      </c>
      <c r="I23" s="235"/>
      <c r="J23" s="248">
        <v>151</v>
      </c>
      <c r="K23" s="258"/>
      <c r="L23" s="248">
        <v>134</v>
      </c>
      <c r="M23" s="258"/>
      <c r="N23" s="328">
        <v>93</v>
      </c>
      <c r="O23" s="235"/>
      <c r="P23" s="328">
        <v>107</v>
      </c>
      <c r="Q23" s="235"/>
      <c r="R23" s="328">
        <v>111</v>
      </c>
      <c r="S23" s="235"/>
      <c r="T23" s="328">
        <v>137</v>
      </c>
      <c r="U23" s="235"/>
      <c r="V23" s="328">
        <v>132</v>
      </c>
      <c r="W23" s="235"/>
      <c r="X23" s="328">
        <v>131</v>
      </c>
      <c r="Y23" s="235"/>
      <c r="Z23" s="779"/>
      <c r="AB23" s="559"/>
      <c r="AC23" s="13">
        <f t="shared" si="0"/>
        <v>127.75</v>
      </c>
    </row>
    <row r="24" spans="1:32" thickBot="1" x14ac:dyDescent="0.25">
      <c r="B24" s="56" t="s">
        <v>14</v>
      </c>
      <c r="C24" s="133"/>
      <c r="D24" s="180">
        <f>SUM(D22:D23)</f>
        <v>4223</v>
      </c>
      <c r="E24" s="60"/>
      <c r="F24" s="59">
        <f>SUM(F22:F23)</f>
        <v>4256</v>
      </c>
      <c r="G24" s="300"/>
      <c r="H24" s="330">
        <f>SUM(H22:H23)</f>
        <v>4175</v>
      </c>
      <c r="I24" s="367"/>
      <c r="J24" s="394">
        <f>SUM(J22:J23)</f>
        <v>4218</v>
      </c>
      <c r="K24" s="300"/>
      <c r="L24" s="394">
        <f>SUM(L22:L23)</f>
        <v>4281</v>
      </c>
      <c r="M24" s="300"/>
      <c r="N24" s="330">
        <v>4354</v>
      </c>
      <c r="O24" s="367"/>
      <c r="P24" s="330">
        <f>SUM(P20:P23)</f>
        <v>4488</v>
      </c>
      <c r="Q24" s="367"/>
      <c r="R24" s="330">
        <f>SUM(R20:R23)</f>
        <v>4829</v>
      </c>
      <c r="S24" s="367"/>
      <c r="T24" s="330">
        <f>SUM(T20:T23)</f>
        <v>4572</v>
      </c>
      <c r="U24" s="367"/>
      <c r="V24" s="330">
        <f>SUM(V20:V23)</f>
        <v>4610</v>
      </c>
      <c r="W24" s="367"/>
      <c r="X24" s="330">
        <f>SUM(X20:X23)</f>
        <v>4512</v>
      </c>
      <c r="Y24" s="367"/>
      <c r="Z24" s="780">
        <f>SUM(Z20:Z23)</f>
        <v>0</v>
      </c>
      <c r="AB24" s="559"/>
      <c r="AC24" s="413">
        <f t="shared" si="0"/>
        <v>3704.6</v>
      </c>
    </row>
    <row r="25" spans="1:32" ht="14.25" thickTop="1" thickBot="1" x14ac:dyDescent="0.25">
      <c r="A25" s="506"/>
      <c r="B25" s="532" t="s">
        <v>102</v>
      </c>
      <c r="C25" s="802" t="s">
        <v>93</v>
      </c>
      <c r="D25" s="820"/>
      <c r="E25" s="802" t="s">
        <v>94</v>
      </c>
      <c r="F25" s="820"/>
      <c r="G25" s="804" t="s">
        <v>95</v>
      </c>
      <c r="H25" s="795"/>
      <c r="I25" s="804" t="s">
        <v>96</v>
      </c>
      <c r="J25" s="818"/>
      <c r="K25" s="804" t="s">
        <v>97</v>
      </c>
      <c r="L25" s="818"/>
      <c r="M25" s="788" t="s">
        <v>98</v>
      </c>
      <c r="N25" s="795"/>
      <c r="O25" s="794" t="s">
        <v>114</v>
      </c>
      <c r="P25" s="795"/>
      <c r="Q25" s="794" t="s">
        <v>119</v>
      </c>
      <c r="R25" s="795"/>
      <c r="S25" s="794" t="s">
        <v>132</v>
      </c>
      <c r="T25" s="795"/>
      <c r="U25" s="794" t="s">
        <v>140</v>
      </c>
      <c r="V25" s="795"/>
      <c r="W25" s="794" t="s">
        <v>142</v>
      </c>
      <c r="X25" s="795"/>
      <c r="Y25" s="794" t="s">
        <v>144</v>
      </c>
      <c r="Z25" s="795"/>
      <c r="AA25" s="680"/>
      <c r="AB25" s="517"/>
      <c r="AC25" s="518"/>
      <c r="AD25" s="519"/>
      <c r="AE25" s="519"/>
      <c r="AF25" s="25"/>
    </row>
    <row r="26" spans="1:32" x14ac:dyDescent="0.2">
      <c r="A26" s="506"/>
      <c r="B26" s="520" t="s">
        <v>116</v>
      </c>
      <c r="C26" s="806">
        <v>0</v>
      </c>
      <c r="D26" s="807"/>
      <c r="E26" s="808">
        <v>0</v>
      </c>
      <c r="F26" s="809"/>
      <c r="G26" s="808">
        <v>2E-3</v>
      </c>
      <c r="H26" s="809"/>
      <c r="I26" s="808">
        <v>2.9000000000000001E-2</v>
      </c>
      <c r="J26" s="810"/>
      <c r="K26" s="521"/>
      <c r="L26" s="522">
        <v>2.4E-2</v>
      </c>
      <c r="M26" s="523"/>
      <c r="N26" s="632">
        <v>2.4E-2</v>
      </c>
      <c r="O26" s="630"/>
      <c r="P26" s="632">
        <v>1.9E-2</v>
      </c>
      <c r="Q26" s="711"/>
      <c r="R26" s="632">
        <v>1.7000000000000001E-2</v>
      </c>
      <c r="S26" s="711"/>
      <c r="T26" s="632">
        <v>0.11899999999999999</v>
      </c>
      <c r="U26" s="711"/>
      <c r="V26" s="632">
        <v>2.1000000000000001E-2</v>
      </c>
      <c r="W26" s="711"/>
      <c r="X26" s="632">
        <v>2.4E-2</v>
      </c>
      <c r="Y26" s="711"/>
      <c r="Z26" s="632">
        <v>1.2E-2</v>
      </c>
      <c r="AA26" s="683"/>
      <c r="AB26" s="524"/>
      <c r="AC26" s="525">
        <f>AVERAGE(X26,V26,T26,R26,Z26)</f>
        <v>3.8600000000000002E-2</v>
      </c>
      <c r="AD26" s="519"/>
      <c r="AE26" s="519"/>
      <c r="AF26" s="25"/>
    </row>
    <row r="27" spans="1:32" x14ac:dyDescent="0.2">
      <c r="A27" s="506"/>
      <c r="B27" s="526" t="s">
        <v>117</v>
      </c>
      <c r="C27" s="814">
        <v>0.98299999999999998</v>
      </c>
      <c r="D27" s="815"/>
      <c r="E27" s="816">
        <v>0.999</v>
      </c>
      <c r="F27" s="817"/>
      <c r="G27" s="816">
        <v>0.96</v>
      </c>
      <c r="H27" s="817"/>
      <c r="I27" s="816">
        <v>0.95899999999999996</v>
      </c>
      <c r="J27" s="819"/>
      <c r="K27" s="527"/>
      <c r="L27" s="528">
        <v>0.90700000000000003</v>
      </c>
      <c r="M27" s="527"/>
      <c r="N27" s="633">
        <v>0.95699999999999996</v>
      </c>
      <c r="O27" s="631"/>
      <c r="P27" s="633">
        <v>0.92300000000000004</v>
      </c>
      <c r="Q27" s="712"/>
      <c r="R27" s="633">
        <v>0.97299999999999998</v>
      </c>
      <c r="S27" s="712"/>
      <c r="T27" s="633">
        <v>0.81599999999999995</v>
      </c>
      <c r="U27" s="712"/>
      <c r="V27" s="633">
        <v>0.95899999999999996</v>
      </c>
      <c r="W27" s="712"/>
      <c r="X27" s="633">
        <v>0.96399999999999997</v>
      </c>
      <c r="Y27" s="712"/>
      <c r="Z27" s="633">
        <v>0.96899999999999997</v>
      </c>
      <c r="AA27" s="683"/>
      <c r="AB27" s="524"/>
      <c r="AC27" s="525">
        <f>AVERAGE(X27,V27,T27,R27,Z27)</f>
        <v>0.93620000000000003</v>
      </c>
      <c r="AD27" s="529"/>
      <c r="AE27" s="519"/>
      <c r="AF27" s="25"/>
    </row>
    <row r="28" spans="1:32" ht="13.5" customHeight="1" thickBot="1" x14ac:dyDescent="0.25">
      <c r="B28" s="530" t="s">
        <v>103</v>
      </c>
      <c r="C28" s="800">
        <f>1-SUM(C26:D27)</f>
        <v>1.7000000000000015E-2</v>
      </c>
      <c r="D28" s="801"/>
      <c r="E28" s="800">
        <f>1-SUM(E26:F27)</f>
        <v>1.0000000000000009E-3</v>
      </c>
      <c r="F28" s="801"/>
      <c r="G28" s="800">
        <f>1-SUM(G26:H27)</f>
        <v>3.8000000000000034E-2</v>
      </c>
      <c r="H28" s="801"/>
      <c r="I28" s="800">
        <f>1-SUM(I26:J27)</f>
        <v>1.2000000000000011E-2</v>
      </c>
      <c r="J28" s="801"/>
      <c r="K28" s="800">
        <f>1-SUM(K26:L27)</f>
        <v>6.899999999999995E-2</v>
      </c>
      <c r="L28" s="801"/>
      <c r="M28" s="800">
        <f>1-SUM(M26:N27)</f>
        <v>1.9000000000000017E-2</v>
      </c>
      <c r="N28" s="801"/>
      <c r="O28" s="827">
        <f>1-SUM(O26:P27)</f>
        <v>5.799999999999994E-2</v>
      </c>
      <c r="P28" s="801"/>
      <c r="Q28" s="796">
        <f>1-R26-R27</f>
        <v>1.0000000000000009E-2</v>
      </c>
      <c r="R28" s="797"/>
      <c r="S28" s="796">
        <f>1-T26-T27</f>
        <v>6.5000000000000058E-2</v>
      </c>
      <c r="T28" s="797"/>
      <c r="U28" s="796">
        <f>1-V26-V27</f>
        <v>2.0000000000000018E-2</v>
      </c>
      <c r="V28" s="797"/>
      <c r="W28" s="796">
        <f>1-X26-X27</f>
        <v>1.2000000000000011E-2</v>
      </c>
      <c r="X28" s="797"/>
      <c r="Y28" s="796">
        <f>1-Z26-Z27</f>
        <v>1.9000000000000017E-2</v>
      </c>
      <c r="Z28" s="797"/>
      <c r="AA28" s="683"/>
      <c r="AB28" s="821">
        <f t="shared" ref="AB28:AC28" si="1">AVERAGE(W28,U28,S28,Q28,Y28)</f>
        <v>2.5200000000000021E-2</v>
      </c>
      <c r="AC28" s="822" t="e">
        <f t="shared" si="1"/>
        <v>#DIV/0!</v>
      </c>
      <c r="AD28" s="529"/>
      <c r="AE28" s="519"/>
      <c r="AF28" s="25"/>
    </row>
    <row r="29" spans="1:32" thickTop="1" x14ac:dyDescent="0.2">
      <c r="B29" s="90"/>
      <c r="C29" s="91"/>
      <c r="D29" s="92"/>
      <c r="E29" s="91"/>
      <c r="F29" s="92"/>
      <c r="G29" s="237"/>
      <c r="H29" s="238"/>
      <c r="I29" s="237"/>
      <c r="J29" s="238"/>
      <c r="K29" s="237"/>
      <c r="L29" s="238"/>
      <c r="M29" s="237"/>
      <c r="N29" s="238"/>
      <c r="O29" s="237"/>
      <c r="P29" s="238"/>
      <c r="Q29" s="237"/>
      <c r="R29" s="238"/>
      <c r="S29" s="237"/>
      <c r="T29" s="238"/>
      <c r="U29" s="237"/>
      <c r="V29" s="238"/>
      <c r="W29" s="237"/>
      <c r="X29" s="238"/>
      <c r="Y29" s="237"/>
      <c r="Z29" s="238"/>
    </row>
    <row r="30" spans="1:32" x14ac:dyDescent="0.2">
      <c r="A30" s="93" t="s">
        <v>32</v>
      </c>
      <c r="B30" s="5"/>
      <c r="C30" s="26"/>
      <c r="D30" s="26"/>
      <c r="E30" s="26"/>
      <c r="F30" s="26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</row>
    <row r="31" spans="1:32" ht="13.5" thickBot="1" x14ac:dyDescent="0.25">
      <c r="A31" s="93"/>
      <c r="B31" s="5"/>
      <c r="C31" s="26"/>
      <c r="D31" s="26"/>
      <c r="E31" s="26"/>
      <c r="F31" s="26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</row>
    <row r="32" spans="1:32" ht="14.25" thickTop="1" thickBot="1" x14ac:dyDescent="0.25">
      <c r="A32" s="3"/>
      <c r="B32" s="117" t="s">
        <v>33</v>
      </c>
      <c r="C32" s="811" t="s">
        <v>24</v>
      </c>
      <c r="D32" s="812"/>
      <c r="E32" s="813" t="s">
        <v>25</v>
      </c>
      <c r="F32" s="813"/>
      <c r="G32" s="798" t="s">
        <v>76</v>
      </c>
      <c r="H32" s="792"/>
      <c r="I32" s="798" t="s">
        <v>86</v>
      </c>
      <c r="J32" s="792"/>
      <c r="K32" s="798" t="s">
        <v>87</v>
      </c>
      <c r="L32" s="792"/>
      <c r="M32" s="798" t="s">
        <v>90</v>
      </c>
      <c r="N32" s="793"/>
      <c r="O32" s="792" t="s">
        <v>113</v>
      </c>
      <c r="P32" s="793"/>
      <c r="Q32" s="792" t="s">
        <v>118</v>
      </c>
      <c r="R32" s="793"/>
      <c r="S32" s="792" t="s">
        <v>131</v>
      </c>
      <c r="T32" s="793"/>
      <c r="U32" s="792" t="s">
        <v>139</v>
      </c>
      <c r="V32" s="793"/>
      <c r="W32" s="792" t="s">
        <v>141</v>
      </c>
      <c r="X32" s="793"/>
      <c r="Y32" s="792" t="s">
        <v>143</v>
      </c>
      <c r="Z32" s="793"/>
      <c r="AB32" s="823" t="s">
        <v>105</v>
      </c>
      <c r="AC32" s="824"/>
    </row>
    <row r="33" spans="1:29" x14ac:dyDescent="0.2">
      <c r="A33" s="3"/>
      <c r="B33" s="750" t="s">
        <v>34</v>
      </c>
      <c r="C33" s="129"/>
      <c r="D33" s="130"/>
      <c r="E33" s="4"/>
      <c r="F33" s="4"/>
      <c r="G33" s="258"/>
      <c r="H33" s="341"/>
      <c r="I33" s="235"/>
      <c r="J33" s="235"/>
      <c r="K33" s="258"/>
      <c r="L33" s="235"/>
      <c r="M33" s="258"/>
      <c r="N33" s="344"/>
      <c r="O33" s="235"/>
      <c r="P33" s="344"/>
      <c r="Q33" s="235"/>
      <c r="R33" s="344"/>
      <c r="S33" s="235"/>
      <c r="T33" s="344"/>
      <c r="U33" s="235"/>
      <c r="V33" s="344"/>
      <c r="W33" s="235"/>
      <c r="X33" s="344"/>
      <c r="Y33" s="235"/>
      <c r="Z33" s="344"/>
      <c r="AB33" s="560"/>
      <c r="AC33" s="506"/>
    </row>
    <row r="34" spans="1:29" x14ac:dyDescent="0.2">
      <c r="A34" s="3"/>
      <c r="B34" s="229" t="s">
        <v>35</v>
      </c>
      <c r="C34" s="127"/>
      <c r="D34" s="135"/>
      <c r="E34" s="7"/>
      <c r="F34" s="155"/>
      <c r="G34" s="299"/>
      <c r="H34" s="362"/>
      <c r="I34" s="234"/>
      <c r="J34" s="396"/>
      <c r="K34" s="299"/>
      <c r="L34" s="396"/>
      <c r="M34" s="299"/>
      <c r="N34" s="362"/>
      <c r="O34" s="234"/>
      <c r="P34" s="362"/>
      <c r="Q34" s="234"/>
      <c r="R34" s="362"/>
      <c r="S34" s="234"/>
      <c r="T34" s="362"/>
      <c r="U34" s="234"/>
      <c r="V34" s="362"/>
      <c r="W34" s="234"/>
      <c r="X34" s="362"/>
      <c r="Y34" s="234"/>
      <c r="Z34" s="362"/>
      <c r="AB34" s="211"/>
      <c r="AC34" s="558"/>
    </row>
    <row r="35" spans="1:29" x14ac:dyDescent="0.2">
      <c r="A35" s="3"/>
      <c r="B35" s="229" t="s">
        <v>120</v>
      </c>
      <c r="C35" s="127"/>
      <c r="D35" s="135"/>
      <c r="E35" s="7"/>
      <c r="F35" s="155"/>
      <c r="G35" s="299"/>
      <c r="H35" s="697"/>
      <c r="I35" s="234"/>
      <c r="J35" s="698"/>
      <c r="K35" s="299"/>
      <c r="L35" s="698"/>
      <c r="M35" s="299"/>
      <c r="N35" s="697"/>
      <c r="O35" s="234"/>
      <c r="P35" s="697"/>
      <c r="Q35" s="234"/>
      <c r="R35" s="697"/>
      <c r="S35" s="234"/>
      <c r="T35" s="697"/>
      <c r="U35" s="234"/>
      <c r="V35" s="697"/>
      <c r="W35" s="234"/>
      <c r="X35" s="697"/>
      <c r="Y35" s="234"/>
      <c r="Z35" s="697"/>
      <c r="AB35" s="211"/>
      <c r="AC35" s="558"/>
    </row>
    <row r="36" spans="1:29" ht="36" x14ac:dyDescent="0.2">
      <c r="A36" s="3"/>
      <c r="B36" s="230" t="s">
        <v>121</v>
      </c>
      <c r="C36" s="129"/>
      <c r="D36" s="136">
        <v>0</v>
      </c>
      <c r="E36" s="4"/>
      <c r="F36" s="156">
        <v>1901212</v>
      </c>
      <c r="G36" s="258"/>
      <c r="H36" s="363">
        <v>1900951</v>
      </c>
      <c r="I36" s="235"/>
      <c r="J36" s="389">
        <v>1903484</v>
      </c>
      <c r="K36" s="258"/>
      <c r="L36" s="389">
        <v>2006123</v>
      </c>
      <c r="M36" s="258"/>
      <c r="N36" s="363">
        <v>1976819</v>
      </c>
      <c r="O36" s="235"/>
      <c r="P36" s="363">
        <v>1946581</v>
      </c>
      <c r="Q36" s="235"/>
      <c r="R36" s="363">
        <v>1932762</v>
      </c>
      <c r="S36" s="235"/>
      <c r="T36" s="363">
        <v>1902650</v>
      </c>
      <c r="U36" s="235"/>
      <c r="V36" s="363">
        <v>1902272</v>
      </c>
      <c r="W36" s="235"/>
      <c r="X36" s="363">
        <v>1899615</v>
      </c>
      <c r="Y36" s="235"/>
      <c r="Z36" s="363">
        <v>1898686</v>
      </c>
      <c r="AB36" s="209"/>
      <c r="AC36" s="558">
        <f t="shared" ref="AC36:AC37" si="2">AVERAGE(X36,V36,T36,R36,Z36)</f>
        <v>1907197</v>
      </c>
    </row>
    <row r="37" spans="1:29" x14ac:dyDescent="0.2">
      <c r="A37" s="3"/>
      <c r="B37" s="231" t="s">
        <v>36</v>
      </c>
      <c r="C37" s="137"/>
      <c r="D37" s="138">
        <f>SUM(D34:D36)</f>
        <v>0</v>
      </c>
      <c r="E37" s="97"/>
      <c r="F37" s="157">
        <f>SUM(F34:F36)</f>
        <v>1901212</v>
      </c>
      <c r="G37" s="259"/>
      <c r="H37" s="364">
        <f>SUM(H36:H36)</f>
        <v>1900951</v>
      </c>
      <c r="I37" s="331"/>
      <c r="J37" s="391">
        <f>SUM(J36:J36)</f>
        <v>1903484</v>
      </c>
      <c r="K37" s="259"/>
      <c r="L37" s="391">
        <f>SUM(L36:L36)</f>
        <v>2006123</v>
      </c>
      <c r="M37" s="259"/>
      <c r="N37" s="364">
        <f>SUM(N36:N36)</f>
        <v>1976819</v>
      </c>
      <c r="O37" s="331"/>
      <c r="P37" s="364">
        <f>SUM(P36:P36)</f>
        <v>1946581</v>
      </c>
      <c r="Q37" s="331"/>
      <c r="R37" s="364">
        <f>SUM(R36:R36)</f>
        <v>1932762</v>
      </c>
      <c r="S37" s="331"/>
      <c r="T37" s="364">
        <f>SUM(T36:T36)</f>
        <v>1902650</v>
      </c>
      <c r="U37" s="331"/>
      <c r="V37" s="364">
        <f>SUM(V36:V36)</f>
        <v>1902272</v>
      </c>
      <c r="W37" s="331"/>
      <c r="X37" s="364">
        <f>SUM(X36:X36)</f>
        <v>1899615</v>
      </c>
      <c r="Y37" s="331"/>
      <c r="Z37" s="364">
        <f>SUM(Z36:Z36)</f>
        <v>1898686</v>
      </c>
      <c r="AB37" s="209"/>
      <c r="AC37" s="573">
        <f t="shared" si="2"/>
        <v>1907197</v>
      </c>
    </row>
    <row r="38" spans="1:29" x14ac:dyDescent="0.2">
      <c r="A38" s="3"/>
      <c r="B38" s="232" t="s">
        <v>37</v>
      </c>
      <c r="C38" s="129"/>
      <c r="D38" s="136"/>
      <c r="E38" s="4"/>
      <c r="F38" s="156"/>
      <c r="G38" s="258"/>
      <c r="H38" s="365"/>
      <c r="I38" s="235"/>
      <c r="J38" s="397"/>
      <c r="K38" s="258"/>
      <c r="L38" s="397"/>
      <c r="M38" s="258"/>
      <c r="N38" s="365"/>
      <c r="O38" s="235"/>
      <c r="P38" s="365"/>
      <c r="Q38" s="235"/>
      <c r="R38" s="365"/>
      <c r="S38" s="235"/>
      <c r="T38" s="365"/>
      <c r="U38" s="235"/>
      <c r="V38" s="365"/>
      <c r="W38" s="235"/>
      <c r="X38" s="365"/>
      <c r="Y38" s="235"/>
      <c r="Z38" s="365"/>
      <c r="AB38" s="209"/>
      <c r="AC38" s="558"/>
    </row>
    <row r="39" spans="1:29" x14ac:dyDescent="0.2">
      <c r="A39" s="3"/>
      <c r="B39" s="229" t="s">
        <v>35</v>
      </c>
      <c r="C39" s="129"/>
      <c r="D39" s="136">
        <v>347692</v>
      </c>
      <c r="E39" s="4"/>
      <c r="F39" s="156">
        <v>367935</v>
      </c>
      <c r="G39" s="258"/>
      <c r="H39" s="366">
        <v>380209</v>
      </c>
      <c r="I39" s="235"/>
      <c r="J39" s="390">
        <v>390321</v>
      </c>
      <c r="K39" s="258"/>
      <c r="L39" s="390">
        <v>377178</v>
      </c>
      <c r="M39" s="258"/>
      <c r="N39" s="366">
        <v>383915</v>
      </c>
      <c r="O39" s="235"/>
      <c r="P39" s="366">
        <v>299998</v>
      </c>
      <c r="Q39" s="235"/>
      <c r="R39" s="366">
        <v>301367</v>
      </c>
      <c r="S39" s="235"/>
      <c r="T39" s="366">
        <v>302912</v>
      </c>
      <c r="U39" s="235"/>
      <c r="V39" s="366">
        <v>170619</v>
      </c>
      <c r="W39" s="235"/>
      <c r="X39" s="366">
        <v>178852</v>
      </c>
      <c r="Y39" s="235"/>
      <c r="Z39" s="366">
        <v>189265</v>
      </c>
      <c r="AB39" s="209"/>
      <c r="AC39" s="558">
        <f t="shared" ref="AC39:AC42" si="3">AVERAGE(X39,V39,T39,R39,Z39)</f>
        <v>228603</v>
      </c>
    </row>
    <row r="40" spans="1:29" x14ac:dyDescent="0.2">
      <c r="A40" s="3"/>
      <c r="B40" s="229" t="s">
        <v>120</v>
      </c>
      <c r="C40" s="129"/>
      <c r="D40" s="136"/>
      <c r="E40" s="4"/>
      <c r="F40" s="156"/>
      <c r="G40" s="258"/>
      <c r="H40" s="366"/>
      <c r="I40" s="235"/>
      <c r="J40" s="366">
        <v>10500</v>
      </c>
      <c r="K40" s="235"/>
      <c r="L40" s="366">
        <v>10500</v>
      </c>
      <c r="M40" s="235"/>
      <c r="N40" s="366">
        <v>10500</v>
      </c>
      <c r="O40" s="235"/>
      <c r="P40" s="366">
        <v>10500</v>
      </c>
      <c r="Q40" s="235"/>
      <c r="R40" s="366">
        <v>10500</v>
      </c>
      <c r="S40" s="235"/>
      <c r="T40" s="366">
        <v>10500</v>
      </c>
      <c r="U40" s="235"/>
      <c r="V40" s="366">
        <v>10500</v>
      </c>
      <c r="W40" s="235"/>
      <c r="X40" s="366">
        <v>10500</v>
      </c>
      <c r="Y40" s="235"/>
      <c r="Z40" s="366">
        <v>10500</v>
      </c>
      <c r="AB40" s="209"/>
      <c r="AC40" s="558">
        <f t="shared" si="3"/>
        <v>10500</v>
      </c>
    </row>
    <row r="41" spans="1:29" ht="36" x14ac:dyDescent="0.2">
      <c r="A41" s="3"/>
      <c r="B41" s="230" t="s">
        <v>121</v>
      </c>
      <c r="C41" s="129"/>
      <c r="D41" s="136">
        <v>316770</v>
      </c>
      <c r="E41" s="4"/>
      <c r="F41" s="156">
        <v>317203</v>
      </c>
      <c r="G41" s="258"/>
      <c r="H41" s="366">
        <v>317203</v>
      </c>
      <c r="I41" s="235"/>
      <c r="J41" s="390">
        <v>306932</v>
      </c>
      <c r="K41" s="258"/>
      <c r="L41" s="390">
        <v>306865</v>
      </c>
      <c r="M41" s="258"/>
      <c r="N41" s="366">
        <v>306778</v>
      </c>
      <c r="O41" s="235"/>
      <c r="P41" s="366">
        <v>306707</v>
      </c>
      <c r="Q41" s="235"/>
      <c r="R41" s="366">
        <v>306849</v>
      </c>
      <c r="S41" s="235"/>
      <c r="T41" s="366">
        <v>306806</v>
      </c>
      <c r="U41" s="235"/>
      <c r="V41" s="366">
        <v>306768</v>
      </c>
      <c r="W41" s="235"/>
      <c r="X41" s="366">
        <v>306499</v>
      </c>
      <c r="Y41" s="235"/>
      <c r="Z41" s="366">
        <v>317220</v>
      </c>
      <c r="AB41" s="209"/>
      <c r="AC41" s="558">
        <f t="shared" si="3"/>
        <v>308828.40000000002</v>
      </c>
    </row>
    <row r="42" spans="1:29" x14ac:dyDescent="0.2">
      <c r="A42" s="3"/>
      <c r="B42" s="231" t="s">
        <v>38</v>
      </c>
      <c r="C42" s="137"/>
      <c r="D42" s="138">
        <f>SUM(D39:D41)</f>
        <v>664462</v>
      </c>
      <c r="E42" s="97"/>
      <c r="F42" s="157">
        <f>SUM(F39:F41)</f>
        <v>685138</v>
      </c>
      <c r="G42" s="259"/>
      <c r="H42" s="364">
        <f>SUM(H39:H41)</f>
        <v>697412</v>
      </c>
      <c r="I42" s="331"/>
      <c r="J42" s="391">
        <f>SUM(J39:J41)</f>
        <v>707753</v>
      </c>
      <c r="K42" s="259"/>
      <c r="L42" s="391">
        <f>SUM(L39:L41)</f>
        <v>694543</v>
      </c>
      <c r="M42" s="259"/>
      <c r="N42" s="364">
        <f>SUM(N39:N41)</f>
        <v>701193</v>
      </c>
      <c r="O42" s="331"/>
      <c r="P42" s="364">
        <f>SUM(P39:P41)</f>
        <v>617205</v>
      </c>
      <c r="Q42" s="331"/>
      <c r="R42" s="364">
        <f>SUM(R39:R41)</f>
        <v>618716</v>
      </c>
      <c r="S42" s="331"/>
      <c r="T42" s="364">
        <f>SUM(T39:T41)</f>
        <v>620218</v>
      </c>
      <c r="U42" s="331"/>
      <c r="V42" s="364">
        <f>SUM(V39:V41)</f>
        <v>487887</v>
      </c>
      <c r="W42" s="331"/>
      <c r="X42" s="364">
        <f>SUM(X39:X41)</f>
        <v>495851</v>
      </c>
      <c r="Y42" s="331"/>
      <c r="Z42" s="364">
        <f>SUM(Z39:Z41)</f>
        <v>516985</v>
      </c>
      <c r="AB42" s="209"/>
      <c r="AC42" s="573">
        <f t="shared" si="3"/>
        <v>547931.4</v>
      </c>
    </row>
    <row r="43" spans="1:29" x14ac:dyDescent="0.2">
      <c r="A43" s="3"/>
      <c r="B43" s="232" t="s">
        <v>45</v>
      </c>
      <c r="C43" s="129"/>
      <c r="D43" s="136"/>
      <c r="E43" s="4"/>
      <c r="F43" s="156"/>
      <c r="G43" s="258"/>
      <c r="H43" s="366"/>
      <c r="I43" s="235"/>
      <c r="J43" s="390"/>
      <c r="K43" s="258"/>
      <c r="L43" s="390"/>
      <c r="M43" s="258"/>
      <c r="N43" s="366"/>
      <c r="O43" s="235"/>
      <c r="P43" s="366"/>
      <c r="Q43" s="235"/>
      <c r="R43" s="366"/>
      <c r="S43" s="235"/>
      <c r="T43" s="366"/>
      <c r="U43" s="235"/>
      <c r="V43" s="366"/>
      <c r="W43" s="235"/>
      <c r="X43" s="366"/>
      <c r="Y43" s="235"/>
      <c r="Z43" s="366"/>
      <c r="AB43" s="209"/>
      <c r="AC43" s="558"/>
    </row>
    <row r="44" spans="1:29" x14ac:dyDescent="0.2">
      <c r="A44" s="3"/>
      <c r="B44" s="229" t="s">
        <v>35</v>
      </c>
      <c r="C44" s="129"/>
      <c r="D44" s="136">
        <v>2429337</v>
      </c>
      <c r="E44" s="4"/>
      <c r="F44" s="156">
        <v>2673781</v>
      </c>
      <c r="G44" s="258"/>
      <c r="H44" s="366">
        <v>2762327</v>
      </c>
      <c r="I44" s="235"/>
      <c r="J44" s="390">
        <v>2972467</v>
      </c>
      <c r="K44" s="258"/>
      <c r="L44" s="390">
        <v>2927920</v>
      </c>
      <c r="M44" s="258"/>
      <c r="N44" s="366">
        <v>3148568</v>
      </c>
      <c r="O44" s="235"/>
      <c r="P44" s="366">
        <v>3353382</v>
      </c>
      <c r="Q44" s="235"/>
      <c r="R44" s="366">
        <v>3426886</v>
      </c>
      <c r="S44" s="235"/>
      <c r="T44" s="366">
        <v>3254803</v>
      </c>
      <c r="U44" s="235"/>
      <c r="V44" s="366">
        <v>4182784</v>
      </c>
      <c r="W44" s="235"/>
      <c r="X44" s="366">
        <v>4461047</v>
      </c>
      <c r="Y44" s="235"/>
      <c r="Z44" s="366">
        <v>5169406</v>
      </c>
      <c r="AB44" s="209"/>
      <c r="AC44" s="558">
        <f>AVERAGE(X44,V44,T44,R44,Z44)</f>
        <v>4098985.2</v>
      </c>
    </row>
    <row r="45" spans="1:29" x14ac:dyDescent="0.2">
      <c r="A45" s="3"/>
      <c r="B45" s="229" t="s">
        <v>120</v>
      </c>
      <c r="C45" s="129"/>
      <c r="D45" s="136"/>
      <c r="E45" s="4"/>
      <c r="F45" s="156"/>
      <c r="G45" s="258"/>
      <c r="H45" s="366"/>
      <c r="I45" s="235"/>
      <c r="J45" s="390"/>
      <c r="K45" s="258"/>
      <c r="L45" s="390"/>
      <c r="M45" s="258"/>
      <c r="N45" s="366"/>
      <c r="O45" s="235"/>
      <c r="P45" s="366"/>
      <c r="Q45" s="235"/>
      <c r="R45" s="366"/>
      <c r="S45" s="235"/>
      <c r="T45" s="366"/>
      <c r="U45" s="235"/>
      <c r="V45" s="366"/>
      <c r="W45" s="235"/>
      <c r="X45" s="366"/>
      <c r="Y45" s="235"/>
      <c r="Z45" s="366"/>
      <c r="AB45" s="211"/>
      <c r="AC45" s="558"/>
    </row>
    <row r="46" spans="1:29" ht="36" x14ac:dyDescent="0.2">
      <c r="A46" s="3"/>
      <c r="B46" s="230" t="s">
        <v>121</v>
      </c>
      <c r="C46" s="129"/>
      <c r="D46" s="136">
        <v>70247</v>
      </c>
      <c r="E46" s="4"/>
      <c r="F46" s="156">
        <v>121320</v>
      </c>
      <c r="G46" s="258"/>
      <c r="H46" s="366">
        <v>165211</v>
      </c>
      <c r="I46" s="235"/>
      <c r="J46" s="390">
        <v>166624</v>
      </c>
      <c r="K46" s="258"/>
      <c r="L46" s="390">
        <v>167556</v>
      </c>
      <c r="M46" s="258"/>
      <c r="N46" s="366">
        <v>123864</v>
      </c>
      <c r="O46" s="235"/>
      <c r="P46" s="366">
        <v>191453</v>
      </c>
      <c r="Q46" s="235"/>
      <c r="R46" s="366">
        <v>164247</v>
      </c>
      <c r="S46" s="235"/>
      <c r="T46" s="366">
        <v>151480</v>
      </c>
      <c r="U46" s="235"/>
      <c r="V46" s="366">
        <v>166177</v>
      </c>
      <c r="W46" s="235"/>
      <c r="X46" s="366">
        <v>166049</v>
      </c>
      <c r="Y46" s="235"/>
      <c r="Z46" s="366">
        <v>173761</v>
      </c>
      <c r="AB46" s="211"/>
      <c r="AC46" s="558">
        <f t="shared" ref="AC46:AC48" si="4">AVERAGE(X46,V46,T46,R46,Z46)</f>
        <v>164342.79999999999</v>
      </c>
    </row>
    <row r="47" spans="1:29" x14ac:dyDescent="0.2">
      <c r="A47" s="3"/>
      <c r="B47" s="231" t="s">
        <v>44</v>
      </c>
      <c r="C47" s="137"/>
      <c r="D47" s="138">
        <f>SUM(D44:D46)</f>
        <v>2499584</v>
      </c>
      <c r="E47" s="97"/>
      <c r="F47" s="157">
        <f>SUM(F44:F46)</f>
        <v>2795101</v>
      </c>
      <c r="G47" s="259"/>
      <c r="H47" s="364">
        <f>SUM(H44:H46)</f>
        <v>2927538</v>
      </c>
      <c r="I47" s="331"/>
      <c r="J47" s="391">
        <f>SUM(J44:J46)</f>
        <v>3139091</v>
      </c>
      <c r="K47" s="259"/>
      <c r="L47" s="391">
        <f>SUM(L44:L46)</f>
        <v>3095476</v>
      </c>
      <c r="M47" s="259"/>
      <c r="N47" s="364">
        <f>SUM(N44:N46)</f>
        <v>3272432</v>
      </c>
      <c r="O47" s="331"/>
      <c r="P47" s="364">
        <f>SUM(P44:P46)</f>
        <v>3544835</v>
      </c>
      <c r="Q47" s="331"/>
      <c r="R47" s="364">
        <f>SUM(R44:R46)</f>
        <v>3591133</v>
      </c>
      <c r="S47" s="331"/>
      <c r="T47" s="364">
        <f>SUM(T44:T46)</f>
        <v>3406283</v>
      </c>
      <c r="U47" s="331"/>
      <c r="V47" s="364">
        <f>SUM(V44:V46)</f>
        <v>4348961</v>
      </c>
      <c r="W47" s="331"/>
      <c r="X47" s="364">
        <f>SUM(X44:X46)</f>
        <v>4627096</v>
      </c>
      <c r="Y47" s="331"/>
      <c r="Z47" s="364">
        <f>SUM(Z44:Z46)</f>
        <v>5343167</v>
      </c>
      <c r="AB47" s="209"/>
      <c r="AC47" s="573">
        <f t="shared" si="4"/>
        <v>4263328</v>
      </c>
    </row>
    <row r="48" spans="1:29" ht="13.5" thickBot="1" x14ac:dyDescent="0.25">
      <c r="A48" s="3"/>
      <c r="B48" s="272" t="s">
        <v>39</v>
      </c>
      <c r="C48" s="129"/>
      <c r="D48" s="138">
        <f>SUM(D37,D42,D47)</f>
        <v>3164046</v>
      </c>
      <c r="E48" s="4"/>
      <c r="F48" s="157">
        <f>SUM(F37,F42,F47)</f>
        <v>5381451</v>
      </c>
      <c r="G48" s="258"/>
      <c r="H48" s="364">
        <f>H37+H42+H47</f>
        <v>5525901</v>
      </c>
      <c r="I48" s="235"/>
      <c r="J48" s="391">
        <f>J37+J42+J47</f>
        <v>5750328</v>
      </c>
      <c r="K48" s="258"/>
      <c r="L48" s="391">
        <f>L37+L42+L47</f>
        <v>5796142</v>
      </c>
      <c r="M48" s="258"/>
      <c r="N48" s="364">
        <f>N37+N42+N47</f>
        <v>5950444</v>
      </c>
      <c r="O48" s="235"/>
      <c r="P48" s="364">
        <f>P37+P42+P47</f>
        <v>6108621</v>
      </c>
      <c r="Q48" s="235"/>
      <c r="R48" s="364">
        <f>R37+R42+R47</f>
        <v>6142611</v>
      </c>
      <c r="S48" s="235"/>
      <c r="T48" s="364">
        <f>T37+T42+T47</f>
        <v>5929151</v>
      </c>
      <c r="U48" s="235"/>
      <c r="V48" s="364">
        <f>V37+V42+V47</f>
        <v>6739120</v>
      </c>
      <c r="W48" s="235"/>
      <c r="X48" s="364">
        <f>X37+X42+X47</f>
        <v>7022562</v>
      </c>
      <c r="Y48" s="235"/>
      <c r="Z48" s="364">
        <f>Z37+Z42+Z47</f>
        <v>7758838</v>
      </c>
      <c r="AB48" s="567"/>
      <c r="AC48" s="573">
        <f t="shared" si="4"/>
        <v>6718456.4000000004</v>
      </c>
    </row>
    <row r="49" spans="1:29" ht="12" x14ac:dyDescent="0.2">
      <c r="B49" s="273" t="s">
        <v>129</v>
      </c>
      <c r="C49" s="139"/>
      <c r="D49" s="140"/>
      <c r="E49" s="101"/>
      <c r="F49" s="101"/>
      <c r="G49" s="261"/>
      <c r="H49" s="341"/>
      <c r="I49" s="332"/>
      <c r="J49" s="332"/>
      <c r="K49" s="261"/>
      <c r="L49" s="332"/>
      <c r="M49" s="261"/>
      <c r="N49" s="341"/>
      <c r="O49" s="332"/>
      <c r="P49" s="341"/>
      <c r="Q49" s="332"/>
      <c r="R49" s="341"/>
      <c r="S49" s="332"/>
      <c r="T49" s="341"/>
      <c r="U49" s="332"/>
      <c r="V49" s="341"/>
      <c r="W49" s="332"/>
      <c r="X49" s="341"/>
      <c r="Y49" s="332"/>
      <c r="Z49" s="341"/>
      <c r="AB49" s="549"/>
      <c r="AC49" s="569"/>
    </row>
    <row r="50" spans="1:29" ht="12" x14ac:dyDescent="0.2">
      <c r="B50" s="55" t="s">
        <v>15</v>
      </c>
      <c r="C50" s="141"/>
      <c r="D50" s="142">
        <v>2472675</v>
      </c>
      <c r="E50" s="61"/>
      <c r="F50" s="86">
        <v>2824866</v>
      </c>
      <c r="G50" s="301"/>
      <c r="H50" s="317">
        <v>2972781.81</v>
      </c>
      <c r="I50" s="339"/>
      <c r="J50" s="339">
        <v>2979254</v>
      </c>
      <c r="K50" s="262"/>
      <c r="L50" s="339">
        <f>1187857+51823+1375456+155910</f>
        <v>2771046</v>
      </c>
      <c r="M50" s="262"/>
      <c r="N50" s="421">
        <v>2936341</v>
      </c>
      <c r="O50" s="339"/>
      <c r="P50" s="736">
        <v>3177703</v>
      </c>
      <c r="Q50" s="718"/>
      <c r="R50" s="736">
        <v>3628341</v>
      </c>
      <c r="S50" s="718"/>
      <c r="T50" s="736">
        <v>3081700</v>
      </c>
      <c r="U50" s="718"/>
      <c r="V50" s="736">
        <v>4392853</v>
      </c>
      <c r="W50" s="718"/>
      <c r="X50" s="736">
        <v>4217459</v>
      </c>
      <c r="Y50" s="718"/>
      <c r="Z50" s="737"/>
      <c r="AB50" s="211"/>
      <c r="AC50" s="562">
        <f>AVERAGE(X50,V50,T50,R50,P50)</f>
        <v>3699611.2</v>
      </c>
    </row>
    <row r="51" spans="1:29" ht="12" x14ac:dyDescent="0.2">
      <c r="B51" s="274" t="s">
        <v>16</v>
      </c>
      <c r="C51" s="143"/>
      <c r="D51" s="144">
        <f>472749+44340</f>
        <v>517089</v>
      </c>
      <c r="E51" s="62"/>
      <c r="F51" s="44">
        <v>508632</v>
      </c>
      <c r="G51" s="265"/>
      <c r="H51" s="454">
        <f>15+166611+5048+9638+383429+12954+47586</f>
        <v>625281</v>
      </c>
      <c r="I51" s="417"/>
      <c r="J51" s="738">
        <v>637415.77</v>
      </c>
      <c r="K51" s="414"/>
      <c r="L51" s="417">
        <f>126475+363781+288161+3458+10400</f>
        <v>792275</v>
      </c>
      <c r="M51" s="414"/>
      <c r="N51" s="421">
        <f>120312+383161+375023+41127+6885+175145</f>
        <v>1101653</v>
      </c>
      <c r="O51" s="417"/>
      <c r="P51" s="739">
        <f>304955+88532+47116+211177</f>
        <v>651780</v>
      </c>
      <c r="Q51" s="740"/>
      <c r="R51" s="739">
        <f>88532+312514.52+13710.79+320442.91</f>
        <v>735200.22</v>
      </c>
      <c r="S51" s="740"/>
      <c r="T51" s="739">
        <f>189420.23+1365.76+84723.08+317073.09</f>
        <v>592582.16</v>
      </c>
      <c r="U51" s="740"/>
      <c r="V51" s="739">
        <v>651885</v>
      </c>
      <c r="W51" s="740"/>
      <c r="X51" s="739">
        <v>492458.87</v>
      </c>
      <c r="Y51" s="740"/>
      <c r="Z51" s="741"/>
      <c r="AB51" s="209"/>
      <c r="AC51" s="562">
        <f>AVERAGE(X51,V51,T51,R51,P51)</f>
        <v>624781.25</v>
      </c>
    </row>
    <row r="52" spans="1:29" thickBot="1" x14ac:dyDescent="0.25">
      <c r="B52" s="275"/>
      <c r="C52" s="145"/>
      <c r="D52" s="146"/>
      <c r="E52" s="63"/>
      <c r="F52" s="58"/>
      <c r="G52" s="263"/>
      <c r="H52" s="342"/>
      <c r="I52" s="326"/>
      <c r="J52" s="340"/>
      <c r="K52" s="263"/>
      <c r="L52" s="340"/>
      <c r="M52" s="263"/>
      <c r="N52" s="342"/>
      <c r="O52" s="326"/>
      <c r="P52" s="342"/>
      <c r="Q52" s="326"/>
      <c r="R52" s="342"/>
      <c r="S52" s="326"/>
      <c r="T52" s="342"/>
      <c r="U52" s="326"/>
      <c r="V52" s="342"/>
      <c r="W52" s="326"/>
      <c r="X52" s="342"/>
      <c r="Y52" s="326"/>
      <c r="Z52" s="342"/>
      <c r="AB52" s="567"/>
      <c r="AC52" s="568"/>
    </row>
    <row r="53" spans="1:29" ht="12" x14ac:dyDescent="0.2">
      <c r="B53" s="54"/>
      <c r="C53" s="147" t="s">
        <v>69</v>
      </c>
      <c r="D53" s="148" t="s">
        <v>75</v>
      </c>
      <c r="E53" s="75" t="s">
        <v>69</v>
      </c>
      <c r="F53" s="158" t="s">
        <v>75</v>
      </c>
      <c r="G53" s="264" t="s">
        <v>69</v>
      </c>
      <c r="H53" s="343" t="s">
        <v>75</v>
      </c>
      <c r="I53" s="240" t="s">
        <v>69</v>
      </c>
      <c r="J53" s="378" t="s">
        <v>75</v>
      </c>
      <c r="K53" s="264" t="s">
        <v>69</v>
      </c>
      <c r="L53" s="378" t="s">
        <v>75</v>
      </c>
      <c r="M53" s="264" t="s">
        <v>69</v>
      </c>
      <c r="N53" s="343" t="s">
        <v>75</v>
      </c>
      <c r="O53" s="240" t="s">
        <v>69</v>
      </c>
      <c r="P53" s="343" t="s">
        <v>75</v>
      </c>
      <c r="Q53" s="240" t="s">
        <v>69</v>
      </c>
      <c r="R53" s="343" t="s">
        <v>75</v>
      </c>
      <c r="S53" s="240" t="s">
        <v>69</v>
      </c>
      <c r="T53" s="343" t="s">
        <v>75</v>
      </c>
      <c r="U53" s="240" t="s">
        <v>69</v>
      </c>
      <c r="V53" s="343" t="s">
        <v>75</v>
      </c>
      <c r="W53" s="240" t="s">
        <v>69</v>
      </c>
      <c r="X53" s="343" t="s">
        <v>75</v>
      </c>
      <c r="Y53" s="240" t="s">
        <v>69</v>
      </c>
      <c r="Z53" s="343" t="s">
        <v>75</v>
      </c>
      <c r="AB53" s="561" t="s">
        <v>69</v>
      </c>
      <c r="AC53" s="241" t="s">
        <v>75</v>
      </c>
    </row>
    <row r="54" spans="1:29" ht="11.45" customHeight="1" x14ac:dyDescent="0.2">
      <c r="B54" s="276" t="s">
        <v>30</v>
      </c>
      <c r="C54" s="314">
        <v>51</v>
      </c>
      <c r="D54" s="457">
        <v>3831421</v>
      </c>
      <c r="E54" s="402">
        <v>42</v>
      </c>
      <c r="F54" s="458">
        <v>2858138</v>
      </c>
      <c r="G54" s="452">
        <v>53</v>
      </c>
      <c r="H54" s="421">
        <v>3256574</v>
      </c>
      <c r="I54" s="625">
        <v>54</v>
      </c>
      <c r="J54" s="421">
        <v>4206644</v>
      </c>
      <c r="K54" s="625">
        <v>48</v>
      </c>
      <c r="L54" s="424">
        <v>2603592</v>
      </c>
      <c r="M54" s="452">
        <v>63</v>
      </c>
      <c r="N54" s="646">
        <v>7830608</v>
      </c>
      <c r="O54" s="452">
        <v>39</v>
      </c>
      <c r="P54" s="646">
        <v>6840175</v>
      </c>
      <c r="Q54" s="452">
        <v>48</v>
      </c>
      <c r="R54" s="646">
        <v>9344821</v>
      </c>
      <c r="S54" s="452">
        <v>48</v>
      </c>
      <c r="T54" s="646">
        <v>7334213</v>
      </c>
      <c r="U54" s="452">
        <v>39</v>
      </c>
      <c r="V54" s="646">
        <v>6324266</v>
      </c>
      <c r="W54" s="452">
        <v>27</v>
      </c>
      <c r="X54" s="646">
        <v>3045436</v>
      </c>
      <c r="Y54" s="635"/>
      <c r="Z54" s="690"/>
      <c r="AB54" s="586">
        <f t="shared" ref="AB54:AB56" si="5">AVERAGE(W54,U54,S54,Q54,Y54)</f>
        <v>40.5</v>
      </c>
      <c r="AC54" s="564">
        <f t="shared" ref="AC54:AC56" si="6">AVERAGE(X54,V54,T54,R54,Z54)</f>
        <v>6512184</v>
      </c>
    </row>
    <row r="55" spans="1:29" ht="11.45" customHeight="1" x14ac:dyDescent="0.2">
      <c r="B55" s="276"/>
      <c r="C55" s="450"/>
      <c r="D55" s="149"/>
      <c r="E55" s="196"/>
      <c r="F55" s="460"/>
      <c r="G55" s="325"/>
      <c r="H55" s="416"/>
      <c r="I55" s="505"/>
      <c r="J55" s="416"/>
      <c r="K55" s="505"/>
      <c r="L55" s="418"/>
      <c r="M55" s="325"/>
      <c r="N55" s="647"/>
      <c r="O55" s="325"/>
      <c r="P55" s="647"/>
      <c r="Q55" s="325"/>
      <c r="R55" s="647"/>
      <c r="S55" s="325"/>
      <c r="T55" s="647"/>
      <c r="U55" s="325"/>
      <c r="V55" s="647"/>
      <c r="W55" s="325"/>
      <c r="X55" s="647"/>
      <c r="Y55" s="359"/>
      <c r="Z55" s="691"/>
      <c r="AB55" s="587"/>
      <c r="AC55" s="562"/>
    </row>
    <row r="56" spans="1:29" thickBot="1" x14ac:dyDescent="0.25">
      <c r="B56" s="277" t="s">
        <v>17</v>
      </c>
      <c r="C56" s="315">
        <v>43</v>
      </c>
      <c r="D56" s="160">
        <v>4682192</v>
      </c>
      <c r="E56" s="451">
        <v>27</v>
      </c>
      <c r="F56" s="461">
        <v>3752334</v>
      </c>
      <c r="G56" s="453">
        <v>32</v>
      </c>
      <c r="H56" s="420">
        <v>6286333</v>
      </c>
      <c r="I56" s="429">
        <v>43</v>
      </c>
      <c r="J56" s="420">
        <v>2708071</v>
      </c>
      <c r="K56" s="429">
        <v>28</v>
      </c>
      <c r="L56" s="427">
        <v>5287077</v>
      </c>
      <c r="M56" s="453">
        <v>15</v>
      </c>
      <c r="N56" s="648">
        <v>3322473</v>
      </c>
      <c r="O56" s="453">
        <v>26</v>
      </c>
      <c r="P56" s="648">
        <v>3494658</v>
      </c>
      <c r="Q56" s="453">
        <v>20</v>
      </c>
      <c r="R56" s="648">
        <v>3661475</v>
      </c>
      <c r="S56" s="453">
        <v>20</v>
      </c>
      <c r="T56" s="648">
        <v>3090238</v>
      </c>
      <c r="U56" s="453">
        <v>22</v>
      </c>
      <c r="V56" s="648">
        <v>7747515</v>
      </c>
      <c r="W56" s="453">
        <v>20</v>
      </c>
      <c r="X56" s="648">
        <v>2997688</v>
      </c>
      <c r="Y56" s="636"/>
      <c r="Z56" s="693"/>
      <c r="AB56" s="587">
        <f t="shared" si="5"/>
        <v>20.5</v>
      </c>
      <c r="AC56" s="562">
        <f t="shared" si="6"/>
        <v>4374229</v>
      </c>
    </row>
    <row r="57" spans="1:29" ht="12" x14ac:dyDescent="0.2">
      <c r="B57" s="273" t="s">
        <v>46</v>
      </c>
      <c r="C57" s="150"/>
      <c r="D57" s="161"/>
      <c r="E57" s="106"/>
      <c r="F57" s="294"/>
      <c r="G57" s="266"/>
      <c r="H57" s="337"/>
      <c r="I57" s="378"/>
      <c r="J57" s="392"/>
      <c r="K57" s="266"/>
      <c r="L57" s="392"/>
      <c r="M57" s="266"/>
      <c r="N57" s="337"/>
      <c r="O57" s="323"/>
      <c r="P57" s="337"/>
      <c r="Q57" s="323"/>
      <c r="R57" s="337"/>
      <c r="S57" s="323"/>
      <c r="T57" s="337"/>
      <c r="U57" s="323"/>
      <c r="V57" s="337"/>
      <c r="W57" s="323"/>
      <c r="X57" s="337"/>
      <c r="Y57" s="323"/>
      <c r="Z57" s="337"/>
      <c r="AB57" s="560"/>
      <c r="AC57" s="563"/>
    </row>
    <row r="58" spans="1:29" ht="12" x14ac:dyDescent="0.2">
      <c r="B58" s="278" t="s">
        <v>47</v>
      </c>
      <c r="C58" s="151"/>
      <c r="D58" s="162"/>
      <c r="E58" s="73"/>
      <c r="F58" s="27"/>
      <c r="G58" s="267"/>
      <c r="H58" s="338"/>
      <c r="I58" s="242"/>
      <c r="J58" s="233"/>
      <c r="K58" s="267"/>
      <c r="L58" s="233"/>
      <c r="M58" s="267"/>
      <c r="N58" s="338"/>
      <c r="O58" s="242"/>
      <c r="P58" s="338"/>
      <c r="Q58" s="242"/>
      <c r="R58" s="338"/>
      <c r="S58" s="242"/>
      <c r="T58" s="338"/>
      <c r="U58" s="242"/>
      <c r="V58" s="338"/>
      <c r="W58" s="242"/>
      <c r="X58" s="338"/>
      <c r="Y58" s="242"/>
      <c r="Z58" s="338"/>
      <c r="AB58" s="560"/>
      <c r="AC58" s="563"/>
    </row>
    <row r="59" spans="1:29" ht="12" x14ac:dyDescent="0.2">
      <c r="B59" s="287" t="s">
        <v>48</v>
      </c>
      <c r="C59" s="152"/>
      <c r="D59" s="163">
        <v>54970</v>
      </c>
      <c r="E59" s="64"/>
      <c r="F59" s="295">
        <v>2153</v>
      </c>
      <c r="G59" s="302"/>
      <c r="H59" s="733">
        <v>16450</v>
      </c>
      <c r="I59" s="438"/>
      <c r="J59" s="672">
        <v>76330</v>
      </c>
      <c r="K59" s="734"/>
      <c r="L59" s="674">
        <v>15315</v>
      </c>
      <c r="M59" s="734"/>
      <c r="N59" s="431">
        <v>5375</v>
      </c>
      <c r="O59" s="360"/>
      <c r="P59" s="431">
        <v>1480</v>
      </c>
      <c r="Q59" s="360"/>
      <c r="R59" s="431">
        <v>87550</v>
      </c>
      <c r="S59" s="360"/>
      <c r="T59" s="431">
        <v>23015</v>
      </c>
      <c r="U59" s="360"/>
      <c r="V59" s="431">
        <v>4230</v>
      </c>
      <c r="W59" s="360"/>
      <c r="X59" s="786">
        <v>4750</v>
      </c>
      <c r="Y59" s="360"/>
      <c r="Z59" s="742"/>
      <c r="AB59" s="211"/>
      <c r="AC59" s="562">
        <f t="shared" ref="AC59:AC60" si="7">AVERAGE(X59,V59,T59,R59,P59)</f>
        <v>24205</v>
      </c>
    </row>
    <row r="60" spans="1:29" thickBot="1" x14ac:dyDescent="0.25">
      <c r="B60" s="109" t="s">
        <v>49</v>
      </c>
      <c r="C60" s="154"/>
      <c r="D60" s="164">
        <v>0</v>
      </c>
      <c r="E60" s="65"/>
      <c r="F60" s="311">
        <v>0</v>
      </c>
      <c r="G60" s="303"/>
      <c r="H60" s="441">
        <v>0</v>
      </c>
      <c r="I60" s="303"/>
      <c r="J60" s="474">
        <v>0</v>
      </c>
      <c r="K60" s="303"/>
      <c r="L60" s="441">
        <v>0</v>
      </c>
      <c r="M60" s="303"/>
      <c r="N60" s="474">
        <v>0</v>
      </c>
      <c r="O60" s="370"/>
      <c r="P60" s="474">
        <v>0</v>
      </c>
      <c r="Q60" s="370"/>
      <c r="R60" s="474">
        <v>0</v>
      </c>
      <c r="S60" s="370"/>
      <c r="T60" s="474">
        <v>0</v>
      </c>
      <c r="U60" s="370"/>
      <c r="V60" s="474">
        <v>0</v>
      </c>
      <c r="W60" s="370"/>
      <c r="X60" s="474">
        <v>0</v>
      </c>
      <c r="Y60" s="370"/>
      <c r="Z60" s="749"/>
      <c r="AB60" s="565"/>
      <c r="AC60" s="563">
        <f t="shared" si="7"/>
        <v>0</v>
      </c>
    </row>
    <row r="61" spans="1:29" ht="6.75" customHeight="1" thickTop="1" x14ac:dyDescent="0.2">
      <c r="B61" s="5"/>
      <c r="C61" s="73"/>
      <c r="D61" s="74"/>
      <c r="E61" s="73"/>
      <c r="F61" s="75"/>
      <c r="G61" s="242"/>
      <c r="H61" s="240"/>
      <c r="I61" s="242"/>
      <c r="J61" s="240"/>
      <c r="K61" s="242"/>
      <c r="L61" s="240"/>
      <c r="M61" s="242"/>
      <c r="N61" s="240"/>
      <c r="O61" s="242"/>
      <c r="P61" s="240"/>
      <c r="Q61" s="242"/>
      <c r="R61" s="240"/>
      <c r="S61" s="242"/>
      <c r="T61" s="240"/>
      <c r="U61" s="242"/>
      <c r="V61" s="240"/>
      <c r="W61" s="242"/>
      <c r="X61" s="240"/>
      <c r="Y61" s="242"/>
      <c r="Z61" s="240"/>
      <c r="AC61" s="574"/>
    </row>
    <row r="62" spans="1:29" x14ac:dyDescent="0.2">
      <c r="A62" s="3" t="s">
        <v>43</v>
      </c>
      <c r="B62" s="5"/>
      <c r="C62" s="73"/>
      <c r="D62" s="74"/>
      <c r="E62" s="73"/>
      <c r="F62" s="75"/>
      <c r="G62" s="242"/>
      <c r="H62" s="240"/>
      <c r="I62" s="242"/>
      <c r="J62" s="240"/>
      <c r="K62" s="242"/>
      <c r="L62" s="240"/>
      <c r="M62" s="242"/>
      <c r="N62" s="240"/>
      <c r="O62" s="242"/>
      <c r="P62" s="240"/>
      <c r="Q62" s="242"/>
      <c r="R62" s="240"/>
      <c r="S62" s="242"/>
      <c r="T62" s="240"/>
      <c r="U62" s="242"/>
      <c r="V62" s="240"/>
      <c r="W62" s="242"/>
      <c r="X62" s="240"/>
      <c r="Y62" s="242"/>
      <c r="Z62" s="240"/>
    </row>
    <row r="63" spans="1:29" thickBot="1" x14ac:dyDescent="0.25">
      <c r="B63" s="5"/>
      <c r="C63" s="73"/>
      <c r="D63" s="74"/>
      <c r="E63" s="73"/>
      <c r="F63" s="75"/>
      <c r="G63" s="242"/>
      <c r="H63" s="240"/>
      <c r="I63" s="242"/>
      <c r="J63" s="240"/>
      <c r="K63" s="242"/>
      <c r="L63" s="240"/>
      <c r="M63" s="242"/>
      <c r="N63" s="240"/>
      <c r="O63" s="242"/>
      <c r="P63" s="240"/>
      <c r="Q63" s="242"/>
      <c r="R63" s="240"/>
      <c r="S63" s="242"/>
      <c r="T63" s="240"/>
      <c r="U63" s="242"/>
      <c r="V63" s="240"/>
      <c r="W63" s="242"/>
      <c r="X63" s="240"/>
      <c r="Y63" s="242"/>
      <c r="Z63" s="240"/>
    </row>
    <row r="64" spans="1:29" ht="13.5" thickTop="1" thickBot="1" x14ac:dyDescent="0.25">
      <c r="B64" s="281"/>
      <c r="C64" s="811" t="s">
        <v>24</v>
      </c>
      <c r="D64" s="812"/>
      <c r="E64" s="813" t="s">
        <v>25</v>
      </c>
      <c r="F64" s="813"/>
      <c r="G64" s="798" t="s">
        <v>76</v>
      </c>
      <c r="H64" s="793"/>
      <c r="I64" s="792" t="s">
        <v>86</v>
      </c>
      <c r="J64" s="792"/>
      <c r="K64" s="798" t="s">
        <v>87</v>
      </c>
      <c r="L64" s="792"/>
      <c r="M64" s="798" t="s">
        <v>90</v>
      </c>
      <c r="N64" s="793"/>
      <c r="O64" s="798" t="s">
        <v>113</v>
      </c>
      <c r="P64" s="793"/>
      <c r="Q64" s="798" t="s">
        <v>118</v>
      </c>
      <c r="R64" s="793"/>
      <c r="S64" s="798" t="s">
        <v>131</v>
      </c>
      <c r="T64" s="793"/>
      <c r="U64" s="798" t="s">
        <v>139</v>
      </c>
      <c r="V64" s="793"/>
      <c r="W64" s="798" t="s">
        <v>141</v>
      </c>
      <c r="X64" s="793"/>
      <c r="Y64" s="798" t="s">
        <v>143</v>
      </c>
      <c r="Z64" s="793"/>
      <c r="AB64" s="823" t="s">
        <v>105</v>
      </c>
      <c r="AC64" s="824"/>
    </row>
    <row r="65" spans="2:29" ht="12" x14ac:dyDescent="0.2">
      <c r="B65" s="51" t="s">
        <v>26</v>
      </c>
      <c r="C65" s="127"/>
      <c r="D65" s="128"/>
      <c r="E65" s="7"/>
      <c r="F65" s="7"/>
      <c r="G65" s="299"/>
      <c r="H65" s="335"/>
      <c r="I65" s="234"/>
      <c r="J65" s="234"/>
      <c r="K65" s="299"/>
      <c r="L65" s="234"/>
      <c r="M65" s="299"/>
      <c r="N65" s="335"/>
      <c r="O65" s="299"/>
      <c r="P65" s="335"/>
      <c r="Q65" s="299"/>
      <c r="R65" s="335"/>
      <c r="S65" s="299"/>
      <c r="T65" s="335"/>
      <c r="U65" s="299"/>
      <c r="V65" s="335"/>
      <c r="W65" s="299"/>
      <c r="X65" s="335"/>
      <c r="Y65" s="299"/>
      <c r="Z65" s="335"/>
      <c r="AB65" s="560"/>
      <c r="AC65" s="506"/>
    </row>
    <row r="66" spans="2:29" ht="12" x14ac:dyDescent="0.2">
      <c r="B66" s="52" t="s">
        <v>27</v>
      </c>
      <c r="C66" s="129"/>
      <c r="D66" s="166"/>
      <c r="E66" s="4"/>
      <c r="F66" s="125"/>
      <c r="G66" s="258"/>
      <c r="H66" s="328"/>
      <c r="I66" s="235"/>
      <c r="J66" s="248"/>
      <c r="K66" s="258"/>
      <c r="L66" s="248"/>
      <c r="M66" s="258"/>
      <c r="N66" s="328"/>
      <c r="O66" s="258"/>
      <c r="P66" s="328"/>
      <c r="Q66" s="258"/>
      <c r="R66" s="328"/>
      <c r="S66" s="258"/>
      <c r="T66" s="328"/>
      <c r="U66" s="258"/>
      <c r="V66" s="328"/>
      <c r="W66" s="258"/>
      <c r="X66" s="328"/>
      <c r="Y66" s="258"/>
      <c r="Z66" s="328"/>
      <c r="AB66" s="211"/>
      <c r="AC66" s="575"/>
    </row>
    <row r="67" spans="2:29" ht="12" x14ac:dyDescent="0.2">
      <c r="B67" s="57" t="s">
        <v>28</v>
      </c>
      <c r="C67" s="129"/>
      <c r="D67" s="166">
        <f>8+3</f>
        <v>11</v>
      </c>
      <c r="E67" s="4"/>
      <c r="F67" s="125">
        <v>10</v>
      </c>
      <c r="G67" s="258"/>
      <c r="H67" s="328">
        <v>8</v>
      </c>
      <c r="I67" s="235"/>
      <c r="J67" s="248">
        <v>10</v>
      </c>
      <c r="K67" s="258"/>
      <c r="L67" s="248">
        <v>6</v>
      </c>
      <c r="M67" s="258"/>
      <c r="N67" s="328">
        <v>8</v>
      </c>
      <c r="O67" s="258"/>
      <c r="P67" s="328">
        <v>8</v>
      </c>
      <c r="Q67" s="258"/>
      <c r="R67" s="328">
        <v>8</v>
      </c>
      <c r="S67" s="258"/>
      <c r="T67" s="328">
        <v>7</v>
      </c>
      <c r="U67" s="258"/>
      <c r="V67" s="328">
        <v>7</v>
      </c>
      <c r="W67" s="258"/>
      <c r="X67" s="328">
        <v>6</v>
      </c>
      <c r="Y67" s="258"/>
      <c r="Z67" s="328">
        <v>8</v>
      </c>
      <c r="AB67" s="209"/>
      <c r="AC67" s="13">
        <f t="shared" ref="AC67:AC68" si="8">AVERAGE(X67,V67,T67,R67,Z67)</f>
        <v>7.2</v>
      </c>
    </row>
    <row r="68" spans="2:29" ht="12" x14ac:dyDescent="0.2">
      <c r="B68" s="57" t="s">
        <v>104</v>
      </c>
      <c r="C68" s="129"/>
      <c r="D68" s="166">
        <v>0</v>
      </c>
      <c r="E68" s="4"/>
      <c r="F68" s="125">
        <v>1</v>
      </c>
      <c r="G68" s="258"/>
      <c r="H68" s="328">
        <v>2</v>
      </c>
      <c r="I68" s="235"/>
      <c r="J68" s="248">
        <v>1</v>
      </c>
      <c r="K68" s="258"/>
      <c r="L68" s="248">
        <v>2</v>
      </c>
      <c r="M68" s="258"/>
      <c r="N68" s="328">
        <v>2</v>
      </c>
      <c r="O68" s="258"/>
      <c r="P68" s="328">
        <v>2</v>
      </c>
      <c r="Q68" s="258"/>
      <c r="R68" s="328">
        <v>2</v>
      </c>
      <c r="S68" s="258"/>
      <c r="T68" s="328">
        <v>3</v>
      </c>
      <c r="U68" s="258"/>
      <c r="V68" s="328">
        <v>4</v>
      </c>
      <c r="W68" s="258"/>
      <c r="X68" s="328">
        <v>3</v>
      </c>
      <c r="Y68" s="258"/>
      <c r="Z68" s="328">
        <v>1</v>
      </c>
      <c r="AB68" s="209"/>
      <c r="AC68" s="13">
        <f t="shared" si="8"/>
        <v>2.6</v>
      </c>
    </row>
    <row r="69" spans="2:29" ht="12" x14ac:dyDescent="0.2">
      <c r="B69" s="52" t="s">
        <v>29</v>
      </c>
      <c r="C69" s="129"/>
      <c r="D69" s="132"/>
      <c r="E69" s="4"/>
      <c r="F69" s="39"/>
      <c r="G69" s="258"/>
      <c r="H69" s="329"/>
      <c r="I69" s="235"/>
      <c r="J69" s="239"/>
      <c r="K69" s="258"/>
      <c r="L69" s="239"/>
      <c r="M69" s="258"/>
      <c r="N69" s="329"/>
      <c r="O69" s="258"/>
      <c r="P69" s="329"/>
      <c r="Q69" s="258"/>
      <c r="R69" s="329"/>
      <c r="S69" s="258"/>
      <c r="T69" s="329"/>
      <c r="U69" s="258"/>
      <c r="V69" s="329"/>
      <c r="W69" s="258"/>
      <c r="X69" s="329"/>
      <c r="Y69" s="258"/>
      <c r="Z69" s="329"/>
      <c r="AB69" s="209"/>
      <c r="AC69" s="13"/>
    </row>
    <row r="70" spans="2:29" ht="12" x14ac:dyDescent="0.2">
      <c r="B70" s="57" t="s">
        <v>28</v>
      </c>
      <c r="C70" s="129"/>
      <c r="D70" s="132">
        <v>3</v>
      </c>
      <c r="E70" s="4"/>
      <c r="F70" s="39">
        <v>4</v>
      </c>
      <c r="G70" s="258"/>
      <c r="H70" s="329">
        <v>7</v>
      </c>
      <c r="I70" s="235"/>
      <c r="J70" s="239">
        <v>10</v>
      </c>
      <c r="K70" s="258"/>
      <c r="L70" s="239">
        <v>10</v>
      </c>
      <c r="M70" s="258"/>
      <c r="N70" s="329">
        <v>10</v>
      </c>
      <c r="O70" s="258"/>
      <c r="P70" s="329">
        <v>10</v>
      </c>
      <c r="Q70" s="258"/>
      <c r="R70" s="329">
        <v>12</v>
      </c>
      <c r="S70" s="258"/>
      <c r="T70" s="329">
        <v>12</v>
      </c>
      <c r="U70" s="258"/>
      <c r="V70" s="329">
        <v>14</v>
      </c>
      <c r="W70" s="258"/>
      <c r="X70" s="329">
        <v>16</v>
      </c>
      <c r="Y70" s="258"/>
      <c r="Z70" s="329">
        <v>21</v>
      </c>
      <c r="AB70" s="209"/>
      <c r="AC70" s="13">
        <f t="shared" ref="AC70:AC72" si="9">AVERAGE(X70,V70,T70,R70,Z70)</f>
        <v>15</v>
      </c>
    </row>
    <row r="71" spans="2:29" ht="12" x14ac:dyDescent="0.2">
      <c r="B71" s="282" t="s">
        <v>104</v>
      </c>
      <c r="C71" s="129"/>
      <c r="D71" s="132">
        <v>1</v>
      </c>
      <c r="E71" s="4"/>
      <c r="F71" s="39">
        <v>1</v>
      </c>
      <c r="G71" s="258"/>
      <c r="H71" s="329">
        <v>0</v>
      </c>
      <c r="I71" s="235"/>
      <c r="J71" s="239">
        <v>0</v>
      </c>
      <c r="K71" s="258"/>
      <c r="L71" s="239">
        <v>1</v>
      </c>
      <c r="M71" s="258"/>
      <c r="N71" s="329">
        <v>1</v>
      </c>
      <c r="O71" s="258"/>
      <c r="P71" s="329">
        <v>1</v>
      </c>
      <c r="Q71" s="258"/>
      <c r="R71" s="329">
        <v>1</v>
      </c>
      <c r="S71" s="258"/>
      <c r="T71" s="329"/>
      <c r="U71" s="258"/>
      <c r="V71" s="329">
        <v>0</v>
      </c>
      <c r="W71" s="258"/>
      <c r="X71" s="329">
        <v>0</v>
      </c>
      <c r="Y71" s="258"/>
      <c r="Z71" s="329">
        <v>1</v>
      </c>
      <c r="AB71" s="209"/>
      <c r="AC71" s="13">
        <f t="shared" si="9"/>
        <v>0.5</v>
      </c>
    </row>
    <row r="72" spans="2:29" thickBot="1" x14ac:dyDescent="0.25">
      <c r="B72" s="56" t="s">
        <v>14</v>
      </c>
      <c r="C72" s="167"/>
      <c r="D72" s="180">
        <f>SUM(D67:D71)</f>
        <v>15</v>
      </c>
      <c r="E72" s="83"/>
      <c r="F72" s="82">
        <f>SUM(F67:F71)</f>
        <v>16</v>
      </c>
      <c r="G72" s="304"/>
      <c r="H72" s="330">
        <v>17</v>
      </c>
      <c r="I72" s="327"/>
      <c r="J72" s="82">
        <f>SUM(J67:J71)</f>
        <v>21</v>
      </c>
      <c r="K72" s="304"/>
      <c r="L72" s="82">
        <f>SUM(L67:L71)</f>
        <v>19</v>
      </c>
      <c r="M72" s="304"/>
      <c r="N72" s="180">
        <f>SUM(N67:N71)</f>
        <v>21</v>
      </c>
      <c r="O72" s="304"/>
      <c r="P72" s="180">
        <f>SUM(P67:P71)</f>
        <v>21</v>
      </c>
      <c r="Q72" s="304"/>
      <c r="R72" s="330">
        <f>SUM(R67:R71)</f>
        <v>23</v>
      </c>
      <c r="S72" s="304"/>
      <c r="T72" s="330">
        <f>SUM(T67:T71)</f>
        <v>22</v>
      </c>
      <c r="U72" s="304"/>
      <c r="V72" s="330">
        <f>SUM(V67:V71)</f>
        <v>25</v>
      </c>
      <c r="W72" s="304"/>
      <c r="X72" s="330">
        <f>SUM(X67:X71)</f>
        <v>25</v>
      </c>
      <c r="Y72" s="304"/>
      <c r="Z72" s="330">
        <f>SUM(Z67:Z71)</f>
        <v>31</v>
      </c>
      <c r="AB72" s="560"/>
      <c r="AC72" s="413">
        <f t="shared" si="9"/>
        <v>25.2</v>
      </c>
    </row>
    <row r="73" spans="2:29" thickTop="1" x14ac:dyDescent="0.2">
      <c r="B73" s="289" t="s">
        <v>71</v>
      </c>
      <c r="C73" s="168"/>
      <c r="D73" s="169"/>
      <c r="E73" s="122"/>
      <c r="F73" s="165"/>
      <c r="G73" s="305" t="s">
        <v>69</v>
      </c>
      <c r="H73" s="355" t="s">
        <v>70</v>
      </c>
      <c r="I73" s="305" t="s">
        <v>69</v>
      </c>
      <c r="J73" s="355" t="s">
        <v>70</v>
      </c>
      <c r="K73" s="305" t="s">
        <v>69</v>
      </c>
      <c r="L73" s="355" t="s">
        <v>70</v>
      </c>
      <c r="M73" s="305" t="s">
        <v>69</v>
      </c>
      <c r="N73" s="355" t="s">
        <v>70</v>
      </c>
      <c r="O73" s="305" t="s">
        <v>69</v>
      </c>
      <c r="P73" s="355" t="s">
        <v>70</v>
      </c>
      <c r="Q73" s="305" t="s">
        <v>69</v>
      </c>
      <c r="R73" s="355" t="s">
        <v>70</v>
      </c>
      <c r="S73" s="305" t="s">
        <v>69</v>
      </c>
      <c r="T73" s="355" t="s">
        <v>70</v>
      </c>
      <c r="U73" s="305" t="s">
        <v>69</v>
      </c>
      <c r="V73" s="355" t="s">
        <v>70</v>
      </c>
      <c r="W73" s="305" t="s">
        <v>69</v>
      </c>
      <c r="X73" s="355" t="s">
        <v>70</v>
      </c>
      <c r="Y73" s="305" t="s">
        <v>69</v>
      </c>
      <c r="Z73" s="355" t="s">
        <v>70</v>
      </c>
      <c r="AB73" s="576" t="s">
        <v>69</v>
      </c>
      <c r="AC73" s="577" t="s">
        <v>70</v>
      </c>
    </row>
    <row r="74" spans="2:29" ht="12" x14ac:dyDescent="0.2">
      <c r="B74" s="57" t="s">
        <v>53</v>
      </c>
      <c r="C74" s="170">
        <v>14</v>
      </c>
      <c r="D74" s="171">
        <f>C74/D$72</f>
        <v>0.93333333333333335</v>
      </c>
      <c r="E74" s="123">
        <v>15</v>
      </c>
      <c r="F74" s="177">
        <f t="shared" ref="F74:H81" si="10">E74/F$72</f>
        <v>0.9375</v>
      </c>
      <c r="G74" s="170">
        <v>14</v>
      </c>
      <c r="H74" s="188">
        <f t="shared" si="10"/>
        <v>0.82352941176470584</v>
      </c>
      <c r="I74" s="123">
        <v>15</v>
      </c>
      <c r="J74" s="177">
        <f t="shared" ref="J74:L81" si="11">I74/J$72</f>
        <v>0.7142857142857143</v>
      </c>
      <c r="K74" s="170">
        <v>13</v>
      </c>
      <c r="L74" s="177">
        <f t="shared" si="11"/>
        <v>0.68421052631578949</v>
      </c>
      <c r="M74" s="170">
        <v>14</v>
      </c>
      <c r="N74" s="188">
        <f t="shared" ref="N74:P81" si="12">M74/N$72</f>
        <v>0.66666666666666663</v>
      </c>
      <c r="O74" s="170">
        <v>14</v>
      </c>
      <c r="P74" s="188">
        <f t="shared" si="12"/>
        <v>0.66666666666666663</v>
      </c>
      <c r="Q74" s="170">
        <v>15</v>
      </c>
      <c r="R74" s="188">
        <f t="shared" ref="R74:T81" si="13">Q74/R$72</f>
        <v>0.65217391304347827</v>
      </c>
      <c r="S74" s="170">
        <f>3+10</f>
        <v>13</v>
      </c>
      <c r="T74" s="188">
        <f t="shared" si="13"/>
        <v>0.59090909090909094</v>
      </c>
      <c r="U74" s="170">
        <v>15</v>
      </c>
      <c r="V74" s="188">
        <f t="shared" ref="V74:V81" si="14">U74/V$72</f>
        <v>0.6</v>
      </c>
      <c r="W74" s="170">
        <v>15</v>
      </c>
      <c r="X74" s="188">
        <f t="shared" ref="X74:X81" si="15">W74/X$72</f>
        <v>0.6</v>
      </c>
      <c r="Y74" s="170">
        <v>19</v>
      </c>
      <c r="Z74" s="188">
        <f t="shared" ref="Z74:Z81" si="16">Y74/Z$72</f>
        <v>0.61290322580645162</v>
      </c>
      <c r="AA74" s="506"/>
      <c r="AB74" s="578">
        <f t="shared" ref="AB74:AB81" si="17">AVERAGE(W74,U74,S74,Q74,Y74)</f>
        <v>15.4</v>
      </c>
      <c r="AC74" s="580">
        <f t="shared" ref="AC74:AC81" si="18">AVERAGE(X74,V74,T74,R74,Z74)</f>
        <v>0.61119724595180425</v>
      </c>
    </row>
    <row r="75" spans="2:29" ht="12" x14ac:dyDescent="0.2">
      <c r="B75" s="102" t="s">
        <v>54</v>
      </c>
      <c r="C75" s="170">
        <v>0</v>
      </c>
      <c r="D75" s="171">
        <f t="shared" ref="D75:D93" si="19">C75/$D$72</f>
        <v>0</v>
      </c>
      <c r="E75" s="123">
        <v>0</v>
      </c>
      <c r="F75" s="177">
        <f t="shared" si="10"/>
        <v>0</v>
      </c>
      <c r="G75" s="170">
        <v>0</v>
      </c>
      <c r="H75" s="188">
        <f t="shared" si="10"/>
        <v>0</v>
      </c>
      <c r="I75" s="123">
        <v>0</v>
      </c>
      <c r="J75" s="177">
        <f t="shared" si="11"/>
        <v>0</v>
      </c>
      <c r="K75" s="170">
        <v>0</v>
      </c>
      <c r="L75" s="177">
        <f t="shared" si="11"/>
        <v>0</v>
      </c>
      <c r="M75" s="170">
        <v>0</v>
      </c>
      <c r="N75" s="188">
        <f t="shared" si="12"/>
        <v>0</v>
      </c>
      <c r="O75" s="170">
        <v>0</v>
      </c>
      <c r="P75" s="188">
        <f t="shared" si="12"/>
        <v>0</v>
      </c>
      <c r="Q75" s="170">
        <v>0</v>
      </c>
      <c r="R75" s="188">
        <f t="shared" si="13"/>
        <v>0</v>
      </c>
      <c r="S75" s="170">
        <f>0</f>
        <v>0</v>
      </c>
      <c r="T75" s="188">
        <f t="shared" si="13"/>
        <v>0</v>
      </c>
      <c r="U75" s="170">
        <v>0</v>
      </c>
      <c r="V75" s="188">
        <f t="shared" si="14"/>
        <v>0</v>
      </c>
      <c r="W75" s="170">
        <v>0</v>
      </c>
      <c r="X75" s="188">
        <f t="shared" si="15"/>
        <v>0</v>
      </c>
      <c r="Y75" s="170">
        <v>0</v>
      </c>
      <c r="Z75" s="188">
        <f t="shared" si="16"/>
        <v>0</v>
      </c>
      <c r="AA75" s="506"/>
      <c r="AB75" s="578">
        <f t="shared" si="17"/>
        <v>0</v>
      </c>
      <c r="AC75" s="580">
        <f t="shared" si="18"/>
        <v>0</v>
      </c>
    </row>
    <row r="76" spans="2:29" ht="12" x14ac:dyDescent="0.2">
      <c r="B76" s="102" t="s">
        <v>55</v>
      </c>
      <c r="C76" s="170">
        <v>0</v>
      </c>
      <c r="D76" s="171">
        <f t="shared" si="19"/>
        <v>0</v>
      </c>
      <c r="E76" s="123">
        <v>0</v>
      </c>
      <c r="F76" s="177">
        <f t="shared" si="10"/>
        <v>0</v>
      </c>
      <c r="G76" s="170">
        <v>0</v>
      </c>
      <c r="H76" s="188">
        <f t="shared" si="10"/>
        <v>0</v>
      </c>
      <c r="I76" s="123">
        <v>0</v>
      </c>
      <c r="J76" s="177">
        <f t="shared" si="11"/>
        <v>0</v>
      </c>
      <c r="K76" s="170">
        <v>0</v>
      </c>
      <c r="L76" s="177">
        <f t="shared" si="11"/>
        <v>0</v>
      </c>
      <c r="M76" s="170">
        <v>0</v>
      </c>
      <c r="N76" s="188">
        <f t="shared" si="12"/>
        <v>0</v>
      </c>
      <c r="O76" s="170">
        <v>0</v>
      </c>
      <c r="P76" s="188">
        <f t="shared" si="12"/>
        <v>0</v>
      </c>
      <c r="Q76" s="170">
        <v>0</v>
      </c>
      <c r="R76" s="188">
        <f t="shared" si="13"/>
        <v>0</v>
      </c>
      <c r="S76" s="170">
        <f>0</f>
        <v>0</v>
      </c>
      <c r="T76" s="188">
        <f t="shared" si="13"/>
        <v>0</v>
      </c>
      <c r="U76" s="170">
        <v>0</v>
      </c>
      <c r="V76" s="188">
        <f t="shared" si="14"/>
        <v>0</v>
      </c>
      <c r="W76" s="170">
        <v>0</v>
      </c>
      <c r="X76" s="188">
        <f t="shared" si="15"/>
        <v>0</v>
      </c>
      <c r="Y76" s="170">
        <v>0</v>
      </c>
      <c r="Z76" s="188">
        <f t="shared" si="16"/>
        <v>0</v>
      </c>
      <c r="AA76" s="506"/>
      <c r="AB76" s="578">
        <f t="shared" si="17"/>
        <v>0</v>
      </c>
      <c r="AC76" s="580">
        <f t="shared" si="18"/>
        <v>0</v>
      </c>
    </row>
    <row r="77" spans="2:29" ht="12" x14ac:dyDescent="0.2">
      <c r="B77" s="102" t="s">
        <v>56</v>
      </c>
      <c r="C77" s="170">
        <v>0</v>
      </c>
      <c r="D77" s="171">
        <f t="shared" si="19"/>
        <v>0</v>
      </c>
      <c r="E77" s="123">
        <v>0</v>
      </c>
      <c r="F77" s="177">
        <f t="shared" si="10"/>
        <v>0</v>
      </c>
      <c r="G77" s="170">
        <v>0</v>
      </c>
      <c r="H77" s="188">
        <f t="shared" si="10"/>
        <v>0</v>
      </c>
      <c r="I77" s="123">
        <v>0</v>
      </c>
      <c r="J77" s="177">
        <f t="shared" si="11"/>
        <v>0</v>
      </c>
      <c r="K77" s="170">
        <v>0</v>
      </c>
      <c r="L77" s="177">
        <f t="shared" si="11"/>
        <v>0</v>
      </c>
      <c r="M77" s="170">
        <v>0</v>
      </c>
      <c r="N77" s="188">
        <f t="shared" si="12"/>
        <v>0</v>
      </c>
      <c r="O77" s="170">
        <v>0</v>
      </c>
      <c r="P77" s="188">
        <f t="shared" si="12"/>
        <v>0</v>
      </c>
      <c r="Q77" s="170">
        <v>0</v>
      </c>
      <c r="R77" s="188">
        <f t="shared" si="13"/>
        <v>0</v>
      </c>
      <c r="S77" s="170">
        <f>0</f>
        <v>0</v>
      </c>
      <c r="T77" s="188">
        <f t="shared" si="13"/>
        <v>0</v>
      </c>
      <c r="U77" s="170">
        <v>0</v>
      </c>
      <c r="V77" s="188">
        <f t="shared" si="14"/>
        <v>0</v>
      </c>
      <c r="W77" s="170">
        <v>0</v>
      </c>
      <c r="X77" s="188">
        <f t="shared" si="15"/>
        <v>0</v>
      </c>
      <c r="Y77" s="170">
        <v>0</v>
      </c>
      <c r="Z77" s="188">
        <f t="shared" si="16"/>
        <v>0</v>
      </c>
      <c r="AA77" s="506"/>
      <c r="AB77" s="578">
        <f t="shared" si="17"/>
        <v>0</v>
      </c>
      <c r="AC77" s="580">
        <f t="shared" si="18"/>
        <v>0</v>
      </c>
    </row>
    <row r="78" spans="2:29" ht="12" x14ac:dyDescent="0.2">
      <c r="B78" s="102" t="s">
        <v>57</v>
      </c>
      <c r="C78" s="170">
        <v>1</v>
      </c>
      <c r="D78" s="171">
        <f t="shared" si="19"/>
        <v>6.6666666666666666E-2</v>
      </c>
      <c r="E78" s="123">
        <v>1</v>
      </c>
      <c r="F78" s="177">
        <f t="shared" si="10"/>
        <v>6.25E-2</v>
      </c>
      <c r="G78" s="170">
        <v>2</v>
      </c>
      <c r="H78" s="188">
        <f t="shared" si="10"/>
        <v>0.11764705882352941</v>
      </c>
      <c r="I78" s="123">
        <v>2</v>
      </c>
      <c r="J78" s="177">
        <f t="shared" si="11"/>
        <v>9.5238095238095233E-2</v>
      </c>
      <c r="K78" s="170">
        <v>3</v>
      </c>
      <c r="L78" s="177">
        <f t="shared" si="11"/>
        <v>0.15789473684210525</v>
      </c>
      <c r="M78" s="170">
        <v>3</v>
      </c>
      <c r="N78" s="188">
        <f t="shared" si="12"/>
        <v>0.14285714285714285</v>
      </c>
      <c r="O78" s="170">
        <v>4</v>
      </c>
      <c r="P78" s="188">
        <f t="shared" si="12"/>
        <v>0.19047619047619047</v>
      </c>
      <c r="Q78" s="170">
        <v>5</v>
      </c>
      <c r="R78" s="188">
        <f t="shared" si="13"/>
        <v>0.21739130434782608</v>
      </c>
      <c r="S78" s="170">
        <f>6</f>
        <v>6</v>
      </c>
      <c r="T78" s="188">
        <f t="shared" si="13"/>
        <v>0.27272727272727271</v>
      </c>
      <c r="U78" s="170">
        <v>8</v>
      </c>
      <c r="V78" s="188">
        <f t="shared" si="14"/>
        <v>0.32</v>
      </c>
      <c r="W78" s="170">
        <v>8</v>
      </c>
      <c r="X78" s="188">
        <f t="shared" si="15"/>
        <v>0.32</v>
      </c>
      <c r="Y78" s="170">
        <v>9</v>
      </c>
      <c r="Z78" s="188">
        <f t="shared" si="16"/>
        <v>0.29032258064516131</v>
      </c>
      <c r="AA78" s="506"/>
      <c r="AB78" s="578">
        <f t="shared" si="17"/>
        <v>7.2</v>
      </c>
      <c r="AC78" s="580">
        <f t="shared" si="18"/>
        <v>0.28408823154405199</v>
      </c>
    </row>
    <row r="79" spans="2:29" ht="12" x14ac:dyDescent="0.2">
      <c r="B79" s="102" t="s">
        <v>58</v>
      </c>
      <c r="C79" s="170">
        <v>0</v>
      </c>
      <c r="D79" s="171">
        <f t="shared" si="19"/>
        <v>0</v>
      </c>
      <c r="E79" s="123">
        <v>0</v>
      </c>
      <c r="F79" s="177">
        <f t="shared" si="10"/>
        <v>0</v>
      </c>
      <c r="G79" s="170">
        <v>1</v>
      </c>
      <c r="H79" s="188">
        <f t="shared" si="10"/>
        <v>5.8823529411764705E-2</v>
      </c>
      <c r="I79" s="123">
        <v>4</v>
      </c>
      <c r="J79" s="177">
        <f t="shared" si="11"/>
        <v>0.19047619047619047</v>
      </c>
      <c r="K79" s="170">
        <v>3</v>
      </c>
      <c r="L79" s="177">
        <f t="shared" si="11"/>
        <v>0.15789473684210525</v>
      </c>
      <c r="M79" s="170">
        <v>2</v>
      </c>
      <c r="N79" s="188">
        <f t="shared" si="12"/>
        <v>9.5238095238095233E-2</v>
      </c>
      <c r="O79" s="170">
        <v>1</v>
      </c>
      <c r="P79" s="188">
        <f t="shared" si="12"/>
        <v>4.7619047619047616E-2</v>
      </c>
      <c r="Q79" s="170">
        <v>2</v>
      </c>
      <c r="R79" s="188">
        <f t="shared" si="13"/>
        <v>8.6956521739130432E-2</v>
      </c>
      <c r="S79" s="170">
        <f>2</f>
        <v>2</v>
      </c>
      <c r="T79" s="188">
        <f t="shared" si="13"/>
        <v>9.0909090909090912E-2</v>
      </c>
      <c r="U79" s="170">
        <v>2</v>
      </c>
      <c r="V79" s="188">
        <f t="shared" si="14"/>
        <v>0.08</v>
      </c>
      <c r="W79" s="170">
        <v>2</v>
      </c>
      <c r="X79" s="188">
        <f t="shared" si="15"/>
        <v>0.08</v>
      </c>
      <c r="Y79" s="170">
        <v>3</v>
      </c>
      <c r="Z79" s="188">
        <f t="shared" si="16"/>
        <v>9.6774193548387094E-2</v>
      </c>
      <c r="AA79" s="506"/>
      <c r="AB79" s="578">
        <f t="shared" si="17"/>
        <v>2.2000000000000002</v>
      </c>
      <c r="AC79" s="580">
        <f t="shared" si="18"/>
        <v>8.6927961239321699E-2</v>
      </c>
    </row>
    <row r="80" spans="2:29" ht="12" x14ac:dyDescent="0.2">
      <c r="B80" s="102" t="s">
        <v>126</v>
      </c>
      <c r="C80" s="172"/>
      <c r="D80" s="171"/>
      <c r="E80" s="124"/>
      <c r="F80" s="177"/>
      <c r="G80" s="722"/>
      <c r="H80" s="723"/>
      <c r="I80" s="724"/>
      <c r="J80" s="725"/>
      <c r="K80" s="722"/>
      <c r="L80" s="725"/>
      <c r="M80" s="722"/>
      <c r="N80" s="723"/>
      <c r="O80" s="722"/>
      <c r="P80" s="723"/>
      <c r="Q80" s="172">
        <v>0</v>
      </c>
      <c r="R80" s="188">
        <f t="shared" si="13"/>
        <v>0</v>
      </c>
      <c r="S80" s="172">
        <f>0</f>
        <v>0</v>
      </c>
      <c r="T80" s="188">
        <f t="shared" si="13"/>
        <v>0</v>
      </c>
      <c r="U80" s="172">
        <v>0</v>
      </c>
      <c r="V80" s="188">
        <f t="shared" si="14"/>
        <v>0</v>
      </c>
      <c r="W80" s="172">
        <v>0</v>
      </c>
      <c r="X80" s="188">
        <f t="shared" si="15"/>
        <v>0</v>
      </c>
      <c r="Y80" s="172">
        <v>0</v>
      </c>
      <c r="Z80" s="188">
        <f t="shared" si="16"/>
        <v>0</v>
      </c>
      <c r="AA80" s="506"/>
      <c r="AB80" s="578">
        <f t="shared" si="17"/>
        <v>0</v>
      </c>
      <c r="AC80" s="580">
        <f t="shared" si="18"/>
        <v>0</v>
      </c>
    </row>
    <row r="81" spans="1:29" ht="12" x14ac:dyDescent="0.2">
      <c r="B81" s="102" t="s">
        <v>59</v>
      </c>
      <c r="C81" s="172">
        <v>0</v>
      </c>
      <c r="D81" s="171">
        <f t="shared" si="19"/>
        <v>0</v>
      </c>
      <c r="E81" s="124">
        <v>0</v>
      </c>
      <c r="F81" s="177">
        <f t="shared" si="10"/>
        <v>0</v>
      </c>
      <c r="G81" s="172">
        <v>0</v>
      </c>
      <c r="H81" s="188">
        <f t="shared" si="10"/>
        <v>0</v>
      </c>
      <c r="I81" s="124">
        <v>0</v>
      </c>
      <c r="J81" s="177">
        <f t="shared" si="11"/>
        <v>0</v>
      </c>
      <c r="K81" s="172">
        <v>0</v>
      </c>
      <c r="L81" s="177">
        <f t="shared" si="11"/>
        <v>0</v>
      </c>
      <c r="M81" s="172">
        <v>2</v>
      </c>
      <c r="N81" s="188">
        <f t="shared" si="12"/>
        <v>9.5238095238095233E-2</v>
      </c>
      <c r="O81" s="172">
        <v>2</v>
      </c>
      <c r="P81" s="188">
        <f t="shared" si="12"/>
        <v>9.5238095238095233E-2</v>
      </c>
      <c r="Q81" s="172">
        <v>1</v>
      </c>
      <c r="R81" s="188">
        <f t="shared" si="13"/>
        <v>4.3478260869565216E-2</v>
      </c>
      <c r="S81" s="172">
        <f>1</f>
        <v>1</v>
      </c>
      <c r="T81" s="188">
        <f t="shared" si="13"/>
        <v>4.5454545454545456E-2</v>
      </c>
      <c r="U81" s="172">
        <v>0</v>
      </c>
      <c r="V81" s="188">
        <f t="shared" si="14"/>
        <v>0</v>
      </c>
      <c r="W81" s="172">
        <v>0</v>
      </c>
      <c r="X81" s="188">
        <f t="shared" si="15"/>
        <v>0</v>
      </c>
      <c r="Y81" s="172">
        <v>0</v>
      </c>
      <c r="Z81" s="188">
        <f t="shared" si="16"/>
        <v>0</v>
      </c>
      <c r="AA81" s="506"/>
      <c r="AB81" s="578">
        <f t="shared" si="17"/>
        <v>0.4</v>
      </c>
      <c r="AC81" s="580">
        <f t="shared" si="18"/>
        <v>1.7786561264822136E-2</v>
      </c>
    </row>
    <row r="82" spans="1:29" ht="12" x14ac:dyDescent="0.2">
      <c r="B82" s="286" t="s">
        <v>72</v>
      </c>
      <c r="C82" s="173"/>
      <c r="D82" s="171"/>
      <c r="E82" s="182"/>
      <c r="F82" s="291"/>
      <c r="G82" s="309"/>
      <c r="H82" s="356"/>
      <c r="I82" s="182"/>
      <c r="J82" s="291"/>
      <c r="K82" s="309"/>
      <c r="L82" s="291"/>
      <c r="M82" s="309"/>
      <c r="N82" s="356"/>
      <c r="O82" s="309"/>
      <c r="P82" s="356"/>
      <c r="Q82" s="309"/>
      <c r="R82" s="356"/>
      <c r="S82" s="309"/>
      <c r="T82" s="356"/>
      <c r="U82" s="309"/>
      <c r="V82" s="356"/>
      <c r="W82" s="309"/>
      <c r="X82" s="356"/>
      <c r="Y82" s="309"/>
      <c r="Z82" s="356"/>
      <c r="AA82" s="506"/>
      <c r="AB82" s="578"/>
      <c r="AC82" s="580"/>
    </row>
    <row r="83" spans="1:29" ht="12" x14ac:dyDescent="0.2">
      <c r="B83" s="57" t="s">
        <v>60</v>
      </c>
      <c r="C83" s="185">
        <v>11</v>
      </c>
      <c r="D83" s="171">
        <f t="shared" si="19"/>
        <v>0.73333333333333328</v>
      </c>
      <c r="E83" s="125">
        <v>10</v>
      </c>
      <c r="F83" s="297">
        <f>E83/F$72</f>
        <v>0.625</v>
      </c>
      <c r="G83" s="185">
        <v>12</v>
      </c>
      <c r="H83" s="357">
        <f>G83/H$72</f>
        <v>0.70588235294117652</v>
      </c>
      <c r="I83" s="248">
        <v>13</v>
      </c>
      <c r="J83" s="177">
        <f>I83/J$72</f>
        <v>0.61904761904761907</v>
      </c>
      <c r="K83" s="185">
        <v>12</v>
      </c>
      <c r="L83" s="177">
        <f>K83/L$72</f>
        <v>0.63157894736842102</v>
      </c>
      <c r="M83" s="185">
        <v>13</v>
      </c>
      <c r="N83" s="188">
        <f>M83/N$72</f>
        <v>0.61904761904761907</v>
      </c>
      <c r="O83" s="185">
        <v>12</v>
      </c>
      <c r="P83" s="188">
        <f>O83/P$72</f>
        <v>0.5714285714285714</v>
      </c>
      <c r="Q83" s="185">
        <v>13</v>
      </c>
      <c r="R83" s="188">
        <f>Q83/R$72</f>
        <v>0.56521739130434778</v>
      </c>
      <c r="S83" s="185">
        <f>12</f>
        <v>12</v>
      </c>
      <c r="T83" s="188">
        <f>S83/T$72</f>
        <v>0.54545454545454541</v>
      </c>
      <c r="U83" s="185">
        <v>14</v>
      </c>
      <c r="V83" s="188">
        <f>U83/V$72</f>
        <v>0.56000000000000005</v>
      </c>
      <c r="W83" s="185">
        <v>15</v>
      </c>
      <c r="X83" s="188">
        <f>W83/X$72</f>
        <v>0.6</v>
      </c>
      <c r="Y83" s="185">
        <v>21</v>
      </c>
      <c r="Z83" s="188">
        <f>Y83/Z$72</f>
        <v>0.67741935483870963</v>
      </c>
      <c r="AA83" s="506"/>
      <c r="AB83" s="578">
        <f t="shared" ref="AB83:AB84" si="20">AVERAGE(W83,U83,S83,Q83,Y83)</f>
        <v>15</v>
      </c>
      <c r="AC83" s="580">
        <f t="shared" ref="AC83:AC84" si="21">AVERAGE(X83,V83,T83,R83,Z83)</f>
        <v>0.58961825831952053</v>
      </c>
    </row>
    <row r="84" spans="1:29" ht="12" x14ac:dyDescent="0.2">
      <c r="B84" s="57" t="s">
        <v>61</v>
      </c>
      <c r="C84" s="185">
        <v>4</v>
      </c>
      <c r="D84" s="171">
        <f t="shared" si="19"/>
        <v>0.26666666666666666</v>
      </c>
      <c r="E84" s="179">
        <v>6</v>
      </c>
      <c r="F84" s="297">
        <f>E84/F$72</f>
        <v>0.375</v>
      </c>
      <c r="G84" s="190">
        <v>5</v>
      </c>
      <c r="H84" s="357">
        <f>G84/H$72</f>
        <v>0.29411764705882354</v>
      </c>
      <c r="I84" s="352">
        <v>8</v>
      </c>
      <c r="J84" s="177">
        <f>I84/J$72</f>
        <v>0.38095238095238093</v>
      </c>
      <c r="K84" s="190">
        <v>7</v>
      </c>
      <c r="L84" s="177">
        <f>K84/L$72</f>
        <v>0.36842105263157893</v>
      </c>
      <c r="M84" s="190">
        <v>8</v>
      </c>
      <c r="N84" s="188">
        <f>M84/N$72</f>
        <v>0.38095238095238093</v>
      </c>
      <c r="O84" s="190">
        <v>9</v>
      </c>
      <c r="P84" s="188">
        <f>O84/P$72</f>
        <v>0.42857142857142855</v>
      </c>
      <c r="Q84" s="190">
        <v>10</v>
      </c>
      <c r="R84" s="188">
        <f>Q84/R$72</f>
        <v>0.43478260869565216</v>
      </c>
      <c r="S84" s="190">
        <f>3+7</f>
        <v>10</v>
      </c>
      <c r="T84" s="188">
        <f>S84/T$72</f>
        <v>0.45454545454545453</v>
      </c>
      <c r="U84" s="190">
        <v>11</v>
      </c>
      <c r="V84" s="188">
        <f>U84/V$72</f>
        <v>0.44</v>
      </c>
      <c r="W84" s="190">
        <v>10</v>
      </c>
      <c r="X84" s="188">
        <f>W84/X$72</f>
        <v>0.4</v>
      </c>
      <c r="Y84" s="190">
        <v>10</v>
      </c>
      <c r="Z84" s="188">
        <f>Y84/Z$72</f>
        <v>0.32258064516129031</v>
      </c>
      <c r="AA84" s="506"/>
      <c r="AB84" s="578">
        <f t="shared" si="20"/>
        <v>10.199999999999999</v>
      </c>
      <c r="AC84" s="580">
        <f t="shared" si="21"/>
        <v>0.41038174168047947</v>
      </c>
    </row>
    <row r="85" spans="1:29" ht="12" x14ac:dyDescent="0.2">
      <c r="B85" s="286" t="s">
        <v>73</v>
      </c>
      <c r="C85" s="174"/>
      <c r="D85" s="171"/>
      <c r="E85" s="183"/>
      <c r="F85" s="297"/>
      <c r="G85" s="307"/>
      <c r="H85" s="357"/>
      <c r="I85" s="353"/>
      <c r="J85" s="177"/>
      <c r="K85" s="307"/>
      <c r="L85" s="177"/>
      <c r="M85" s="307"/>
      <c r="N85" s="188"/>
      <c r="O85" s="307"/>
      <c r="P85" s="188"/>
      <c r="Q85" s="307"/>
      <c r="R85" s="188"/>
      <c r="S85" s="307"/>
      <c r="T85" s="188"/>
      <c r="U85" s="307"/>
      <c r="V85" s="188"/>
      <c r="W85" s="307"/>
      <c r="X85" s="188"/>
      <c r="Y85" s="307"/>
      <c r="Z85" s="188"/>
      <c r="AA85" s="506"/>
      <c r="AB85" s="578"/>
      <c r="AC85" s="580"/>
    </row>
    <row r="86" spans="1:29" ht="12" x14ac:dyDescent="0.2">
      <c r="B86" s="57" t="s">
        <v>62</v>
      </c>
      <c r="C86" s="181">
        <v>11</v>
      </c>
      <c r="D86" s="171">
        <f t="shared" si="19"/>
        <v>0.73333333333333328</v>
      </c>
      <c r="E86" s="179">
        <v>12</v>
      </c>
      <c r="F86" s="297">
        <f>E86/F$72</f>
        <v>0.75</v>
      </c>
      <c r="G86" s="190">
        <v>11</v>
      </c>
      <c r="H86" s="357">
        <f>G86/H$72</f>
        <v>0.6470588235294118</v>
      </c>
      <c r="I86" s="352">
        <v>11</v>
      </c>
      <c r="J86" s="177">
        <f>I86/J$72</f>
        <v>0.52380952380952384</v>
      </c>
      <c r="K86" s="190">
        <v>10</v>
      </c>
      <c r="L86" s="177">
        <f>K86/L$72</f>
        <v>0.52631578947368418</v>
      </c>
      <c r="M86" s="190">
        <v>12</v>
      </c>
      <c r="N86" s="188">
        <f>M86/N$72</f>
        <v>0.5714285714285714</v>
      </c>
      <c r="O86" s="190">
        <v>12</v>
      </c>
      <c r="P86" s="188">
        <f>O86/P$72</f>
        <v>0.5714285714285714</v>
      </c>
      <c r="Q86" s="190">
        <v>14</v>
      </c>
      <c r="R86" s="188">
        <f>Q86/R$72</f>
        <v>0.60869565217391308</v>
      </c>
      <c r="S86" s="190">
        <f>12</f>
        <v>12</v>
      </c>
      <c r="T86" s="188">
        <f>S86/T$72</f>
        <v>0.54545454545454541</v>
      </c>
      <c r="U86" s="190">
        <v>15</v>
      </c>
      <c r="V86" s="188">
        <f>U86/V$72</f>
        <v>0.6</v>
      </c>
      <c r="W86" s="190">
        <v>14</v>
      </c>
      <c r="X86" s="188">
        <f>W86/X$72</f>
        <v>0.56000000000000005</v>
      </c>
      <c r="Y86" s="190">
        <v>16</v>
      </c>
      <c r="Z86" s="188">
        <f>Y86/Z$72</f>
        <v>0.5161290322580645</v>
      </c>
      <c r="AA86" s="506"/>
      <c r="AB86" s="578">
        <f t="shared" ref="AB86:AB88" si="22">AVERAGE(W86,U86,S86,Q86,Y86)</f>
        <v>14.2</v>
      </c>
      <c r="AC86" s="580">
        <f t="shared" ref="AC86:AC88" si="23">AVERAGE(X86,V86,T86,R86,Z86)</f>
        <v>0.56605584597730463</v>
      </c>
    </row>
    <row r="87" spans="1:29" ht="12" x14ac:dyDescent="0.2">
      <c r="B87" s="57" t="s">
        <v>63</v>
      </c>
      <c r="C87" s="181">
        <v>3</v>
      </c>
      <c r="D87" s="171">
        <f t="shared" si="19"/>
        <v>0.2</v>
      </c>
      <c r="E87" s="179">
        <v>1</v>
      </c>
      <c r="F87" s="297">
        <f>E87/F$72</f>
        <v>6.25E-2</v>
      </c>
      <c r="G87" s="190">
        <v>3</v>
      </c>
      <c r="H87" s="357">
        <f>G87/H$72</f>
        <v>0.17647058823529413</v>
      </c>
      <c r="I87" s="352">
        <v>4</v>
      </c>
      <c r="J87" s="177">
        <f>I87/J$72</f>
        <v>0.19047619047619047</v>
      </c>
      <c r="K87" s="190">
        <v>4</v>
      </c>
      <c r="L87" s="177">
        <f>K87/L$72</f>
        <v>0.21052631578947367</v>
      </c>
      <c r="M87" s="190">
        <v>3</v>
      </c>
      <c r="N87" s="188">
        <f>M87/N$72</f>
        <v>0.14285714285714285</v>
      </c>
      <c r="O87" s="190">
        <v>3</v>
      </c>
      <c r="P87" s="188">
        <f>O87/P$72</f>
        <v>0.14285714285714285</v>
      </c>
      <c r="Q87" s="190">
        <v>1</v>
      </c>
      <c r="R87" s="188">
        <f>Q87/R$72</f>
        <v>4.3478260869565216E-2</v>
      </c>
      <c r="S87" s="190">
        <f>1</f>
        <v>1</v>
      </c>
      <c r="T87" s="188">
        <f>S87/T$72</f>
        <v>4.5454545454545456E-2</v>
      </c>
      <c r="U87" s="190">
        <v>0</v>
      </c>
      <c r="V87" s="188">
        <f>U87/V$72</f>
        <v>0</v>
      </c>
      <c r="W87" s="190">
        <v>0</v>
      </c>
      <c r="X87" s="188">
        <f>W87/X$72</f>
        <v>0</v>
      </c>
      <c r="Y87" s="190">
        <v>3</v>
      </c>
      <c r="Z87" s="188">
        <f>Y87/Z$72</f>
        <v>9.6774193548387094E-2</v>
      </c>
      <c r="AA87" s="506"/>
      <c r="AB87" s="578">
        <f t="shared" si="22"/>
        <v>1</v>
      </c>
      <c r="AC87" s="580">
        <f t="shared" si="23"/>
        <v>3.7141399974499556E-2</v>
      </c>
    </row>
    <row r="88" spans="1:29" ht="12" x14ac:dyDescent="0.2">
      <c r="B88" s="57" t="s">
        <v>64</v>
      </c>
      <c r="C88" s="181">
        <v>1</v>
      </c>
      <c r="D88" s="171">
        <f t="shared" si="19"/>
        <v>6.6666666666666666E-2</v>
      </c>
      <c r="E88" s="179">
        <v>3</v>
      </c>
      <c r="F88" s="297">
        <f>E88/F$72</f>
        <v>0.1875</v>
      </c>
      <c r="G88" s="190">
        <v>3</v>
      </c>
      <c r="H88" s="357">
        <f>G88/H$72</f>
        <v>0.17647058823529413</v>
      </c>
      <c r="I88" s="352">
        <v>6</v>
      </c>
      <c r="J88" s="177">
        <f>I88/J$72</f>
        <v>0.2857142857142857</v>
      </c>
      <c r="K88" s="190">
        <v>5</v>
      </c>
      <c r="L88" s="177">
        <f>K88/L$72</f>
        <v>0.26315789473684209</v>
      </c>
      <c r="M88" s="190">
        <v>6</v>
      </c>
      <c r="N88" s="188">
        <f>M88/N$72</f>
        <v>0.2857142857142857</v>
      </c>
      <c r="O88" s="190">
        <v>6</v>
      </c>
      <c r="P88" s="188">
        <f>O88/P$72</f>
        <v>0.2857142857142857</v>
      </c>
      <c r="Q88" s="190">
        <v>8</v>
      </c>
      <c r="R88" s="188">
        <f>Q88/R$72</f>
        <v>0.34782608695652173</v>
      </c>
      <c r="S88" s="190">
        <f>3+6</f>
        <v>9</v>
      </c>
      <c r="T88" s="188">
        <f>S88/T$72</f>
        <v>0.40909090909090912</v>
      </c>
      <c r="U88" s="190">
        <v>10</v>
      </c>
      <c r="V88" s="188">
        <f>U88/V$72</f>
        <v>0.4</v>
      </c>
      <c r="W88" s="190">
        <v>11</v>
      </c>
      <c r="X88" s="188">
        <f>W88/X$72</f>
        <v>0.44</v>
      </c>
      <c r="Y88" s="190">
        <v>12</v>
      </c>
      <c r="Z88" s="188">
        <f>Y88/Z$72</f>
        <v>0.38709677419354838</v>
      </c>
      <c r="AA88" s="506"/>
      <c r="AB88" s="578">
        <f t="shared" si="22"/>
        <v>10</v>
      </c>
      <c r="AC88" s="580">
        <f t="shared" si="23"/>
        <v>0.39680275404819587</v>
      </c>
    </row>
    <row r="89" spans="1:29" ht="12" x14ac:dyDescent="0.2">
      <c r="B89" s="286" t="s">
        <v>74</v>
      </c>
      <c r="C89" s="174"/>
      <c r="D89" s="171"/>
      <c r="E89" s="183"/>
      <c r="F89" s="297"/>
      <c r="G89" s="307"/>
      <c r="H89" s="357"/>
      <c r="I89" s="353"/>
      <c r="J89" s="177"/>
      <c r="K89" s="307"/>
      <c r="L89" s="177"/>
      <c r="M89" s="307"/>
      <c r="N89" s="188"/>
      <c r="O89" s="307"/>
      <c r="P89" s="188"/>
      <c r="Q89" s="307"/>
      <c r="R89" s="188"/>
      <c r="S89" s="307"/>
      <c r="T89" s="188"/>
      <c r="U89" s="307"/>
      <c r="V89" s="188"/>
      <c r="W89" s="307"/>
      <c r="X89" s="188"/>
      <c r="Y89" s="307"/>
      <c r="Z89" s="188"/>
      <c r="AA89" s="506"/>
      <c r="AB89" s="578"/>
      <c r="AC89" s="580"/>
    </row>
    <row r="90" spans="1:29" ht="12" x14ac:dyDescent="0.2">
      <c r="B90" s="57" t="s">
        <v>65</v>
      </c>
      <c r="C90" s="181">
        <v>15</v>
      </c>
      <c r="D90" s="171">
        <f t="shared" si="19"/>
        <v>1</v>
      </c>
      <c r="E90" s="179">
        <v>16</v>
      </c>
      <c r="F90" s="297">
        <f>E90/F$72</f>
        <v>1</v>
      </c>
      <c r="G90" s="190">
        <v>17</v>
      </c>
      <c r="H90" s="357">
        <f>G90/H$72</f>
        <v>1</v>
      </c>
      <c r="I90" s="352">
        <v>21</v>
      </c>
      <c r="J90" s="177">
        <f>I90/J$72</f>
        <v>1</v>
      </c>
      <c r="K90" s="190">
        <v>19</v>
      </c>
      <c r="L90" s="177">
        <f>K90/L$72</f>
        <v>1</v>
      </c>
      <c r="M90" s="190">
        <v>21</v>
      </c>
      <c r="N90" s="188">
        <f>M90/N$72</f>
        <v>1</v>
      </c>
      <c r="O90" s="190">
        <v>21</v>
      </c>
      <c r="P90" s="188">
        <f>O90/P$72</f>
        <v>1</v>
      </c>
      <c r="Q90" s="190">
        <v>23</v>
      </c>
      <c r="R90" s="188">
        <f>Q90/R$72</f>
        <v>1</v>
      </c>
      <c r="S90" s="190">
        <f>3+19</f>
        <v>22</v>
      </c>
      <c r="T90" s="188">
        <f>S90/T$72</f>
        <v>1</v>
      </c>
      <c r="U90" s="190">
        <v>25</v>
      </c>
      <c r="V90" s="188">
        <f>U90/V$72</f>
        <v>1</v>
      </c>
      <c r="W90" s="190">
        <v>25</v>
      </c>
      <c r="X90" s="188">
        <f>W90/X$72</f>
        <v>1</v>
      </c>
      <c r="Y90" s="190">
        <v>31</v>
      </c>
      <c r="Z90" s="188">
        <f>Y90/Z$72</f>
        <v>1</v>
      </c>
      <c r="AA90" s="506"/>
      <c r="AB90" s="578">
        <f t="shared" ref="AB90:AB93" si="24">AVERAGE(W90,U90,S90,Q90,Y90)</f>
        <v>25.2</v>
      </c>
      <c r="AC90" s="580">
        <f t="shared" ref="AC90:AC93" si="25">AVERAGE(X90,V90,T90,R90,Z90)</f>
        <v>1</v>
      </c>
    </row>
    <row r="91" spans="1:29" ht="12" x14ac:dyDescent="0.2">
      <c r="B91" s="57" t="s">
        <v>66</v>
      </c>
      <c r="C91" s="181">
        <v>0</v>
      </c>
      <c r="D91" s="171">
        <f t="shared" si="19"/>
        <v>0</v>
      </c>
      <c r="E91" s="179">
        <v>0</v>
      </c>
      <c r="F91" s="297">
        <f>E91/F$72</f>
        <v>0</v>
      </c>
      <c r="G91" s="190">
        <v>0</v>
      </c>
      <c r="H91" s="357">
        <f>G91/H$72</f>
        <v>0</v>
      </c>
      <c r="I91" s="352">
        <v>0</v>
      </c>
      <c r="J91" s="177">
        <f>I91/J$72</f>
        <v>0</v>
      </c>
      <c r="K91" s="190">
        <v>0</v>
      </c>
      <c r="L91" s="177">
        <f>K91/L$72</f>
        <v>0</v>
      </c>
      <c r="M91" s="190">
        <v>0</v>
      </c>
      <c r="N91" s="188">
        <f>M91/N$72</f>
        <v>0</v>
      </c>
      <c r="O91" s="190">
        <v>0</v>
      </c>
      <c r="P91" s="188">
        <f>O91/P$72</f>
        <v>0</v>
      </c>
      <c r="Q91" s="190">
        <v>0</v>
      </c>
      <c r="R91" s="188">
        <f>Q91/R$72</f>
        <v>0</v>
      </c>
      <c r="S91" s="190">
        <f>0</f>
        <v>0</v>
      </c>
      <c r="T91" s="188">
        <f>S91/T$72</f>
        <v>0</v>
      </c>
      <c r="U91" s="190">
        <v>0</v>
      </c>
      <c r="V91" s="188">
        <f>U91/V$72</f>
        <v>0</v>
      </c>
      <c r="W91" s="190">
        <v>0</v>
      </c>
      <c r="X91" s="188">
        <f>W91/X$72</f>
        <v>0</v>
      </c>
      <c r="Y91" s="190">
        <v>0</v>
      </c>
      <c r="Z91" s="188">
        <f>Y91/Z$72</f>
        <v>0</v>
      </c>
      <c r="AA91" s="506"/>
      <c r="AB91" s="578">
        <f t="shared" si="24"/>
        <v>0</v>
      </c>
      <c r="AC91" s="580">
        <f t="shared" si="25"/>
        <v>0</v>
      </c>
    </row>
    <row r="92" spans="1:29" ht="12" x14ac:dyDescent="0.2">
      <c r="B92" s="57" t="s">
        <v>67</v>
      </c>
      <c r="C92" s="181">
        <v>0</v>
      </c>
      <c r="D92" s="171">
        <f t="shared" si="19"/>
        <v>0</v>
      </c>
      <c r="E92" s="179">
        <v>0</v>
      </c>
      <c r="F92" s="297">
        <f>E92/F$72</f>
        <v>0</v>
      </c>
      <c r="G92" s="190">
        <v>0</v>
      </c>
      <c r="H92" s="357">
        <f>G92/H$72</f>
        <v>0</v>
      </c>
      <c r="I92" s="352">
        <v>0</v>
      </c>
      <c r="J92" s="177">
        <f>I92/J$72</f>
        <v>0</v>
      </c>
      <c r="K92" s="190">
        <v>0</v>
      </c>
      <c r="L92" s="177">
        <f>K92/L$72</f>
        <v>0</v>
      </c>
      <c r="M92" s="190">
        <v>0</v>
      </c>
      <c r="N92" s="188">
        <f>M92/N$72</f>
        <v>0</v>
      </c>
      <c r="O92" s="190">
        <v>0</v>
      </c>
      <c r="P92" s="188">
        <f>O92/P$72</f>
        <v>0</v>
      </c>
      <c r="Q92" s="190">
        <v>0</v>
      </c>
      <c r="R92" s="188">
        <f>Q92/R$72</f>
        <v>0</v>
      </c>
      <c r="S92" s="190">
        <f>0</f>
        <v>0</v>
      </c>
      <c r="T92" s="188">
        <f>S92/T$72</f>
        <v>0</v>
      </c>
      <c r="U92" s="190">
        <v>0</v>
      </c>
      <c r="V92" s="188">
        <f>U92/V$72</f>
        <v>0</v>
      </c>
      <c r="W92" s="190">
        <v>0</v>
      </c>
      <c r="X92" s="188">
        <f>W92/X$72</f>
        <v>0</v>
      </c>
      <c r="Y92" s="190">
        <v>0</v>
      </c>
      <c r="Z92" s="188">
        <f>Y92/Z$72</f>
        <v>0</v>
      </c>
      <c r="AA92" s="506"/>
      <c r="AB92" s="578">
        <f t="shared" si="24"/>
        <v>0</v>
      </c>
      <c r="AC92" s="580">
        <f t="shared" si="25"/>
        <v>0</v>
      </c>
    </row>
    <row r="93" spans="1:29" thickBot="1" x14ac:dyDescent="0.25">
      <c r="B93" s="290" t="s">
        <v>68</v>
      </c>
      <c r="C93" s="175">
        <v>0</v>
      </c>
      <c r="D93" s="176">
        <f t="shared" si="19"/>
        <v>0</v>
      </c>
      <c r="E93" s="184">
        <v>0</v>
      </c>
      <c r="F93" s="298">
        <f>E93/F$72</f>
        <v>0</v>
      </c>
      <c r="G93" s="310">
        <v>0</v>
      </c>
      <c r="H93" s="358">
        <f>G93/H$72</f>
        <v>0</v>
      </c>
      <c r="I93" s="354">
        <v>0</v>
      </c>
      <c r="J93" s="178">
        <f>I93/J$72</f>
        <v>0</v>
      </c>
      <c r="K93" s="310">
        <v>0</v>
      </c>
      <c r="L93" s="178">
        <f>K93/L$72</f>
        <v>0</v>
      </c>
      <c r="M93" s="310">
        <v>0</v>
      </c>
      <c r="N93" s="193">
        <f>M93/N$72</f>
        <v>0</v>
      </c>
      <c r="O93" s="310">
        <v>0</v>
      </c>
      <c r="P93" s="193">
        <f>O93/P$72</f>
        <v>0</v>
      </c>
      <c r="Q93" s="310">
        <v>0</v>
      </c>
      <c r="R93" s="193">
        <f>Q93/R$72</f>
        <v>0</v>
      </c>
      <c r="S93" s="310">
        <f>0</f>
        <v>0</v>
      </c>
      <c r="T93" s="193">
        <f>S93/T$72</f>
        <v>0</v>
      </c>
      <c r="U93" s="310">
        <v>0</v>
      </c>
      <c r="V93" s="193">
        <f>U93/V$72</f>
        <v>0</v>
      </c>
      <c r="W93" s="310">
        <v>0</v>
      </c>
      <c r="X93" s="193">
        <f>W93/X$72</f>
        <v>0</v>
      </c>
      <c r="Y93" s="310">
        <v>0</v>
      </c>
      <c r="Z93" s="193">
        <f>Y93/Z$72</f>
        <v>0</v>
      </c>
      <c r="AA93" s="506"/>
      <c r="AB93" s="581">
        <f t="shared" si="24"/>
        <v>0</v>
      </c>
      <c r="AC93" s="580">
        <f t="shared" si="25"/>
        <v>0</v>
      </c>
    </row>
    <row r="94" spans="1:29" ht="13.5" thickTop="1" thickBot="1" x14ac:dyDescent="0.25">
      <c r="A94" s="506"/>
      <c r="B94" s="507" t="s">
        <v>92</v>
      </c>
      <c r="C94" s="802" t="s">
        <v>93</v>
      </c>
      <c r="D94" s="803"/>
      <c r="E94" s="802" t="s">
        <v>94</v>
      </c>
      <c r="F94" s="803"/>
      <c r="G94" s="804" t="s">
        <v>95</v>
      </c>
      <c r="H94" s="805"/>
      <c r="I94" s="804" t="s">
        <v>96</v>
      </c>
      <c r="J94" s="805"/>
      <c r="K94" s="804" t="s">
        <v>97</v>
      </c>
      <c r="L94" s="805"/>
      <c r="M94" s="788" t="s">
        <v>98</v>
      </c>
      <c r="N94" s="789"/>
      <c r="O94" s="788" t="s">
        <v>114</v>
      </c>
      <c r="P94" s="789"/>
      <c r="Q94" s="788" t="s">
        <v>119</v>
      </c>
      <c r="R94" s="789"/>
      <c r="S94" s="788" t="s">
        <v>132</v>
      </c>
      <c r="T94" s="789"/>
      <c r="U94" s="788" t="s">
        <v>140</v>
      </c>
      <c r="V94" s="789"/>
      <c r="W94" s="788" t="s">
        <v>142</v>
      </c>
      <c r="X94" s="789"/>
      <c r="Y94" s="788" t="s">
        <v>144</v>
      </c>
      <c r="Z94" s="789"/>
      <c r="AA94" s="506"/>
      <c r="AB94" s="823" t="s">
        <v>105</v>
      </c>
      <c r="AC94" s="824"/>
    </row>
    <row r="95" spans="1:29" ht="12" x14ac:dyDescent="0.2">
      <c r="A95" s="506"/>
      <c r="B95" s="508"/>
      <c r="C95" s="509" t="s">
        <v>69</v>
      </c>
      <c r="D95" s="510" t="s">
        <v>18</v>
      </c>
      <c r="E95" s="509" t="s">
        <v>69</v>
      </c>
      <c r="F95" s="510" t="s">
        <v>18</v>
      </c>
      <c r="G95" s="509" t="s">
        <v>69</v>
      </c>
      <c r="H95" s="510" t="s">
        <v>18</v>
      </c>
      <c r="I95" s="509" t="s">
        <v>69</v>
      </c>
      <c r="J95" s="510" t="s">
        <v>18</v>
      </c>
      <c r="K95" s="509" t="s">
        <v>69</v>
      </c>
      <c r="L95" s="510" t="s">
        <v>18</v>
      </c>
      <c r="M95" s="509" t="s">
        <v>69</v>
      </c>
      <c r="N95" s="510" t="s">
        <v>18</v>
      </c>
      <c r="O95" s="509" t="s">
        <v>69</v>
      </c>
      <c r="P95" s="510" t="s">
        <v>18</v>
      </c>
      <c r="Q95" s="509" t="s">
        <v>69</v>
      </c>
      <c r="R95" s="510" t="s">
        <v>18</v>
      </c>
      <c r="S95" s="509" t="s">
        <v>69</v>
      </c>
      <c r="T95" s="510" t="s">
        <v>18</v>
      </c>
      <c r="U95" s="509" t="s">
        <v>69</v>
      </c>
      <c r="V95" s="510" t="s">
        <v>18</v>
      </c>
      <c r="W95" s="509" t="s">
        <v>69</v>
      </c>
      <c r="X95" s="510" t="s">
        <v>18</v>
      </c>
      <c r="Y95" s="509" t="s">
        <v>69</v>
      </c>
      <c r="Z95" s="510" t="s">
        <v>18</v>
      </c>
      <c r="AA95" s="506"/>
      <c r="AB95" s="579" t="s">
        <v>69</v>
      </c>
      <c r="AC95" s="511" t="s">
        <v>18</v>
      </c>
    </row>
    <row r="96" spans="1:29" ht="12" x14ac:dyDescent="0.2">
      <c r="A96" s="506"/>
      <c r="B96" s="282" t="s">
        <v>99</v>
      </c>
      <c r="C96" s="509">
        <v>16</v>
      </c>
      <c r="D96" s="621">
        <v>8.1</v>
      </c>
      <c r="E96" s="622">
        <v>15</v>
      </c>
      <c r="F96" s="512">
        <v>7.5</v>
      </c>
      <c r="G96" s="622">
        <v>11</v>
      </c>
      <c r="H96" s="512">
        <v>5.2</v>
      </c>
      <c r="I96" s="622">
        <v>12</v>
      </c>
      <c r="J96" s="512">
        <v>5.9</v>
      </c>
      <c r="K96" s="509">
        <v>6</v>
      </c>
      <c r="L96" s="512">
        <v>3</v>
      </c>
      <c r="M96" s="513">
        <v>8</v>
      </c>
      <c r="N96" s="640">
        <v>4</v>
      </c>
      <c r="O96" s="513">
        <v>10</v>
      </c>
      <c r="P96" s="640">
        <v>5</v>
      </c>
      <c r="Q96" s="513">
        <v>9</v>
      </c>
      <c r="R96" s="720">
        <v>4.5</v>
      </c>
      <c r="S96" s="513">
        <v>11</v>
      </c>
      <c r="T96" s="720">
        <v>5.2</v>
      </c>
      <c r="U96" s="513">
        <v>9</v>
      </c>
      <c r="V96" s="720">
        <v>4.5</v>
      </c>
      <c r="W96" s="513">
        <v>8</v>
      </c>
      <c r="X96" s="720">
        <v>4</v>
      </c>
      <c r="Y96" s="513">
        <v>6</v>
      </c>
      <c r="Z96" s="720">
        <v>3</v>
      </c>
      <c r="AA96" s="627"/>
      <c r="AB96" s="85">
        <f t="shared" ref="AB96:AB98" si="26">AVERAGE(W96,U96,S96,Q96,Y96)</f>
        <v>8.6</v>
      </c>
      <c r="AC96" s="610">
        <f t="shared" ref="AC96:AC98" si="27">AVERAGE(X96,V96,T96,R96,Z96)</f>
        <v>4.24</v>
      </c>
    </row>
    <row r="97" spans="1:32" ht="12" x14ac:dyDescent="0.2">
      <c r="A97" s="506"/>
      <c r="B97" s="282" t="s">
        <v>100</v>
      </c>
      <c r="C97" s="509">
        <v>0</v>
      </c>
      <c r="D97" s="621">
        <v>0</v>
      </c>
      <c r="E97" s="622">
        <v>0</v>
      </c>
      <c r="F97" s="512">
        <v>0</v>
      </c>
      <c r="G97" s="622">
        <v>0</v>
      </c>
      <c r="H97" s="512">
        <v>0</v>
      </c>
      <c r="I97" s="622">
        <v>0</v>
      </c>
      <c r="J97" s="512">
        <v>0</v>
      </c>
      <c r="K97" s="509">
        <v>0</v>
      </c>
      <c r="L97" s="512">
        <v>0</v>
      </c>
      <c r="M97" s="513">
        <v>0</v>
      </c>
      <c r="N97" s="640">
        <v>0</v>
      </c>
      <c r="O97" s="513">
        <v>0</v>
      </c>
      <c r="P97" s="640">
        <v>0</v>
      </c>
      <c r="Q97" s="513">
        <v>0</v>
      </c>
      <c r="R97" s="720">
        <v>0</v>
      </c>
      <c r="S97" s="513">
        <v>0</v>
      </c>
      <c r="T97" s="720">
        <v>0</v>
      </c>
      <c r="U97" s="513">
        <v>0</v>
      </c>
      <c r="V97" s="720">
        <v>0</v>
      </c>
      <c r="W97" s="513">
        <v>0</v>
      </c>
      <c r="X97" s="720">
        <v>0</v>
      </c>
      <c r="Y97" s="513">
        <v>0</v>
      </c>
      <c r="Z97" s="720">
        <v>0</v>
      </c>
      <c r="AA97" s="627"/>
      <c r="AB97" s="85">
        <f t="shared" si="26"/>
        <v>0</v>
      </c>
      <c r="AC97" s="610">
        <f t="shared" si="27"/>
        <v>0</v>
      </c>
    </row>
    <row r="98" spans="1:32" thickBot="1" x14ac:dyDescent="0.25">
      <c r="A98" s="506"/>
      <c r="B98" s="290" t="s">
        <v>101</v>
      </c>
      <c r="C98" s="514">
        <v>0</v>
      </c>
      <c r="D98" s="623">
        <v>0</v>
      </c>
      <c r="E98" s="624">
        <v>0</v>
      </c>
      <c r="F98" s="515">
        <v>0</v>
      </c>
      <c r="G98" s="624">
        <v>0</v>
      </c>
      <c r="H98" s="515">
        <v>0</v>
      </c>
      <c r="I98" s="624">
        <v>0</v>
      </c>
      <c r="J98" s="515">
        <v>0</v>
      </c>
      <c r="K98" s="514">
        <v>0</v>
      </c>
      <c r="L98" s="515">
        <v>0</v>
      </c>
      <c r="M98" s="516">
        <v>0</v>
      </c>
      <c r="N98" s="641">
        <v>0</v>
      </c>
      <c r="O98" s="516">
        <v>0</v>
      </c>
      <c r="P98" s="641">
        <v>0</v>
      </c>
      <c r="Q98" s="516">
        <v>0</v>
      </c>
      <c r="R98" s="721">
        <v>0</v>
      </c>
      <c r="S98" s="516">
        <v>0</v>
      </c>
      <c r="T98" s="721">
        <v>0</v>
      </c>
      <c r="U98" s="516">
        <v>0</v>
      </c>
      <c r="V98" s="721">
        <v>0</v>
      </c>
      <c r="W98" s="516">
        <v>0</v>
      </c>
      <c r="X98" s="721">
        <v>0</v>
      </c>
      <c r="Y98" s="516">
        <v>0</v>
      </c>
      <c r="Z98" s="721">
        <v>0</v>
      </c>
      <c r="AA98" s="627"/>
      <c r="AB98" s="582">
        <f t="shared" si="26"/>
        <v>0</v>
      </c>
      <c r="AC98" s="611">
        <f t="shared" si="27"/>
        <v>0</v>
      </c>
      <c r="AF98" s="26"/>
    </row>
    <row r="99" spans="1:32" thickTop="1" x14ac:dyDescent="0.2">
      <c r="C99" s="1"/>
      <c r="D99" s="1"/>
      <c r="E99" s="1"/>
      <c r="F99" s="1"/>
      <c r="G99" s="215"/>
      <c r="H99" s="215"/>
      <c r="I99" s="215"/>
      <c r="J99" s="215"/>
    </row>
    <row r="100" spans="1:32" ht="12" x14ac:dyDescent="0.2">
      <c r="C100" s="1"/>
      <c r="D100" s="1"/>
      <c r="E100" s="1"/>
      <c r="F100" s="1"/>
      <c r="G100" s="215"/>
      <c r="H100" s="215"/>
      <c r="I100" s="215"/>
      <c r="J100" s="215"/>
    </row>
    <row r="101" spans="1:32" ht="12" x14ac:dyDescent="0.2">
      <c r="C101" s="1"/>
      <c r="D101" s="1"/>
      <c r="E101" s="1"/>
      <c r="F101" s="1"/>
      <c r="G101" s="215"/>
      <c r="H101" s="215"/>
      <c r="I101" s="215"/>
      <c r="J101" s="215"/>
    </row>
    <row r="102" spans="1:32" ht="12" x14ac:dyDescent="0.2">
      <c r="C102" s="1"/>
      <c r="D102" s="1"/>
      <c r="E102" s="1"/>
      <c r="F102" s="1"/>
      <c r="G102" s="215"/>
      <c r="H102" s="215"/>
      <c r="I102" s="215"/>
      <c r="J102" s="215"/>
    </row>
  </sheetData>
  <mergeCells count="94">
    <mergeCell ref="Y7:Z7"/>
    <mergeCell ref="Y17:Z17"/>
    <mergeCell ref="Y25:Z25"/>
    <mergeCell ref="Y28:Z28"/>
    <mergeCell ref="Y32:Z32"/>
    <mergeCell ref="O25:P25"/>
    <mergeCell ref="S7:T7"/>
    <mergeCell ref="U94:V94"/>
    <mergeCell ref="U7:V7"/>
    <mergeCell ref="U17:V17"/>
    <mergeCell ref="U25:V25"/>
    <mergeCell ref="U28:V28"/>
    <mergeCell ref="U32:V32"/>
    <mergeCell ref="U64:V64"/>
    <mergeCell ref="S17:T17"/>
    <mergeCell ref="Q17:R17"/>
    <mergeCell ref="Q7:R7"/>
    <mergeCell ref="AB94:AC94"/>
    <mergeCell ref="Q94:R94"/>
    <mergeCell ref="S25:T25"/>
    <mergeCell ref="S28:T28"/>
    <mergeCell ref="S32:T32"/>
    <mergeCell ref="Q32:R32"/>
    <mergeCell ref="S64:T64"/>
    <mergeCell ref="AB64:AC64"/>
    <mergeCell ref="S94:T94"/>
    <mergeCell ref="W94:X94"/>
    <mergeCell ref="W64:X64"/>
    <mergeCell ref="Y64:Z64"/>
    <mergeCell ref="Y94:Z94"/>
    <mergeCell ref="AB28:AC28"/>
    <mergeCell ref="AB7:AC7"/>
    <mergeCell ref="AB17:AC17"/>
    <mergeCell ref="AB32:AC32"/>
    <mergeCell ref="M7:N7"/>
    <mergeCell ref="M17:N17"/>
    <mergeCell ref="Q25:R25"/>
    <mergeCell ref="Q28:R28"/>
    <mergeCell ref="O28:P28"/>
    <mergeCell ref="O32:P32"/>
    <mergeCell ref="W7:X7"/>
    <mergeCell ref="W17:X17"/>
    <mergeCell ref="W25:X25"/>
    <mergeCell ref="W28:X28"/>
    <mergeCell ref="W32:X32"/>
    <mergeCell ref="O7:P7"/>
    <mergeCell ref="O17:P17"/>
    <mergeCell ref="C26:D26"/>
    <mergeCell ref="M32:N32"/>
    <mergeCell ref="E17:F17"/>
    <mergeCell ref="C27:D27"/>
    <mergeCell ref="E27:F27"/>
    <mergeCell ref="G27:H27"/>
    <mergeCell ref="C17:D17"/>
    <mergeCell ref="M25:N25"/>
    <mergeCell ref="C25:D25"/>
    <mergeCell ref="E25:F25"/>
    <mergeCell ref="E26:F26"/>
    <mergeCell ref="M28:N28"/>
    <mergeCell ref="K7:L7"/>
    <mergeCell ref="K17:L17"/>
    <mergeCell ref="K32:L32"/>
    <mergeCell ref="K25:L25"/>
    <mergeCell ref="G17:H17"/>
    <mergeCell ref="G32:H32"/>
    <mergeCell ref="K28:L28"/>
    <mergeCell ref="I17:J17"/>
    <mergeCell ref="I32:J32"/>
    <mergeCell ref="G26:H26"/>
    <mergeCell ref="I28:J28"/>
    <mergeCell ref="G25:H25"/>
    <mergeCell ref="I25:J25"/>
    <mergeCell ref="I26:J26"/>
    <mergeCell ref="I27:J27"/>
    <mergeCell ref="C94:D94"/>
    <mergeCell ref="E94:F94"/>
    <mergeCell ref="E28:F28"/>
    <mergeCell ref="G28:H28"/>
    <mergeCell ref="C28:D28"/>
    <mergeCell ref="C32:D32"/>
    <mergeCell ref="E32:F32"/>
    <mergeCell ref="C64:D64"/>
    <mergeCell ref="E64:F64"/>
    <mergeCell ref="G94:H94"/>
    <mergeCell ref="G64:H64"/>
    <mergeCell ref="I94:J94"/>
    <mergeCell ref="M94:N94"/>
    <mergeCell ref="Q64:R64"/>
    <mergeCell ref="M64:N64"/>
    <mergeCell ref="K64:L64"/>
    <mergeCell ref="K94:L94"/>
    <mergeCell ref="O64:P64"/>
    <mergeCell ref="O94:P94"/>
    <mergeCell ref="I64:J64"/>
  </mergeCells>
  <phoneticPr fontId="0" type="noConversion"/>
  <printOptions horizontalCentered="1"/>
  <pageMargins left="0.5" right="0.5" top="0.5" bottom="0.5" header="0.5" footer="0.5"/>
  <pageSetup scale="67" orientation="landscape" r:id="rId1"/>
  <headerFooter alignWithMargins="0">
    <oddFooter>&amp;R&amp;P of &amp;N
&amp;D</oddFooter>
  </headerFooter>
  <rowBreaks count="1" manualBreakCount="1">
    <brk id="61" max="17" man="1"/>
  </rowBreaks>
  <ignoredErrors>
    <ignoredError sqref="S74:S9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6"/>
  <sheetViews>
    <sheetView view="pageBreakPreview" zoomScale="110" zoomScaleNormal="100" zoomScaleSheetLayoutView="110" workbookViewId="0">
      <pane xSplit="2" ySplit="1" topLeftCell="M68" activePane="bottomRight" state="frozen"/>
      <selection activeCell="Z47" sqref="Z47"/>
      <selection pane="topRight" activeCell="Z47" sqref="Z47"/>
      <selection pane="bottomLeft" activeCell="Z47" sqref="Z47"/>
      <selection pane="bottomRight" activeCell="Z47" sqref="Z47"/>
    </sheetView>
  </sheetViews>
  <sheetFormatPr defaultColWidth="10.28515625" defaultRowHeight="12.75" x14ac:dyDescent="0.2"/>
  <cols>
    <col min="1" max="1" width="3.7109375" style="1" customWidth="1"/>
    <col min="2" max="2" width="29.7109375" style="1" customWidth="1"/>
    <col min="3" max="3" width="7.7109375" hidden="1" customWidth="1"/>
    <col min="4" max="4" width="10.5703125" hidden="1" customWidth="1"/>
    <col min="5" max="5" width="7.7109375" hidden="1" customWidth="1"/>
    <col min="6" max="6" width="10.5703125" hidden="1" customWidth="1"/>
    <col min="7" max="7" width="7.7109375" style="216" hidden="1" customWidth="1"/>
    <col min="8" max="8" width="10.5703125" style="216" hidden="1" customWidth="1"/>
    <col min="9" max="9" width="7.7109375" style="216" hidden="1" customWidth="1"/>
    <col min="10" max="10" width="10.5703125" style="216" hidden="1" customWidth="1"/>
    <col min="11" max="11" width="7.7109375" style="1" hidden="1" customWidth="1"/>
    <col min="12" max="12" width="10.5703125" style="1" hidden="1" customWidth="1"/>
    <col min="13" max="13" width="7.7109375" style="1" hidden="1" customWidth="1"/>
    <col min="14" max="14" width="10.5703125" style="1" hidden="1" customWidth="1"/>
    <col min="15" max="15" width="7.85546875" style="1" customWidth="1"/>
    <col min="16" max="16" width="10.85546875" style="1" customWidth="1"/>
    <col min="17" max="17" width="7.85546875" style="1" customWidth="1"/>
    <col min="18" max="18" width="10.5703125" style="1" customWidth="1"/>
    <col min="19" max="19" width="7.85546875" style="1" customWidth="1"/>
    <col min="20" max="20" width="10.5703125" style="1" customWidth="1"/>
    <col min="21" max="21" width="7.85546875" style="1" customWidth="1"/>
    <col min="22" max="22" width="10.5703125" style="1" customWidth="1"/>
    <col min="23" max="23" width="7.85546875" style="1" customWidth="1"/>
    <col min="24" max="24" width="10.5703125" style="1" customWidth="1"/>
    <col min="25" max="25" width="7.85546875" style="1" customWidth="1"/>
    <col min="26" max="26" width="10.5703125" style="1" customWidth="1"/>
    <col min="27" max="27" width="4" style="1" customWidth="1"/>
    <col min="28" max="28" width="7.7109375" style="1" customWidth="1"/>
    <col min="29" max="29" width="10.5703125" style="1" customWidth="1"/>
    <col min="30" max="30" width="2" style="1" customWidth="1"/>
    <col min="31" max="16384" width="10.28515625" style="1"/>
  </cols>
  <sheetData>
    <row r="1" spans="1:29" ht="18" x14ac:dyDescent="0.25">
      <c r="A1" s="533" t="str">
        <f>Dean_VM!A1</f>
        <v>Department Profile Report - FY 2015</v>
      </c>
      <c r="B1" s="533"/>
      <c r="C1" s="533"/>
      <c r="D1" s="533"/>
      <c r="E1" s="533"/>
      <c r="F1" s="533"/>
      <c r="G1" s="533"/>
      <c r="H1" s="533"/>
      <c r="I1" s="629"/>
      <c r="J1" s="629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</row>
    <row r="2" spans="1:29" ht="12" x14ac:dyDescent="0.2">
      <c r="C2" s="1"/>
      <c r="D2" s="1"/>
      <c r="E2" s="1"/>
      <c r="F2" s="1"/>
      <c r="G2" s="215"/>
      <c r="H2" s="215"/>
      <c r="I2" s="215"/>
      <c r="J2" s="215"/>
    </row>
    <row r="3" spans="1:29" x14ac:dyDescent="0.2">
      <c r="A3" s="3" t="s">
        <v>23</v>
      </c>
      <c r="C3" s="1"/>
      <c r="D3" s="1"/>
      <c r="E3" s="1"/>
      <c r="F3" s="1"/>
      <c r="G3" s="215"/>
      <c r="H3" s="215"/>
      <c r="I3" s="215"/>
      <c r="J3" s="215"/>
    </row>
    <row r="4" spans="1:29" ht="12" x14ac:dyDescent="0.2">
      <c r="C4" s="1"/>
      <c r="D4" s="1"/>
      <c r="E4" s="1"/>
      <c r="F4" s="1"/>
      <c r="G4" s="215"/>
      <c r="H4" s="215"/>
      <c r="I4" s="215"/>
      <c r="J4" s="215"/>
    </row>
    <row r="5" spans="1:29" x14ac:dyDescent="0.2">
      <c r="A5" s="3" t="s">
        <v>41</v>
      </c>
      <c r="C5" s="1"/>
      <c r="D5" s="1"/>
      <c r="E5" s="1"/>
      <c r="F5" s="1"/>
      <c r="G5" s="215"/>
      <c r="H5" s="215"/>
      <c r="I5" s="215"/>
      <c r="J5" s="215"/>
    </row>
    <row r="6" spans="1:29" thickBot="1" x14ac:dyDescent="0.25">
      <c r="A6" s="2"/>
      <c r="C6" s="1"/>
      <c r="D6" s="1"/>
      <c r="E6" s="1"/>
      <c r="F6" s="1"/>
      <c r="G6" s="215"/>
      <c r="H6" s="215"/>
      <c r="I6" s="215"/>
      <c r="J6" s="215"/>
    </row>
    <row r="7" spans="1:29" ht="13.5" customHeight="1" thickTop="1" thickBot="1" x14ac:dyDescent="0.25">
      <c r="B7" s="48"/>
      <c r="C7" s="10" t="s">
        <v>24</v>
      </c>
      <c r="D7" s="28"/>
      <c r="E7" s="10" t="s">
        <v>25</v>
      </c>
      <c r="F7" s="8"/>
      <c r="G7" s="251" t="s">
        <v>76</v>
      </c>
      <c r="H7" s="347"/>
      <c r="I7" s="224" t="s">
        <v>86</v>
      </c>
      <c r="J7" s="368"/>
      <c r="K7" s="799" t="s">
        <v>87</v>
      </c>
      <c r="L7" s="790"/>
      <c r="M7" s="799" t="s">
        <v>90</v>
      </c>
      <c r="N7" s="791"/>
      <c r="O7" s="790" t="s">
        <v>113</v>
      </c>
      <c r="P7" s="791"/>
      <c r="Q7" s="790" t="s">
        <v>118</v>
      </c>
      <c r="R7" s="791"/>
      <c r="S7" s="790" t="s">
        <v>131</v>
      </c>
      <c r="T7" s="791"/>
      <c r="U7" s="790" t="s">
        <v>139</v>
      </c>
      <c r="V7" s="791"/>
      <c r="W7" s="790" t="s">
        <v>141</v>
      </c>
      <c r="X7" s="791"/>
      <c r="Y7" s="790" t="s">
        <v>143</v>
      </c>
      <c r="Z7" s="791"/>
      <c r="AB7" s="823" t="s">
        <v>105</v>
      </c>
      <c r="AC7" s="824"/>
    </row>
    <row r="8" spans="1:29" ht="12" x14ac:dyDescent="0.2">
      <c r="B8" s="49"/>
      <c r="C8" s="19" t="s">
        <v>1</v>
      </c>
      <c r="D8" s="29" t="s">
        <v>2</v>
      </c>
      <c r="E8" s="19" t="s">
        <v>1</v>
      </c>
      <c r="F8" s="21" t="s">
        <v>2</v>
      </c>
      <c r="G8" s="252" t="s">
        <v>1</v>
      </c>
      <c r="H8" s="333" t="s">
        <v>2</v>
      </c>
      <c r="I8" s="225" t="s">
        <v>1</v>
      </c>
      <c r="J8" s="382" t="s">
        <v>2</v>
      </c>
      <c r="K8" s="252" t="s">
        <v>1</v>
      </c>
      <c r="L8" s="382" t="s">
        <v>2</v>
      </c>
      <c r="M8" s="252" t="s">
        <v>1</v>
      </c>
      <c r="N8" s="333" t="s">
        <v>2</v>
      </c>
      <c r="O8" s="225" t="s">
        <v>1</v>
      </c>
      <c r="P8" s="333" t="s">
        <v>2</v>
      </c>
      <c r="Q8" s="225" t="s">
        <v>1</v>
      </c>
      <c r="R8" s="333" t="s">
        <v>2</v>
      </c>
      <c r="S8" s="225" t="s">
        <v>1</v>
      </c>
      <c r="T8" s="333" t="s">
        <v>2</v>
      </c>
      <c r="U8" s="225" t="s">
        <v>1</v>
      </c>
      <c r="V8" s="333" t="s">
        <v>2</v>
      </c>
      <c r="W8" s="225" t="s">
        <v>1</v>
      </c>
      <c r="X8" s="333" t="s">
        <v>2</v>
      </c>
      <c r="Y8" s="225" t="s">
        <v>1</v>
      </c>
      <c r="Z8" s="333" t="s">
        <v>2</v>
      </c>
      <c r="AB8" s="545" t="s">
        <v>106</v>
      </c>
      <c r="AC8" s="546" t="s">
        <v>107</v>
      </c>
    </row>
    <row r="9" spans="1:29" thickBot="1" x14ac:dyDescent="0.25">
      <c r="B9" s="50"/>
      <c r="C9" s="22" t="s">
        <v>3</v>
      </c>
      <c r="D9" s="30" t="s">
        <v>4</v>
      </c>
      <c r="E9" s="22" t="s">
        <v>3</v>
      </c>
      <c r="F9" s="23" t="s">
        <v>4</v>
      </c>
      <c r="G9" s="256" t="s">
        <v>3</v>
      </c>
      <c r="H9" s="334" t="s">
        <v>4</v>
      </c>
      <c r="I9" s="226" t="s">
        <v>3</v>
      </c>
      <c r="J9" s="383" t="s">
        <v>4</v>
      </c>
      <c r="K9" s="256" t="s">
        <v>3</v>
      </c>
      <c r="L9" s="383" t="s">
        <v>4</v>
      </c>
      <c r="M9" s="256" t="s">
        <v>3</v>
      </c>
      <c r="N9" s="334" t="s">
        <v>4</v>
      </c>
      <c r="O9" s="226" t="s">
        <v>3</v>
      </c>
      <c r="P9" s="334" t="s">
        <v>4</v>
      </c>
      <c r="Q9" s="226" t="s">
        <v>3</v>
      </c>
      <c r="R9" s="334" t="s">
        <v>4</v>
      </c>
      <c r="S9" s="226" t="s">
        <v>3</v>
      </c>
      <c r="T9" s="334" t="s">
        <v>4</v>
      </c>
      <c r="U9" s="226" t="s">
        <v>3</v>
      </c>
      <c r="V9" s="334" t="s">
        <v>4</v>
      </c>
      <c r="W9" s="226" t="s">
        <v>3</v>
      </c>
      <c r="X9" s="334" t="s">
        <v>4</v>
      </c>
      <c r="Y9" s="226" t="s">
        <v>3</v>
      </c>
      <c r="Z9" s="334" t="s">
        <v>4</v>
      </c>
      <c r="AB9" s="547" t="s">
        <v>3</v>
      </c>
      <c r="AC9" s="548" t="s">
        <v>4</v>
      </c>
    </row>
    <row r="10" spans="1:29" ht="12" x14ac:dyDescent="0.2">
      <c r="B10" s="51" t="s">
        <v>5</v>
      </c>
      <c r="C10" s="14"/>
      <c r="D10" s="32"/>
      <c r="E10" s="14"/>
      <c r="F10" s="15"/>
      <c r="G10" s="255"/>
      <c r="H10" s="348"/>
      <c r="I10" s="227"/>
      <c r="J10" s="384"/>
      <c r="K10" s="255"/>
      <c r="L10" s="384"/>
      <c r="M10" s="255"/>
      <c r="N10" s="348"/>
      <c r="O10" s="227"/>
      <c r="P10" s="348"/>
      <c r="Q10" s="227"/>
      <c r="R10" s="348"/>
      <c r="S10" s="227"/>
      <c r="T10" s="348"/>
      <c r="U10" s="227"/>
      <c r="V10" s="348"/>
      <c r="W10" s="227"/>
      <c r="X10" s="348"/>
      <c r="Y10" s="227"/>
      <c r="Z10" s="348"/>
      <c r="AB10" s="549"/>
      <c r="AC10" s="550"/>
    </row>
    <row r="11" spans="1:29" ht="12" x14ac:dyDescent="0.2">
      <c r="B11" s="52" t="s">
        <v>88</v>
      </c>
      <c r="C11" s="11"/>
      <c r="D11" s="34"/>
      <c r="E11" s="11"/>
      <c r="F11" s="9"/>
      <c r="G11" s="253"/>
      <c r="H11" s="349"/>
      <c r="I11" s="72"/>
      <c r="J11" s="385"/>
      <c r="K11" s="253"/>
      <c r="L11" s="385"/>
      <c r="M11" s="253"/>
      <c r="N11" s="349"/>
      <c r="O11" s="72"/>
      <c r="P11" s="349"/>
      <c r="Q11" s="72"/>
      <c r="R11" s="349"/>
      <c r="S11" s="72"/>
      <c r="T11" s="349"/>
      <c r="U11" s="72"/>
      <c r="V11" s="349"/>
      <c r="W11" s="72"/>
      <c r="X11" s="349"/>
      <c r="Y11" s="72"/>
      <c r="Z11" s="349"/>
      <c r="AA11" s="506"/>
      <c r="AC11" s="583"/>
    </row>
    <row r="12" spans="1:29" ht="12" x14ac:dyDescent="0.2">
      <c r="B12" s="57" t="s">
        <v>6</v>
      </c>
      <c r="C12" s="11">
        <v>11</v>
      </c>
      <c r="D12" s="69">
        <f>3+1</f>
        <v>4</v>
      </c>
      <c r="E12" s="11">
        <v>12</v>
      </c>
      <c r="F12" s="40">
        <v>4</v>
      </c>
      <c r="G12" s="488">
        <v>12</v>
      </c>
      <c r="H12" s="489">
        <v>4</v>
      </c>
      <c r="I12" s="244">
        <v>7</v>
      </c>
      <c r="J12" s="490">
        <v>5</v>
      </c>
      <c r="K12" s="253">
        <v>1</v>
      </c>
      <c r="L12" s="490">
        <f>1+1</f>
        <v>2</v>
      </c>
      <c r="M12" s="253">
        <v>0</v>
      </c>
      <c r="N12" s="489">
        <v>2</v>
      </c>
      <c r="O12" s="708"/>
      <c r="P12" s="681"/>
      <c r="Q12" s="708"/>
      <c r="R12" s="681"/>
      <c r="S12" s="708"/>
      <c r="T12" s="681"/>
      <c r="U12" s="708"/>
      <c r="V12" s="681"/>
      <c r="W12" s="708"/>
      <c r="X12" s="681"/>
      <c r="Y12" s="708"/>
      <c r="Z12" s="681"/>
      <c r="AA12" s="506"/>
      <c r="AB12" s="578"/>
      <c r="AC12" s="553"/>
    </row>
    <row r="13" spans="1:29" thickBot="1" x14ac:dyDescent="0.25">
      <c r="B13" s="53" t="s">
        <v>7</v>
      </c>
      <c r="C13" s="12">
        <v>14</v>
      </c>
      <c r="D13" s="68">
        <v>1</v>
      </c>
      <c r="E13" s="12">
        <v>16</v>
      </c>
      <c r="F13" s="37">
        <v>3</v>
      </c>
      <c r="G13" s="491">
        <v>14</v>
      </c>
      <c r="H13" s="376">
        <v>3</v>
      </c>
      <c r="I13" s="492">
        <v>14</v>
      </c>
      <c r="J13" s="386">
        <v>3</v>
      </c>
      <c r="K13" s="487">
        <v>19</v>
      </c>
      <c r="L13" s="386">
        <f>2+1</f>
        <v>3</v>
      </c>
      <c r="M13" s="487">
        <v>21</v>
      </c>
      <c r="N13" s="376">
        <v>1</v>
      </c>
      <c r="O13" s="649">
        <v>23</v>
      </c>
      <c r="P13" s="376">
        <v>6</v>
      </c>
      <c r="Q13" s="649">
        <v>18</v>
      </c>
      <c r="R13" s="376">
        <v>11</v>
      </c>
      <c r="S13" s="649">
        <v>18</v>
      </c>
      <c r="T13" s="376">
        <v>2</v>
      </c>
      <c r="U13" s="649">
        <v>29</v>
      </c>
      <c r="V13" s="376">
        <v>1</v>
      </c>
      <c r="W13" s="649">
        <v>37</v>
      </c>
      <c r="X13" s="376">
        <v>10</v>
      </c>
      <c r="Y13" s="649">
        <v>38</v>
      </c>
      <c r="Z13" s="763"/>
      <c r="AA13" s="506"/>
      <c r="AB13" s="544">
        <f>AVERAGE(W13,U13,S13,Q13,Y13)</f>
        <v>28</v>
      </c>
      <c r="AC13" s="554">
        <f>AVERAGE(X13,V13,T13,R13,Z13)</f>
        <v>6</v>
      </c>
    </row>
    <row r="14" spans="1:29" thickTop="1" x14ac:dyDescent="0.2">
      <c r="B14" s="67" t="s">
        <v>109</v>
      </c>
      <c r="C14" s="26"/>
      <c r="D14" s="27"/>
      <c r="E14" s="26"/>
      <c r="F14" s="27"/>
      <c r="G14" s="228"/>
      <c r="H14" s="233"/>
      <c r="I14" s="228"/>
      <c r="J14" s="233"/>
      <c r="K14" s="228"/>
      <c r="L14" s="233"/>
      <c r="M14" s="228"/>
      <c r="N14" s="233"/>
      <c r="O14" s="228"/>
      <c r="P14" s="233"/>
      <c r="Q14" s="228"/>
      <c r="R14" s="233"/>
      <c r="S14" s="228"/>
      <c r="T14" s="233"/>
      <c r="U14" s="228"/>
      <c r="V14" s="233"/>
      <c r="W14" s="228"/>
      <c r="X14" s="233"/>
      <c r="Y14" s="228"/>
      <c r="Z14" s="233"/>
    </row>
    <row r="15" spans="1:29" thickBot="1" x14ac:dyDescent="0.25">
      <c r="B15" s="707" t="s">
        <v>123</v>
      </c>
      <c r="C15" s="7"/>
      <c r="D15" s="7"/>
      <c r="E15" s="7"/>
      <c r="F15" s="7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</row>
    <row r="16" spans="1:29" ht="13.5" thickTop="1" thickBot="1" x14ac:dyDescent="0.25">
      <c r="B16" s="281"/>
      <c r="C16" s="811" t="s">
        <v>24</v>
      </c>
      <c r="D16" s="812"/>
      <c r="E16" s="813" t="s">
        <v>25</v>
      </c>
      <c r="F16" s="813"/>
      <c r="G16" s="798" t="s">
        <v>76</v>
      </c>
      <c r="H16" s="793"/>
      <c r="I16" s="792" t="s">
        <v>86</v>
      </c>
      <c r="J16" s="792"/>
      <c r="K16" s="798" t="s">
        <v>87</v>
      </c>
      <c r="L16" s="792"/>
      <c r="M16" s="798" t="s">
        <v>90</v>
      </c>
      <c r="N16" s="793"/>
      <c r="O16" s="792" t="s">
        <v>113</v>
      </c>
      <c r="P16" s="793"/>
      <c r="Q16" s="792" t="s">
        <v>118</v>
      </c>
      <c r="R16" s="793"/>
      <c r="S16" s="792" t="s">
        <v>131</v>
      </c>
      <c r="T16" s="793"/>
      <c r="U16" s="792" t="s">
        <v>139</v>
      </c>
      <c r="V16" s="793"/>
      <c r="W16" s="792" t="s">
        <v>141</v>
      </c>
      <c r="X16" s="793"/>
      <c r="Y16" s="792" t="s">
        <v>143</v>
      </c>
      <c r="Z16" s="793"/>
      <c r="AB16" s="825" t="s">
        <v>105</v>
      </c>
      <c r="AC16" s="826"/>
    </row>
    <row r="17" spans="1:32" ht="12" x14ac:dyDescent="0.2">
      <c r="B17" s="51" t="s">
        <v>8</v>
      </c>
      <c r="C17" s="127"/>
      <c r="D17" s="128"/>
      <c r="E17" s="7"/>
      <c r="F17" s="7"/>
      <c r="G17" s="299"/>
      <c r="H17" s="335"/>
      <c r="I17" s="234"/>
      <c r="J17" s="234"/>
      <c r="K17" s="299"/>
      <c r="L17" s="234"/>
      <c r="M17" s="299"/>
      <c r="N17" s="335"/>
      <c r="O17" s="234"/>
      <c r="P17" s="335"/>
      <c r="Q17" s="234"/>
      <c r="R17" s="335"/>
      <c r="S17" s="234"/>
      <c r="T17" s="335"/>
      <c r="U17" s="234"/>
      <c r="V17" s="335"/>
      <c r="W17" s="234"/>
      <c r="X17" s="335"/>
      <c r="Y17" s="234"/>
      <c r="Z17" s="335"/>
      <c r="AB17" s="555"/>
      <c r="AC17" s="556"/>
    </row>
    <row r="18" spans="1:32" ht="12" x14ac:dyDescent="0.2">
      <c r="B18" s="55" t="s">
        <v>9</v>
      </c>
      <c r="C18" s="129"/>
      <c r="D18" s="130"/>
      <c r="E18" s="4"/>
      <c r="F18" s="4"/>
      <c r="G18" s="258"/>
      <c r="H18" s="344"/>
      <c r="I18" s="235"/>
      <c r="J18" s="235"/>
      <c r="K18" s="258"/>
      <c r="L18" s="344"/>
      <c r="M18" s="235"/>
      <c r="N18" s="344"/>
      <c r="O18" s="235"/>
      <c r="P18" s="344"/>
      <c r="Q18" s="235"/>
      <c r="R18" s="344"/>
      <c r="S18" s="235"/>
      <c r="T18" s="344"/>
      <c r="U18" s="235"/>
      <c r="V18" s="344"/>
      <c r="W18" s="235"/>
      <c r="X18" s="344"/>
      <c r="Y18" s="235"/>
      <c r="Z18" s="344"/>
      <c r="AB18" s="555"/>
      <c r="AC18" s="556"/>
    </row>
    <row r="19" spans="1:32" ht="12" x14ac:dyDescent="0.2">
      <c r="B19" s="55" t="s">
        <v>10</v>
      </c>
      <c r="C19" s="129"/>
      <c r="D19" s="132"/>
      <c r="E19" s="4"/>
      <c r="F19" s="39"/>
      <c r="G19" s="258"/>
      <c r="H19" s="329"/>
      <c r="I19" s="235"/>
      <c r="J19" s="329">
        <v>0</v>
      </c>
      <c r="K19" s="235"/>
      <c r="L19" s="329">
        <v>0</v>
      </c>
      <c r="M19" s="235"/>
      <c r="N19" s="329">
        <v>0</v>
      </c>
      <c r="O19" s="235"/>
      <c r="P19" s="329">
        <v>0</v>
      </c>
      <c r="Q19" s="235"/>
      <c r="R19" s="329">
        <v>0</v>
      </c>
      <c r="S19" s="235"/>
      <c r="T19" s="329">
        <v>15</v>
      </c>
      <c r="U19" s="235"/>
      <c r="V19" s="329">
        <v>21</v>
      </c>
      <c r="W19" s="235"/>
      <c r="X19" s="329">
        <v>24</v>
      </c>
      <c r="Y19" s="235"/>
      <c r="Z19" s="781"/>
      <c r="AB19" s="555"/>
      <c r="AC19" s="556">
        <f t="shared" ref="AC19:AC23" si="0">AVERAGE(X19,V19,T19,R19,Z19)</f>
        <v>15</v>
      </c>
    </row>
    <row r="20" spans="1:32" ht="12" x14ac:dyDescent="0.2">
      <c r="B20" s="55" t="s">
        <v>11</v>
      </c>
      <c r="C20" s="129"/>
      <c r="D20" s="132"/>
      <c r="E20" s="4"/>
      <c r="F20" s="39"/>
      <c r="G20" s="258"/>
      <c r="H20" s="329"/>
      <c r="I20" s="235"/>
      <c r="J20" s="329">
        <v>0</v>
      </c>
      <c r="K20" s="235"/>
      <c r="L20" s="329">
        <v>0</v>
      </c>
      <c r="M20" s="235"/>
      <c r="N20" s="329">
        <v>0</v>
      </c>
      <c r="O20" s="235"/>
      <c r="P20" s="329">
        <v>0</v>
      </c>
      <c r="Q20" s="235"/>
      <c r="R20" s="329">
        <v>0</v>
      </c>
      <c r="S20" s="235"/>
      <c r="T20" s="329">
        <v>8</v>
      </c>
      <c r="U20" s="235"/>
      <c r="V20" s="329">
        <v>9</v>
      </c>
      <c r="W20" s="235"/>
      <c r="X20" s="329">
        <v>1</v>
      </c>
      <c r="Y20" s="235"/>
      <c r="Z20" s="781"/>
      <c r="AB20" s="557"/>
      <c r="AC20" s="558">
        <f t="shared" si="0"/>
        <v>4.5</v>
      </c>
    </row>
    <row r="21" spans="1:32" ht="12" x14ac:dyDescent="0.2">
      <c r="B21" s="55" t="s">
        <v>12</v>
      </c>
      <c r="C21" s="129"/>
      <c r="D21" s="132">
        <v>4722</v>
      </c>
      <c r="E21" s="4"/>
      <c r="F21" s="125">
        <v>4843</v>
      </c>
      <c r="G21" s="258"/>
      <c r="H21" s="328">
        <v>4784</v>
      </c>
      <c r="I21" s="235"/>
      <c r="J21" s="248">
        <v>4821</v>
      </c>
      <c r="K21" s="258"/>
      <c r="L21" s="248">
        <f>4830</f>
        <v>4830</v>
      </c>
      <c r="M21" s="258"/>
      <c r="N21" s="328">
        <v>5037</v>
      </c>
      <c r="O21" s="235"/>
      <c r="P21" s="328">
        <v>5157</v>
      </c>
      <c r="Q21" s="235"/>
      <c r="R21" s="328">
        <v>6063</v>
      </c>
      <c r="S21" s="235"/>
      <c r="T21" s="328">
        <v>5493</v>
      </c>
      <c r="U21" s="235"/>
      <c r="V21" s="328">
        <v>5629</v>
      </c>
      <c r="W21" s="235"/>
      <c r="X21" s="328">
        <v>5151</v>
      </c>
      <c r="Y21" s="235"/>
      <c r="Z21" s="779"/>
      <c r="AB21" s="559"/>
      <c r="AC21" s="13">
        <f t="shared" si="0"/>
        <v>5584</v>
      </c>
    </row>
    <row r="22" spans="1:32" ht="12" x14ac:dyDescent="0.2">
      <c r="B22" s="55" t="s">
        <v>13</v>
      </c>
      <c r="C22" s="129"/>
      <c r="D22" s="132">
        <v>201</v>
      </c>
      <c r="E22" s="4"/>
      <c r="F22" s="125">
        <v>178</v>
      </c>
      <c r="G22" s="258"/>
      <c r="H22" s="328">
        <v>202</v>
      </c>
      <c r="I22" s="235"/>
      <c r="J22" s="248">
        <v>197</v>
      </c>
      <c r="K22" s="258"/>
      <c r="L22" s="248">
        <v>210</v>
      </c>
      <c r="M22" s="258"/>
      <c r="N22" s="328">
        <v>302</v>
      </c>
      <c r="O22" s="235"/>
      <c r="P22" s="328">
        <v>324</v>
      </c>
      <c r="Q22" s="235"/>
      <c r="R22" s="328">
        <v>255</v>
      </c>
      <c r="S22" s="235"/>
      <c r="T22" s="328">
        <v>264</v>
      </c>
      <c r="U22" s="235"/>
      <c r="V22" s="328">
        <v>390</v>
      </c>
      <c r="W22" s="235"/>
      <c r="X22" s="328">
        <v>437</v>
      </c>
      <c r="Y22" s="235"/>
      <c r="Z22" s="779"/>
      <c r="AB22" s="559"/>
      <c r="AC22" s="13">
        <f t="shared" si="0"/>
        <v>336.5</v>
      </c>
    </row>
    <row r="23" spans="1:32" thickBot="1" x14ac:dyDescent="0.25">
      <c r="B23" s="56" t="s">
        <v>14</v>
      </c>
      <c r="C23" s="133"/>
      <c r="D23" s="180">
        <f>SUM(D21:D22)</f>
        <v>4923</v>
      </c>
      <c r="E23" s="60"/>
      <c r="F23" s="59">
        <f>SUM(F21:F22)</f>
        <v>5021</v>
      </c>
      <c r="G23" s="300"/>
      <c r="H23" s="330">
        <f>SUM(H21:H22)</f>
        <v>4986</v>
      </c>
      <c r="I23" s="367"/>
      <c r="J23" s="394">
        <f>SUM(J21:J22)</f>
        <v>5018</v>
      </c>
      <c r="K23" s="300"/>
      <c r="L23" s="394">
        <f>SUM(L21:L22)</f>
        <v>5040</v>
      </c>
      <c r="M23" s="300"/>
      <c r="N23" s="330">
        <v>5339</v>
      </c>
      <c r="O23" s="367"/>
      <c r="P23" s="330">
        <f>SUM(P19:P22)</f>
        <v>5481</v>
      </c>
      <c r="Q23" s="367"/>
      <c r="R23" s="330">
        <f>SUM(R19:R22)</f>
        <v>6318</v>
      </c>
      <c r="S23" s="367"/>
      <c r="T23" s="330">
        <f>SUM(T19:T22)</f>
        <v>5780</v>
      </c>
      <c r="U23" s="367"/>
      <c r="V23" s="330">
        <f>SUM(V19:V22)</f>
        <v>6049</v>
      </c>
      <c r="W23" s="367"/>
      <c r="X23" s="330">
        <f>SUM(X19:X22)</f>
        <v>5613</v>
      </c>
      <c r="Y23" s="367"/>
      <c r="Z23" s="780">
        <f>SUM(Z19:Z22)</f>
        <v>0</v>
      </c>
      <c r="AB23" s="559"/>
      <c r="AC23" s="413">
        <f t="shared" si="0"/>
        <v>4752</v>
      </c>
    </row>
    <row r="24" spans="1:32" ht="14.25" thickTop="1" thickBot="1" x14ac:dyDescent="0.25">
      <c r="A24" s="506"/>
      <c r="B24" s="532" t="s">
        <v>102</v>
      </c>
      <c r="C24" s="802" t="s">
        <v>93</v>
      </c>
      <c r="D24" s="820"/>
      <c r="E24" s="802" t="s">
        <v>94</v>
      </c>
      <c r="F24" s="820"/>
      <c r="G24" s="804" t="s">
        <v>95</v>
      </c>
      <c r="H24" s="795"/>
      <c r="I24" s="804" t="s">
        <v>96</v>
      </c>
      <c r="J24" s="818"/>
      <c r="K24" s="804" t="s">
        <v>97</v>
      </c>
      <c r="L24" s="818"/>
      <c r="M24" s="788" t="s">
        <v>98</v>
      </c>
      <c r="N24" s="795"/>
      <c r="O24" s="794" t="s">
        <v>114</v>
      </c>
      <c r="P24" s="795"/>
      <c r="Q24" s="794" t="s">
        <v>119</v>
      </c>
      <c r="R24" s="795"/>
      <c r="S24" s="794" t="s">
        <v>132</v>
      </c>
      <c r="T24" s="795"/>
      <c r="U24" s="794" t="s">
        <v>140</v>
      </c>
      <c r="V24" s="795"/>
      <c r="W24" s="794" t="s">
        <v>142</v>
      </c>
      <c r="X24" s="828"/>
      <c r="Y24" s="794" t="s">
        <v>144</v>
      </c>
      <c r="Z24" s="795"/>
      <c r="AA24" s="680"/>
      <c r="AB24" s="517"/>
      <c r="AC24" s="518"/>
      <c r="AD24" s="519"/>
      <c r="AE24" s="519"/>
      <c r="AF24" s="25"/>
    </row>
    <row r="25" spans="1:32" x14ac:dyDescent="0.2">
      <c r="A25" s="506"/>
      <c r="B25" s="520" t="s">
        <v>116</v>
      </c>
      <c r="C25" s="806">
        <v>0</v>
      </c>
      <c r="D25" s="807"/>
      <c r="E25" s="808">
        <v>0.05</v>
      </c>
      <c r="F25" s="809"/>
      <c r="G25" s="808">
        <v>5.2999999999999999E-2</v>
      </c>
      <c r="H25" s="809"/>
      <c r="I25" s="808">
        <v>4.4999999999999998E-2</v>
      </c>
      <c r="J25" s="810"/>
      <c r="K25" s="521"/>
      <c r="L25" s="522">
        <v>4.1000000000000002E-2</v>
      </c>
      <c r="M25" s="523"/>
      <c r="N25" s="632">
        <v>4.2000000000000003E-2</v>
      </c>
      <c r="O25" s="630"/>
      <c r="P25" s="632">
        <v>5.1999999999999998E-2</v>
      </c>
      <c r="Q25" s="711"/>
      <c r="R25" s="632">
        <v>3.7999999999999999E-2</v>
      </c>
      <c r="S25" s="711"/>
      <c r="T25" s="632">
        <v>6.9000000000000006E-2</v>
      </c>
      <c r="U25" s="711"/>
      <c r="V25" s="632">
        <v>6.8000000000000005E-2</v>
      </c>
      <c r="W25" s="711"/>
      <c r="X25" s="632">
        <v>7.1999999999999995E-2</v>
      </c>
      <c r="Y25" s="711"/>
      <c r="Z25" s="632">
        <v>6.5000000000000002E-2</v>
      </c>
      <c r="AA25" s="683"/>
      <c r="AB25" s="524"/>
      <c r="AC25" s="525">
        <f t="shared" ref="AC25:AC26" si="1">AVERAGE(X25,V25,T25,R25,Z25)</f>
        <v>6.2400000000000011E-2</v>
      </c>
      <c r="AD25" s="519"/>
      <c r="AE25" s="519"/>
      <c r="AF25" s="25"/>
    </row>
    <row r="26" spans="1:32" x14ac:dyDescent="0.2">
      <c r="A26" s="506"/>
      <c r="B26" s="526" t="s">
        <v>117</v>
      </c>
      <c r="C26" s="814">
        <v>0.995</v>
      </c>
      <c r="D26" s="815"/>
      <c r="E26" s="816">
        <v>0.92100000000000004</v>
      </c>
      <c r="F26" s="817"/>
      <c r="G26" s="816">
        <v>0.89900000000000002</v>
      </c>
      <c r="H26" s="817"/>
      <c r="I26" s="816">
        <v>0.91600000000000004</v>
      </c>
      <c r="J26" s="819"/>
      <c r="K26" s="527"/>
      <c r="L26" s="528">
        <v>0.91300000000000003</v>
      </c>
      <c r="M26" s="527"/>
      <c r="N26" s="633">
        <v>0.879</v>
      </c>
      <c r="O26" s="631"/>
      <c r="P26" s="633">
        <v>0.86199999999999999</v>
      </c>
      <c r="Q26" s="712"/>
      <c r="R26" s="633">
        <v>0.83599999999999997</v>
      </c>
      <c r="S26" s="712"/>
      <c r="T26" s="633">
        <v>0.64</v>
      </c>
      <c r="U26" s="712"/>
      <c r="V26" s="633">
        <v>0.78500000000000003</v>
      </c>
      <c r="W26" s="712"/>
      <c r="X26" s="633">
        <v>0.76600000000000001</v>
      </c>
      <c r="Y26" s="712"/>
      <c r="Z26" s="633">
        <v>0.753</v>
      </c>
      <c r="AA26" s="683"/>
      <c r="AB26" s="524"/>
      <c r="AC26" s="525">
        <f t="shared" si="1"/>
        <v>0.75600000000000001</v>
      </c>
      <c r="AD26" s="529"/>
      <c r="AE26" s="519"/>
      <c r="AF26" s="25"/>
    </row>
    <row r="27" spans="1:32" ht="13.5" customHeight="1" thickBot="1" x14ac:dyDescent="0.25">
      <c r="B27" s="530" t="s">
        <v>103</v>
      </c>
      <c r="C27" s="800">
        <f>1-SUM(C25:D26)</f>
        <v>5.0000000000000044E-3</v>
      </c>
      <c r="D27" s="801"/>
      <c r="E27" s="800">
        <f>1-SUM(E25:F26)</f>
        <v>2.8999999999999915E-2</v>
      </c>
      <c r="F27" s="801"/>
      <c r="G27" s="800">
        <f>1-SUM(G25:H26)</f>
        <v>4.7999999999999932E-2</v>
      </c>
      <c r="H27" s="801"/>
      <c r="I27" s="800">
        <f>1-SUM(I25:J26)</f>
        <v>3.8999999999999924E-2</v>
      </c>
      <c r="J27" s="801"/>
      <c r="K27" s="800">
        <f>1-SUM(K25:L26)</f>
        <v>4.599999999999993E-2</v>
      </c>
      <c r="L27" s="801"/>
      <c r="M27" s="800">
        <f>1-SUM(M25:N26)</f>
        <v>7.8999999999999959E-2</v>
      </c>
      <c r="N27" s="801"/>
      <c r="O27" s="827">
        <f>1-SUM(O25:P26)</f>
        <v>8.5999999999999965E-2</v>
      </c>
      <c r="P27" s="801"/>
      <c r="Q27" s="796">
        <f>1-R25-R26</f>
        <v>0.126</v>
      </c>
      <c r="R27" s="797"/>
      <c r="S27" s="796">
        <f>1-T25-T26</f>
        <v>0.29100000000000004</v>
      </c>
      <c r="T27" s="797"/>
      <c r="U27" s="796">
        <f>1-V25-V26</f>
        <v>0.14699999999999991</v>
      </c>
      <c r="V27" s="797"/>
      <c r="W27" s="796">
        <f>1-X25-X26</f>
        <v>0.16200000000000003</v>
      </c>
      <c r="X27" s="797"/>
      <c r="Y27" s="796">
        <f>1-Z25-Z26</f>
        <v>0.18200000000000005</v>
      </c>
      <c r="Z27" s="797"/>
      <c r="AA27" s="683"/>
      <c r="AB27" s="821">
        <f t="shared" ref="AB27" si="2">AVERAGE(W27,U27,S27,Q27,Y27)</f>
        <v>0.18160000000000001</v>
      </c>
      <c r="AC27" s="822" t="e">
        <f t="shared" ref="AC27" si="3">AVERAGE(X27,V27,T27,R27,Z27)</f>
        <v>#DIV/0!</v>
      </c>
      <c r="AD27" s="529"/>
      <c r="AE27" s="519"/>
      <c r="AF27" s="25"/>
    </row>
    <row r="28" spans="1:32" thickTop="1" x14ac:dyDescent="0.2">
      <c r="B28" s="90"/>
      <c r="C28" s="91"/>
      <c r="D28" s="92"/>
      <c r="E28" s="91"/>
      <c r="F28" s="92"/>
      <c r="G28" s="237"/>
      <c r="H28" s="238"/>
      <c r="I28" s="237"/>
      <c r="J28" s="238"/>
      <c r="K28" s="237"/>
      <c r="L28" s="238"/>
      <c r="M28" s="237"/>
      <c r="N28" s="238"/>
      <c r="O28" s="237"/>
      <c r="P28" s="238"/>
      <c r="Q28" s="237"/>
      <c r="R28" s="238"/>
      <c r="S28" s="237"/>
      <c r="T28" s="238"/>
      <c r="U28" s="237"/>
      <c r="V28" s="238"/>
      <c r="W28" s="237"/>
      <c r="X28" s="238"/>
      <c r="Y28" s="237"/>
      <c r="Z28" s="238"/>
    </row>
    <row r="29" spans="1:32" x14ac:dyDescent="0.2">
      <c r="A29" s="93" t="s">
        <v>32</v>
      </c>
      <c r="B29" s="5"/>
      <c r="C29" s="26"/>
      <c r="D29" s="26"/>
      <c r="E29" s="26"/>
      <c r="F29" s="26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</row>
    <row r="30" spans="1:32" ht="13.5" thickBot="1" x14ac:dyDescent="0.25">
      <c r="A30" s="93"/>
      <c r="B30" s="5"/>
      <c r="C30" s="26"/>
      <c r="D30" s="26"/>
      <c r="E30" s="26"/>
      <c r="F30" s="26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</row>
    <row r="31" spans="1:32" ht="14.25" thickTop="1" thickBot="1" x14ac:dyDescent="0.25">
      <c r="A31" s="3"/>
      <c r="B31" s="270" t="s">
        <v>33</v>
      </c>
      <c r="C31" s="811" t="s">
        <v>24</v>
      </c>
      <c r="D31" s="812"/>
      <c r="E31" s="813" t="s">
        <v>25</v>
      </c>
      <c r="F31" s="813"/>
      <c r="G31" s="798" t="s">
        <v>76</v>
      </c>
      <c r="H31" s="793"/>
      <c r="I31" s="792" t="s">
        <v>86</v>
      </c>
      <c r="J31" s="792"/>
      <c r="K31" s="798" t="s">
        <v>87</v>
      </c>
      <c r="L31" s="792"/>
      <c r="M31" s="798" t="s">
        <v>90</v>
      </c>
      <c r="N31" s="793"/>
      <c r="O31" s="792" t="s">
        <v>113</v>
      </c>
      <c r="P31" s="793"/>
      <c r="Q31" s="792" t="s">
        <v>118</v>
      </c>
      <c r="R31" s="793"/>
      <c r="S31" s="792" t="s">
        <v>131</v>
      </c>
      <c r="T31" s="793"/>
      <c r="U31" s="792" t="s">
        <v>139</v>
      </c>
      <c r="V31" s="793"/>
      <c r="W31" s="792" t="s">
        <v>141</v>
      </c>
      <c r="X31" s="793"/>
      <c r="Y31" s="792" t="s">
        <v>143</v>
      </c>
      <c r="Z31" s="793"/>
      <c r="AB31" s="823" t="s">
        <v>105</v>
      </c>
      <c r="AC31" s="824"/>
    </row>
    <row r="32" spans="1:32" x14ac:dyDescent="0.2">
      <c r="A32" s="3"/>
      <c r="B32" s="232" t="s">
        <v>34</v>
      </c>
      <c r="C32" s="129"/>
      <c r="D32" s="130"/>
      <c r="E32" s="4"/>
      <c r="F32" s="4"/>
      <c r="G32" s="258"/>
      <c r="H32" s="344"/>
      <c r="I32" s="235"/>
      <c r="J32" s="235"/>
      <c r="K32" s="258"/>
      <c r="L32" s="235"/>
      <c r="M32" s="258"/>
      <c r="N32" s="344"/>
      <c r="O32" s="235"/>
      <c r="P32" s="344"/>
      <c r="Q32" s="235"/>
      <c r="R32" s="344"/>
      <c r="S32" s="235"/>
      <c r="T32" s="344"/>
      <c r="U32" s="235"/>
      <c r="V32" s="344"/>
      <c r="W32" s="235"/>
      <c r="X32" s="344"/>
      <c r="Y32" s="235"/>
      <c r="Z32" s="344"/>
      <c r="AB32" s="560"/>
      <c r="AC32" s="506"/>
    </row>
    <row r="33" spans="1:29" x14ac:dyDescent="0.2">
      <c r="A33" s="3"/>
      <c r="B33" s="229" t="s">
        <v>35</v>
      </c>
      <c r="C33" s="127"/>
      <c r="D33" s="135"/>
      <c r="E33" s="7"/>
      <c r="F33" s="155"/>
      <c r="G33" s="299"/>
      <c r="H33" s="363"/>
      <c r="I33" s="234"/>
      <c r="J33" s="389"/>
      <c r="K33" s="299"/>
      <c r="L33" s="389"/>
      <c r="M33" s="299"/>
      <c r="N33" s="363"/>
      <c r="O33" s="234"/>
      <c r="P33" s="363"/>
      <c r="Q33" s="234"/>
      <c r="R33" s="363"/>
      <c r="S33" s="234"/>
      <c r="T33" s="363"/>
      <c r="U33" s="234"/>
      <c r="V33" s="363"/>
      <c r="W33" s="234"/>
      <c r="X33" s="363"/>
      <c r="Y33" s="234"/>
      <c r="Z33" s="363"/>
      <c r="AB33" s="211"/>
      <c r="AC33" s="558"/>
    </row>
    <row r="34" spans="1:29" x14ac:dyDescent="0.2">
      <c r="A34" s="3"/>
      <c r="B34" s="229" t="s">
        <v>120</v>
      </c>
      <c r="C34" s="127"/>
      <c r="D34" s="135"/>
      <c r="E34" s="7"/>
      <c r="F34" s="155"/>
      <c r="G34" s="299"/>
      <c r="H34" s="363"/>
      <c r="I34" s="234"/>
      <c r="J34" s="389"/>
      <c r="K34" s="299"/>
      <c r="L34" s="389"/>
      <c r="M34" s="299"/>
      <c r="N34" s="363"/>
      <c r="O34" s="234"/>
      <c r="P34" s="363"/>
      <c r="Q34" s="234"/>
      <c r="R34" s="363"/>
      <c r="S34" s="234"/>
      <c r="T34" s="363"/>
      <c r="U34" s="234"/>
      <c r="V34" s="363"/>
      <c r="W34" s="234"/>
      <c r="X34" s="363"/>
      <c r="Y34" s="234"/>
      <c r="Z34" s="363"/>
      <c r="AB34" s="211"/>
      <c r="AC34" s="558"/>
    </row>
    <row r="35" spans="1:29" ht="36" x14ac:dyDescent="0.2">
      <c r="A35" s="3"/>
      <c r="B35" s="230" t="s">
        <v>121</v>
      </c>
      <c r="C35" s="129"/>
      <c r="D35" s="136"/>
      <c r="E35" s="4"/>
      <c r="F35" s="156"/>
      <c r="G35" s="258"/>
      <c r="H35" s="366"/>
      <c r="I35" s="235"/>
      <c r="J35" s="366">
        <v>0</v>
      </c>
      <c r="K35" s="235"/>
      <c r="L35" s="366">
        <v>0</v>
      </c>
      <c r="M35" s="235"/>
      <c r="N35" s="366">
        <v>0</v>
      </c>
      <c r="O35" s="235"/>
      <c r="P35" s="366">
        <v>0</v>
      </c>
      <c r="Q35" s="235"/>
      <c r="R35" s="366">
        <v>0</v>
      </c>
      <c r="S35" s="235"/>
      <c r="T35" s="366">
        <v>77183</v>
      </c>
      <c r="U35" s="235"/>
      <c r="V35" s="366">
        <v>81794</v>
      </c>
      <c r="W35" s="235"/>
      <c r="X35" s="366">
        <v>86999</v>
      </c>
      <c r="Y35" s="235"/>
      <c r="Z35" s="366">
        <v>84512</v>
      </c>
      <c r="AB35" s="209"/>
      <c r="AC35" s="558">
        <f t="shared" ref="AC35:AC36" si="4">AVERAGE(X35,V35,T35,R35,Z35)</f>
        <v>66097.600000000006</v>
      </c>
    </row>
    <row r="36" spans="1:29" x14ac:dyDescent="0.2">
      <c r="A36" s="3"/>
      <c r="B36" s="231" t="s">
        <v>36</v>
      </c>
      <c r="C36" s="137"/>
      <c r="D36" s="138">
        <f>SUM(D33:D35)</f>
        <v>0</v>
      </c>
      <c r="E36" s="97"/>
      <c r="F36" s="157">
        <f>SUM(F33:F35)</f>
        <v>0</v>
      </c>
      <c r="G36" s="259"/>
      <c r="H36" s="364"/>
      <c r="I36" s="331"/>
      <c r="J36" s="364">
        <v>0</v>
      </c>
      <c r="K36" s="331"/>
      <c r="L36" s="364">
        <v>0</v>
      </c>
      <c r="M36" s="331"/>
      <c r="N36" s="364">
        <v>0</v>
      </c>
      <c r="O36" s="331"/>
      <c r="P36" s="391">
        <v>0</v>
      </c>
      <c r="Q36" s="259"/>
      <c r="R36" s="364">
        <v>0</v>
      </c>
      <c r="S36" s="331"/>
      <c r="T36" s="364">
        <f>SUM(T35:T35)</f>
        <v>77183</v>
      </c>
      <c r="U36" s="331"/>
      <c r="V36" s="364">
        <f>SUM(V35:V35)</f>
        <v>81794</v>
      </c>
      <c r="W36" s="331"/>
      <c r="X36" s="364">
        <f>SUM(X35:X35)</f>
        <v>86999</v>
      </c>
      <c r="Y36" s="331"/>
      <c r="Z36" s="364">
        <f>SUM(Z35:Z35)</f>
        <v>84512</v>
      </c>
      <c r="AB36" s="209"/>
      <c r="AC36" s="573">
        <f t="shared" si="4"/>
        <v>66097.600000000006</v>
      </c>
    </row>
    <row r="37" spans="1:29" x14ac:dyDescent="0.2">
      <c r="A37" s="3"/>
      <c r="B37" s="232" t="s">
        <v>37</v>
      </c>
      <c r="C37" s="129"/>
      <c r="D37" s="136"/>
      <c r="E37" s="4"/>
      <c r="F37" s="156"/>
      <c r="G37" s="258"/>
      <c r="H37" s="366"/>
      <c r="I37" s="235"/>
      <c r="J37" s="390"/>
      <c r="K37" s="258"/>
      <c r="L37" s="366"/>
      <c r="M37" s="235"/>
      <c r="N37" s="366"/>
      <c r="O37" s="235"/>
      <c r="P37" s="366"/>
      <c r="Q37" s="235"/>
      <c r="R37" s="366"/>
      <c r="S37" s="235"/>
      <c r="T37" s="366"/>
      <c r="U37" s="235"/>
      <c r="V37" s="366"/>
      <c r="W37" s="235"/>
      <c r="X37" s="366"/>
      <c r="Y37" s="235"/>
      <c r="Z37" s="366"/>
      <c r="AB37" s="209"/>
      <c r="AC37" s="558"/>
    </row>
    <row r="38" spans="1:29" x14ac:dyDescent="0.2">
      <c r="A38" s="3"/>
      <c r="B38" s="229" t="s">
        <v>35</v>
      </c>
      <c r="C38" s="129"/>
      <c r="D38" s="136">
        <v>1108203</v>
      </c>
      <c r="E38" s="4"/>
      <c r="F38" s="156">
        <v>1176212</v>
      </c>
      <c r="G38" s="258"/>
      <c r="H38" s="366">
        <v>1220069</v>
      </c>
      <c r="I38" s="235"/>
      <c r="J38" s="390">
        <v>1222861</v>
      </c>
      <c r="K38" s="258"/>
      <c r="L38" s="390">
        <v>1298992</v>
      </c>
      <c r="M38" s="258"/>
      <c r="N38" s="366">
        <v>1139627</v>
      </c>
      <c r="O38" s="235"/>
      <c r="P38" s="366">
        <v>1010189</v>
      </c>
      <c r="Q38" s="235"/>
      <c r="R38" s="366">
        <v>1019872</v>
      </c>
      <c r="S38" s="235"/>
      <c r="T38" s="366">
        <v>995157</v>
      </c>
      <c r="U38" s="235"/>
      <c r="V38" s="366">
        <v>1012607</v>
      </c>
      <c r="W38" s="235"/>
      <c r="X38" s="366">
        <v>1106921</v>
      </c>
      <c r="Y38" s="235"/>
      <c r="Z38" s="366">
        <v>1275698</v>
      </c>
      <c r="AB38" s="209"/>
      <c r="AC38" s="558">
        <f t="shared" ref="AC38" si="5">AVERAGE(X38,V38,T38,R38,Z38)</f>
        <v>1082051</v>
      </c>
    </row>
    <row r="39" spans="1:29" x14ac:dyDescent="0.2">
      <c r="A39" s="3"/>
      <c r="B39" s="229" t="s">
        <v>120</v>
      </c>
      <c r="C39" s="129"/>
      <c r="D39" s="136"/>
      <c r="E39" s="4"/>
      <c r="F39" s="156"/>
      <c r="G39" s="258"/>
      <c r="H39" s="366"/>
      <c r="I39" s="235"/>
      <c r="J39" s="390"/>
      <c r="K39" s="258"/>
      <c r="L39" s="390"/>
      <c r="M39" s="258"/>
      <c r="N39" s="366"/>
      <c r="O39" s="235"/>
      <c r="P39" s="366"/>
      <c r="Q39" s="235"/>
      <c r="R39" s="366"/>
      <c r="S39" s="235"/>
      <c r="T39" s="366"/>
      <c r="U39" s="235"/>
      <c r="V39" s="366"/>
      <c r="W39" s="235"/>
      <c r="X39" s="366"/>
      <c r="Y39" s="235"/>
      <c r="Z39" s="366"/>
      <c r="AB39" s="209"/>
      <c r="AC39" s="558"/>
    </row>
    <row r="40" spans="1:29" ht="36" x14ac:dyDescent="0.2">
      <c r="A40" s="3"/>
      <c r="B40" s="230" t="s">
        <v>121</v>
      </c>
      <c r="C40" s="129"/>
      <c r="D40" s="136">
        <v>337323</v>
      </c>
      <c r="E40" s="4"/>
      <c r="F40" s="156">
        <v>430772</v>
      </c>
      <c r="G40" s="258"/>
      <c r="H40" s="366">
        <v>426694</v>
      </c>
      <c r="I40" s="235"/>
      <c r="J40" s="390">
        <v>430411</v>
      </c>
      <c r="K40" s="258"/>
      <c r="L40" s="390">
        <v>432905</v>
      </c>
      <c r="M40" s="258"/>
      <c r="N40" s="366">
        <v>371083</v>
      </c>
      <c r="O40" s="235"/>
      <c r="P40" s="366">
        <v>370464</v>
      </c>
      <c r="Q40" s="235"/>
      <c r="R40" s="366">
        <v>371577</v>
      </c>
      <c r="S40" s="235"/>
      <c r="T40" s="366">
        <v>371325</v>
      </c>
      <c r="U40" s="235"/>
      <c r="V40" s="366">
        <v>371137</v>
      </c>
      <c r="W40" s="235"/>
      <c r="X40" s="366">
        <v>416591</v>
      </c>
      <c r="Y40" s="235"/>
      <c r="Z40" s="366">
        <v>464859</v>
      </c>
      <c r="AB40" s="209"/>
      <c r="AC40" s="558">
        <f t="shared" ref="AC40:AC41" si="6">AVERAGE(X40,V40,T40,R40,Z40)</f>
        <v>399097.8</v>
      </c>
    </row>
    <row r="41" spans="1:29" x14ac:dyDescent="0.2">
      <c r="A41" s="3"/>
      <c r="B41" s="231" t="s">
        <v>38</v>
      </c>
      <c r="C41" s="137"/>
      <c r="D41" s="138">
        <f>SUM(D38:D40)</f>
        <v>1445526</v>
      </c>
      <c r="E41" s="97"/>
      <c r="F41" s="157">
        <f>SUM(F38:F40)</f>
        <v>1606984</v>
      </c>
      <c r="G41" s="259"/>
      <c r="H41" s="138">
        <f>SUM(H38:H40)</f>
        <v>1646763</v>
      </c>
      <c r="I41" s="331"/>
      <c r="J41" s="391">
        <f>SUM(J38:J40)</f>
        <v>1653272</v>
      </c>
      <c r="K41" s="259"/>
      <c r="L41" s="391">
        <f>SUM(L38:L40)</f>
        <v>1731897</v>
      </c>
      <c r="M41" s="259"/>
      <c r="N41" s="364">
        <f>SUM(N38:N40)</f>
        <v>1510710</v>
      </c>
      <c r="O41" s="331"/>
      <c r="P41" s="364">
        <f>SUM(P38:P40)</f>
        <v>1380653</v>
      </c>
      <c r="Q41" s="331"/>
      <c r="R41" s="364">
        <f>SUM(R38:R40)</f>
        <v>1391449</v>
      </c>
      <c r="S41" s="331"/>
      <c r="T41" s="364">
        <f>SUM(T38:T40)</f>
        <v>1366482</v>
      </c>
      <c r="U41" s="331"/>
      <c r="V41" s="364">
        <f>SUM(V38:V40)</f>
        <v>1383744</v>
      </c>
      <c r="W41" s="331"/>
      <c r="X41" s="364">
        <f>SUM(X38:X40)</f>
        <v>1523512</v>
      </c>
      <c r="Y41" s="331"/>
      <c r="Z41" s="364">
        <f>SUM(Z38:Z40)</f>
        <v>1740557</v>
      </c>
      <c r="AB41" s="209"/>
      <c r="AC41" s="573">
        <f t="shared" si="6"/>
        <v>1481148.8</v>
      </c>
    </row>
    <row r="42" spans="1:29" x14ac:dyDescent="0.2">
      <c r="A42" s="3"/>
      <c r="B42" s="232" t="s">
        <v>45</v>
      </c>
      <c r="C42" s="129"/>
      <c r="D42" s="136"/>
      <c r="E42" s="4"/>
      <c r="F42" s="156"/>
      <c r="G42" s="258"/>
      <c r="H42" s="366"/>
      <c r="I42" s="235"/>
      <c r="J42" s="390"/>
      <c r="K42" s="258"/>
      <c r="L42" s="390"/>
      <c r="M42" s="258"/>
      <c r="N42" s="366"/>
      <c r="O42" s="235"/>
      <c r="P42" s="366"/>
      <c r="Q42" s="235"/>
      <c r="R42" s="366"/>
      <c r="S42" s="235"/>
      <c r="T42" s="366"/>
      <c r="U42" s="235"/>
      <c r="V42" s="366"/>
      <c r="W42" s="235"/>
      <c r="X42" s="366"/>
      <c r="Y42" s="235"/>
      <c r="Z42" s="366"/>
      <c r="AB42" s="209"/>
      <c r="AC42" s="558"/>
    </row>
    <row r="43" spans="1:29" x14ac:dyDescent="0.2">
      <c r="A43" s="3"/>
      <c r="B43" s="229" t="s">
        <v>35</v>
      </c>
      <c r="C43" s="129"/>
      <c r="D43" s="136">
        <v>5385778</v>
      </c>
      <c r="E43" s="4"/>
      <c r="F43" s="156">
        <v>5650977</v>
      </c>
      <c r="G43" s="258"/>
      <c r="H43" s="366">
        <v>5839037</v>
      </c>
      <c r="I43" s="235"/>
      <c r="J43" s="390">
        <v>5881394</v>
      </c>
      <c r="K43" s="258"/>
      <c r="L43" s="390">
        <v>6458700</v>
      </c>
      <c r="M43" s="258"/>
      <c r="N43" s="366">
        <v>3478209</v>
      </c>
      <c r="O43" s="235"/>
      <c r="P43" s="366">
        <v>3210020</v>
      </c>
      <c r="Q43" s="235"/>
      <c r="R43" s="366">
        <v>3308155</v>
      </c>
      <c r="S43" s="235"/>
      <c r="T43" s="366">
        <v>3764762</v>
      </c>
      <c r="U43" s="235"/>
      <c r="V43" s="366">
        <v>4180600</v>
      </c>
      <c r="W43" s="235"/>
      <c r="X43" s="366">
        <v>4407382</v>
      </c>
      <c r="Y43" s="235"/>
      <c r="Z43" s="366">
        <v>4368489</v>
      </c>
      <c r="AB43" s="209"/>
      <c r="AC43" s="558">
        <f t="shared" ref="AC43" si="7">AVERAGE(X43,V43,T43,R43,Z43)</f>
        <v>4005877.6</v>
      </c>
    </row>
    <row r="44" spans="1:29" x14ac:dyDescent="0.2">
      <c r="A44" s="3"/>
      <c r="B44" s="229" t="s">
        <v>120</v>
      </c>
      <c r="C44" s="129"/>
      <c r="D44" s="136"/>
      <c r="E44" s="4"/>
      <c r="F44" s="156"/>
      <c r="G44" s="258"/>
      <c r="H44" s="366"/>
      <c r="I44" s="235"/>
      <c r="J44" s="390"/>
      <c r="K44" s="258"/>
      <c r="L44" s="390"/>
      <c r="M44" s="258"/>
      <c r="N44" s="366"/>
      <c r="O44" s="235"/>
      <c r="P44" s="366"/>
      <c r="Q44" s="235"/>
      <c r="R44" s="366"/>
      <c r="S44" s="235"/>
      <c r="T44" s="366"/>
      <c r="U44" s="235"/>
      <c r="V44" s="366"/>
      <c r="W44" s="235"/>
      <c r="X44" s="366"/>
      <c r="Y44" s="235"/>
      <c r="Z44" s="366"/>
      <c r="AB44" s="211"/>
      <c r="AC44" s="558"/>
    </row>
    <row r="45" spans="1:29" ht="36" x14ac:dyDescent="0.2">
      <c r="A45" s="3"/>
      <c r="B45" s="230" t="s">
        <v>121</v>
      </c>
      <c r="C45" s="129"/>
      <c r="D45" s="136">
        <v>816831</v>
      </c>
      <c r="E45" s="4"/>
      <c r="F45" s="156">
        <v>471415</v>
      </c>
      <c r="G45" s="258"/>
      <c r="H45" s="366">
        <v>507123</v>
      </c>
      <c r="I45" s="235"/>
      <c r="J45" s="390">
        <v>710069</v>
      </c>
      <c r="K45" s="258"/>
      <c r="L45" s="390">
        <v>811840</v>
      </c>
      <c r="M45" s="258"/>
      <c r="N45" s="366">
        <v>839784</v>
      </c>
      <c r="O45" s="235"/>
      <c r="P45" s="366">
        <v>778864</v>
      </c>
      <c r="Q45" s="235"/>
      <c r="R45" s="366">
        <v>801594</v>
      </c>
      <c r="S45" s="235"/>
      <c r="T45" s="366">
        <v>902437</v>
      </c>
      <c r="U45" s="235"/>
      <c r="V45" s="366">
        <v>903402</v>
      </c>
      <c r="W45" s="235"/>
      <c r="X45" s="366">
        <v>945276</v>
      </c>
      <c r="Y45" s="235"/>
      <c r="Z45" s="366">
        <v>946105</v>
      </c>
      <c r="AB45" s="211"/>
      <c r="AC45" s="558">
        <f t="shared" ref="AC45:AC47" si="8">AVERAGE(X45,V45,T45,R45,Z45)</f>
        <v>899762.8</v>
      </c>
    </row>
    <row r="46" spans="1:29" x14ac:dyDescent="0.2">
      <c r="A46" s="3"/>
      <c r="B46" s="231" t="s">
        <v>44</v>
      </c>
      <c r="C46" s="137"/>
      <c r="D46" s="138">
        <f>SUM(D43:D45)</f>
        <v>6202609</v>
      </c>
      <c r="E46" s="97"/>
      <c r="F46" s="157">
        <f>SUM(F43:F45)</f>
        <v>6122392</v>
      </c>
      <c r="G46" s="259"/>
      <c r="H46" s="138">
        <f>SUM(H43:H45)</f>
        <v>6346160</v>
      </c>
      <c r="I46" s="331"/>
      <c r="J46" s="391">
        <f>SUM(J43:J45)</f>
        <v>6591463</v>
      </c>
      <c r="K46" s="259"/>
      <c r="L46" s="391">
        <f>SUM(L43:L45)</f>
        <v>7270540</v>
      </c>
      <c r="M46" s="259"/>
      <c r="N46" s="364">
        <f>SUM(N43:N45)</f>
        <v>4317993</v>
      </c>
      <c r="O46" s="331"/>
      <c r="P46" s="364">
        <f>SUM(P43:P45)</f>
        <v>3988884</v>
      </c>
      <c r="Q46" s="331"/>
      <c r="R46" s="364">
        <f>SUM(R43:R45)</f>
        <v>4109749</v>
      </c>
      <c r="S46" s="331"/>
      <c r="T46" s="364">
        <f>SUM(T43:T45)</f>
        <v>4667199</v>
      </c>
      <c r="U46" s="331"/>
      <c r="V46" s="364">
        <f>SUM(V43:V45)</f>
        <v>5084002</v>
      </c>
      <c r="W46" s="331"/>
      <c r="X46" s="364">
        <f>SUM(X43:X45)</f>
        <v>5352658</v>
      </c>
      <c r="Y46" s="331"/>
      <c r="Z46" s="364">
        <f>SUM(Z43:Z45)</f>
        <v>5314594</v>
      </c>
      <c r="AB46" s="209"/>
      <c r="AC46" s="573">
        <f t="shared" si="8"/>
        <v>4905640.4000000004</v>
      </c>
    </row>
    <row r="47" spans="1:29" ht="13.5" thickBot="1" x14ac:dyDescent="0.25">
      <c r="A47" s="3"/>
      <c r="B47" s="272" t="s">
        <v>39</v>
      </c>
      <c r="C47" s="129"/>
      <c r="D47" s="138">
        <f>SUM(D36,D41,D46)</f>
        <v>7648135</v>
      </c>
      <c r="E47" s="4"/>
      <c r="F47" s="157">
        <f>SUM(F36,F41,F46)</f>
        <v>7729376</v>
      </c>
      <c r="G47" s="258"/>
      <c r="H47" s="138">
        <f>SUM(H36,H41,H46)</f>
        <v>7992923</v>
      </c>
      <c r="I47" s="235"/>
      <c r="J47" s="391">
        <f>SUM(J36,J41,J46)</f>
        <v>8244735</v>
      </c>
      <c r="K47" s="258"/>
      <c r="L47" s="391">
        <f>SUM(L36,L41,L46)</f>
        <v>9002437</v>
      </c>
      <c r="M47" s="258"/>
      <c r="N47" s="364">
        <f>SUM(N36,N41,N46)</f>
        <v>5828703</v>
      </c>
      <c r="O47" s="235"/>
      <c r="P47" s="364">
        <f>SUM(P36,P41,P46)</f>
        <v>5369537</v>
      </c>
      <c r="Q47" s="235"/>
      <c r="R47" s="364">
        <f>SUM(R36,R41,R46)</f>
        <v>5501198</v>
      </c>
      <c r="S47" s="235"/>
      <c r="T47" s="364">
        <f>SUM(T36,T41,T46)</f>
        <v>6110864</v>
      </c>
      <c r="U47" s="235"/>
      <c r="V47" s="364">
        <f>SUM(V36,V41,V46)</f>
        <v>6549540</v>
      </c>
      <c r="W47" s="235"/>
      <c r="X47" s="364">
        <f>SUM(X36,X41,X46)</f>
        <v>6963169</v>
      </c>
      <c r="Y47" s="235"/>
      <c r="Z47" s="364">
        <f>SUM(Z36,Z41,Z46)</f>
        <v>7139663</v>
      </c>
      <c r="AB47" s="567"/>
      <c r="AC47" s="573">
        <f t="shared" si="8"/>
        <v>6452886.7999999998</v>
      </c>
    </row>
    <row r="48" spans="1:29" ht="12" x14ac:dyDescent="0.2">
      <c r="B48" s="273" t="s">
        <v>129</v>
      </c>
      <c r="C48" s="139"/>
      <c r="D48" s="140"/>
      <c r="E48" s="101"/>
      <c r="F48" s="101"/>
      <c r="G48" s="261"/>
      <c r="H48" s="341"/>
      <c r="I48" s="332"/>
      <c r="J48" s="332"/>
      <c r="K48" s="261"/>
      <c r="L48" s="332"/>
      <c r="M48" s="261"/>
      <c r="N48" s="341"/>
      <c r="O48" s="332"/>
      <c r="P48" s="341"/>
      <c r="Q48" s="332"/>
      <c r="R48" s="341"/>
      <c r="S48" s="332"/>
      <c r="T48" s="341"/>
      <c r="U48" s="332"/>
      <c r="V48" s="341"/>
      <c r="W48" s="332"/>
      <c r="X48" s="341"/>
      <c r="Y48" s="332"/>
      <c r="Z48" s="341"/>
      <c r="AB48" s="549"/>
      <c r="AC48" s="569"/>
    </row>
    <row r="49" spans="1:29" ht="12" x14ac:dyDescent="0.2">
      <c r="B49" s="55" t="s">
        <v>15</v>
      </c>
      <c r="C49" s="141"/>
      <c r="D49" s="142">
        <v>3777643</v>
      </c>
      <c r="E49" s="61"/>
      <c r="F49" s="43">
        <v>3719442</v>
      </c>
      <c r="G49" s="301"/>
      <c r="H49" s="317">
        <v>2466144.33</v>
      </c>
      <c r="I49" s="339"/>
      <c r="J49" s="339">
        <v>4476571</v>
      </c>
      <c r="K49" s="301"/>
      <c r="L49" s="504">
        <f>1777148+2598021+419171</f>
        <v>4794340</v>
      </c>
      <c r="M49" s="301"/>
      <c r="N49" s="421">
        <v>3020915</v>
      </c>
      <c r="O49" s="361"/>
      <c r="P49" s="717">
        <v>3015490</v>
      </c>
      <c r="Q49" s="714"/>
      <c r="R49" s="717">
        <v>3519914</v>
      </c>
      <c r="S49" s="714"/>
      <c r="T49" s="717">
        <v>3784971</v>
      </c>
      <c r="U49" s="714"/>
      <c r="V49" s="717">
        <v>4243455</v>
      </c>
      <c r="W49" s="714"/>
      <c r="X49" s="717">
        <v>4124618</v>
      </c>
      <c r="Y49" s="714"/>
      <c r="Z49" s="713"/>
      <c r="AB49" s="211"/>
      <c r="AC49" s="562">
        <f>AVERAGE(X49,V49,T49,R49,P49)</f>
        <v>3737689.6</v>
      </c>
    </row>
    <row r="50" spans="1:29" ht="12" x14ac:dyDescent="0.2">
      <c r="B50" s="274" t="s">
        <v>16</v>
      </c>
      <c r="C50" s="143"/>
      <c r="D50" s="144">
        <f>1065055+100015+2280725</f>
        <v>3445795</v>
      </c>
      <c r="E50" s="62"/>
      <c r="F50" s="44">
        <f>1462599+2643334</f>
        <v>4105933</v>
      </c>
      <c r="G50" s="265"/>
      <c r="H50" s="454">
        <f>131430+37202+1223824+35201+70160+2945173+8721+255</f>
        <v>4451966</v>
      </c>
      <c r="I50" s="417"/>
      <c r="J50" s="473">
        <v>1574130.36</v>
      </c>
      <c r="K50" s="265"/>
      <c r="L50" s="505">
        <f>1292008+39501+252497+54784+6500+35658+1858</f>
        <v>1682806</v>
      </c>
      <c r="M50" s="265"/>
      <c r="N50" s="421">
        <f>21719+115517+1224308+122741+32139+219537</f>
        <v>1735961</v>
      </c>
      <c r="O50" s="359"/>
      <c r="P50" s="735">
        <f>1030992+7063+138647+111694</f>
        <v>1288396</v>
      </c>
      <c r="Q50" s="716"/>
      <c r="R50" s="735">
        <f>1054556.5+125845.82+36180.16</f>
        <v>1216582.48</v>
      </c>
      <c r="S50" s="716"/>
      <c r="T50" s="735">
        <f>324364.86+60917.29+1021200.25</f>
        <v>1406482.4</v>
      </c>
      <c r="U50" s="716"/>
      <c r="V50" s="735">
        <v>1465400</v>
      </c>
      <c r="W50" s="716"/>
      <c r="X50" s="735">
        <v>1780829.24</v>
      </c>
      <c r="Y50" s="716"/>
      <c r="Z50" s="715"/>
      <c r="AB50" s="209"/>
      <c r="AC50" s="562">
        <f>AVERAGE(X50,V50,T50,R50,P50)</f>
        <v>1431538.0240000002</v>
      </c>
    </row>
    <row r="51" spans="1:29" thickBot="1" x14ac:dyDescent="0.25">
      <c r="B51" s="275"/>
      <c r="C51" s="145"/>
      <c r="D51" s="146"/>
      <c r="E51" s="63"/>
      <c r="F51" s="45"/>
      <c r="G51" s="263"/>
      <c r="H51" s="471"/>
      <c r="I51" s="472"/>
      <c r="J51" s="472"/>
      <c r="K51" s="263"/>
      <c r="L51" s="340"/>
      <c r="M51" s="263"/>
      <c r="N51" s="342"/>
      <c r="O51" s="326"/>
      <c r="P51" s="342"/>
      <c r="Q51" s="326"/>
      <c r="R51" s="342"/>
      <c r="S51" s="326"/>
      <c r="T51" s="342"/>
      <c r="U51" s="326"/>
      <c r="V51" s="342"/>
      <c r="W51" s="326"/>
      <c r="X51" s="342"/>
      <c r="Y51" s="326"/>
      <c r="Z51" s="342"/>
      <c r="AB51" s="567"/>
      <c r="AC51" s="568"/>
    </row>
    <row r="52" spans="1:29" ht="12" x14ac:dyDescent="0.2">
      <c r="B52" s="54"/>
      <c r="C52" s="147" t="s">
        <v>69</v>
      </c>
      <c r="D52" s="148" t="s">
        <v>75</v>
      </c>
      <c r="E52" s="75" t="s">
        <v>69</v>
      </c>
      <c r="F52" s="158" t="s">
        <v>75</v>
      </c>
      <c r="G52" s="264" t="s">
        <v>69</v>
      </c>
      <c r="H52" s="343" t="s">
        <v>75</v>
      </c>
      <c r="I52" s="240" t="s">
        <v>69</v>
      </c>
      <c r="J52" s="378" t="s">
        <v>75</v>
      </c>
      <c r="K52" s="264" t="s">
        <v>69</v>
      </c>
      <c r="L52" s="378" t="s">
        <v>75</v>
      </c>
      <c r="M52" s="264" t="s">
        <v>69</v>
      </c>
      <c r="N52" s="343" t="s">
        <v>75</v>
      </c>
      <c r="O52" s="240" t="s">
        <v>69</v>
      </c>
      <c r="P52" s="343" t="s">
        <v>75</v>
      </c>
      <c r="Q52" s="240" t="s">
        <v>69</v>
      </c>
      <c r="R52" s="343" t="s">
        <v>75</v>
      </c>
      <c r="S52" s="240" t="s">
        <v>69</v>
      </c>
      <c r="T52" s="343" t="s">
        <v>75</v>
      </c>
      <c r="U52" s="240" t="s">
        <v>69</v>
      </c>
      <c r="V52" s="343" t="s">
        <v>75</v>
      </c>
      <c r="W52" s="240" t="s">
        <v>69</v>
      </c>
      <c r="X52" s="343" t="s">
        <v>75</v>
      </c>
      <c r="Y52" s="240" t="s">
        <v>69</v>
      </c>
      <c r="Z52" s="343" t="s">
        <v>75</v>
      </c>
      <c r="AB52" s="561" t="s">
        <v>69</v>
      </c>
      <c r="AC52" s="241" t="s">
        <v>75</v>
      </c>
    </row>
    <row r="53" spans="1:29" ht="11.45" customHeight="1" x14ac:dyDescent="0.2">
      <c r="B53" s="276" t="s">
        <v>30</v>
      </c>
      <c r="C53" s="314">
        <v>47</v>
      </c>
      <c r="D53" s="457">
        <v>3681172</v>
      </c>
      <c r="E53" s="402">
        <v>44</v>
      </c>
      <c r="F53" s="462">
        <v>2635088</v>
      </c>
      <c r="G53" s="452">
        <v>53</v>
      </c>
      <c r="H53" s="421">
        <v>5269125</v>
      </c>
      <c r="I53" s="320">
        <v>83</v>
      </c>
      <c r="J53" s="421">
        <v>6672268</v>
      </c>
      <c r="K53" s="320">
        <v>59</v>
      </c>
      <c r="L53" s="424">
        <v>7996190</v>
      </c>
      <c r="M53" s="452">
        <v>68</v>
      </c>
      <c r="N53" s="646">
        <v>18365612</v>
      </c>
      <c r="O53" s="452">
        <v>57</v>
      </c>
      <c r="P53" s="646">
        <v>9486213</v>
      </c>
      <c r="Q53" s="452">
        <v>67</v>
      </c>
      <c r="R53" s="646">
        <v>20190558</v>
      </c>
      <c r="S53" s="452">
        <v>36</v>
      </c>
      <c r="T53" s="646">
        <v>9465140</v>
      </c>
      <c r="U53" s="452">
        <v>73</v>
      </c>
      <c r="V53" s="646">
        <v>14902168</v>
      </c>
      <c r="W53" s="452">
        <v>87</v>
      </c>
      <c r="X53" s="646">
        <v>8821802</v>
      </c>
      <c r="Y53" s="635"/>
      <c r="Z53" s="690"/>
      <c r="AB53" s="586">
        <f t="shared" ref="AB53" si="9">AVERAGE(W53,U53,S53,Q53,Y53)</f>
        <v>65.75</v>
      </c>
      <c r="AC53" s="564">
        <f t="shared" ref="AC53" si="10">AVERAGE(X53,V53,T53,R53,Z53)</f>
        <v>13344917</v>
      </c>
    </row>
    <row r="54" spans="1:29" ht="11.45" customHeight="1" x14ac:dyDescent="0.2">
      <c r="B54" s="276"/>
      <c r="C54" s="450"/>
      <c r="D54" s="149"/>
      <c r="E54" s="196"/>
      <c r="F54" s="463"/>
      <c r="G54" s="325"/>
      <c r="H54" s="422"/>
      <c r="I54" s="428"/>
      <c r="J54" s="422"/>
      <c r="K54" s="428"/>
      <c r="L54" s="425"/>
      <c r="M54" s="325"/>
      <c r="N54" s="647"/>
      <c r="O54" s="325"/>
      <c r="P54" s="647"/>
      <c r="Q54" s="325"/>
      <c r="R54" s="647"/>
      <c r="S54" s="325"/>
      <c r="T54" s="647"/>
      <c r="U54" s="325"/>
      <c r="V54" s="647"/>
      <c r="W54" s="325"/>
      <c r="X54" s="647"/>
      <c r="Y54" s="359"/>
      <c r="Z54" s="691"/>
      <c r="AB54" s="587"/>
      <c r="AC54" s="562"/>
    </row>
    <row r="55" spans="1:29" thickBot="1" x14ac:dyDescent="0.25">
      <c r="B55" s="277" t="s">
        <v>17</v>
      </c>
      <c r="C55" s="315">
        <v>29</v>
      </c>
      <c r="D55" s="160">
        <v>2163096</v>
      </c>
      <c r="E55" s="451">
        <v>42</v>
      </c>
      <c r="F55" s="456">
        <v>2393021</v>
      </c>
      <c r="G55" s="453">
        <v>41</v>
      </c>
      <c r="H55" s="423">
        <v>2001535</v>
      </c>
      <c r="I55" s="429">
        <v>64</v>
      </c>
      <c r="J55" s="423">
        <v>1799526</v>
      </c>
      <c r="K55" s="429">
        <v>36</v>
      </c>
      <c r="L55" s="426">
        <v>3358103</v>
      </c>
      <c r="M55" s="453">
        <v>29</v>
      </c>
      <c r="N55" s="648">
        <v>8778701</v>
      </c>
      <c r="O55" s="453">
        <v>27</v>
      </c>
      <c r="P55" s="648">
        <v>10833620</v>
      </c>
      <c r="Q55" s="453">
        <v>37</v>
      </c>
      <c r="R55" s="648">
        <v>11253396</v>
      </c>
      <c r="S55" s="453">
        <v>34</v>
      </c>
      <c r="T55" s="648">
        <v>8882207</v>
      </c>
      <c r="U55" s="453">
        <v>43</v>
      </c>
      <c r="V55" s="648">
        <v>10496241</v>
      </c>
      <c r="W55" s="453">
        <v>52</v>
      </c>
      <c r="X55" s="648">
        <v>8910119</v>
      </c>
      <c r="Y55" s="636"/>
      <c r="Z55" s="692"/>
      <c r="AB55" s="587">
        <f t="shared" ref="AB55" si="11">AVERAGE(W55,U55,S55,Q55,Y55)</f>
        <v>41.5</v>
      </c>
      <c r="AC55" s="562">
        <f t="shared" ref="AC55" si="12">AVERAGE(X55,V55,T55,R55,Z55)</f>
        <v>9885490.75</v>
      </c>
    </row>
    <row r="56" spans="1:29" ht="12" x14ac:dyDescent="0.2">
      <c r="B56" s="273" t="s">
        <v>46</v>
      </c>
      <c r="C56" s="150"/>
      <c r="D56" s="161"/>
      <c r="E56" s="106"/>
      <c r="F56" s="294"/>
      <c r="G56" s="266"/>
      <c r="H56" s="337"/>
      <c r="I56" s="323"/>
      <c r="J56" s="392"/>
      <c r="K56" s="266"/>
      <c r="L56" s="392"/>
      <c r="M56" s="266"/>
      <c r="N56" s="337"/>
      <c r="O56" s="323"/>
      <c r="P56" s="337"/>
      <c r="Q56" s="323"/>
      <c r="R56" s="337"/>
      <c r="S56" s="323"/>
      <c r="T56" s="337"/>
      <c r="U56" s="323"/>
      <c r="V56" s="337"/>
      <c r="W56" s="323" t="s">
        <v>20</v>
      </c>
      <c r="X56" s="337"/>
      <c r="Y56" s="323"/>
      <c r="Z56" s="337"/>
      <c r="AB56" s="626"/>
      <c r="AC56" s="563"/>
    </row>
    <row r="57" spans="1:29" ht="12" x14ac:dyDescent="0.2">
      <c r="B57" s="278" t="s">
        <v>47</v>
      </c>
      <c r="C57" s="151"/>
      <c r="D57" s="162"/>
      <c r="E57" s="73"/>
      <c r="F57" s="27"/>
      <c r="G57" s="267"/>
      <c r="H57" s="338"/>
      <c r="I57" s="242"/>
      <c r="J57" s="233"/>
      <c r="K57" s="267"/>
      <c r="L57" s="233"/>
      <c r="M57" s="267"/>
      <c r="N57" s="338"/>
      <c r="O57" s="242"/>
      <c r="P57" s="338"/>
      <c r="Q57" s="242"/>
      <c r="R57" s="338"/>
      <c r="S57" s="242"/>
      <c r="T57" s="338"/>
      <c r="U57" s="242"/>
      <c r="V57" s="338"/>
      <c r="W57" s="242"/>
      <c r="X57" s="338"/>
      <c r="Y57" s="242"/>
      <c r="Z57" s="338"/>
      <c r="AB57" s="560"/>
      <c r="AC57" s="563"/>
    </row>
    <row r="58" spans="1:29" ht="12" x14ac:dyDescent="0.2">
      <c r="B58" s="287" t="s">
        <v>48</v>
      </c>
      <c r="C58" s="152"/>
      <c r="D58" s="163">
        <v>103648.5</v>
      </c>
      <c r="E58" s="64"/>
      <c r="F58" s="295">
        <v>50202.12</v>
      </c>
      <c r="G58" s="671"/>
      <c r="H58" s="415">
        <v>10350</v>
      </c>
      <c r="I58" s="438"/>
      <c r="J58" s="672">
        <v>63618.65</v>
      </c>
      <c r="K58" s="673"/>
      <c r="L58" s="674">
        <v>99715.68</v>
      </c>
      <c r="M58" s="673"/>
      <c r="N58" s="431">
        <v>119202</v>
      </c>
      <c r="O58" s="440"/>
      <c r="P58" s="431">
        <v>245222</v>
      </c>
      <c r="Q58" s="440"/>
      <c r="R58" s="431">
        <v>345401.62</v>
      </c>
      <c r="S58" s="440"/>
      <c r="T58" s="431">
        <v>218742.07</v>
      </c>
      <c r="U58" s="440"/>
      <c r="V58" s="431">
        <v>64135</v>
      </c>
      <c r="W58" s="440"/>
      <c r="X58" s="431">
        <v>93700</v>
      </c>
      <c r="Y58" s="440"/>
      <c r="Z58" s="742"/>
      <c r="AB58" s="211"/>
      <c r="AC58" s="562">
        <f t="shared" ref="AC58:AC59" si="13">AVERAGE(X58,V58,T58,R58,P58)</f>
        <v>193440.13799999998</v>
      </c>
    </row>
    <row r="59" spans="1:29" thickBot="1" x14ac:dyDescent="0.25">
      <c r="B59" s="288" t="s">
        <v>49</v>
      </c>
      <c r="C59" s="154"/>
      <c r="D59" s="164">
        <v>0</v>
      </c>
      <c r="E59" s="65"/>
      <c r="F59" s="308">
        <v>0</v>
      </c>
      <c r="G59" s="303"/>
      <c r="H59" s="443">
        <v>0</v>
      </c>
      <c r="I59" s="442"/>
      <c r="J59" s="444">
        <v>0</v>
      </c>
      <c r="K59" s="435"/>
      <c r="L59" s="444">
        <v>0</v>
      </c>
      <c r="M59" s="435"/>
      <c r="N59" s="443">
        <v>0</v>
      </c>
      <c r="O59" s="442"/>
      <c r="P59" s="443">
        <v>0</v>
      </c>
      <c r="Q59" s="442"/>
      <c r="R59" s="443">
        <v>0</v>
      </c>
      <c r="S59" s="442"/>
      <c r="T59" s="443">
        <v>0</v>
      </c>
      <c r="U59" s="442"/>
      <c r="V59" s="443">
        <v>0</v>
      </c>
      <c r="W59" s="442"/>
      <c r="X59" s="787">
        <v>0</v>
      </c>
      <c r="Y59" s="442"/>
      <c r="Z59" s="743"/>
      <c r="AB59" s="565"/>
      <c r="AC59" s="584">
        <f t="shared" si="13"/>
        <v>0</v>
      </c>
    </row>
    <row r="60" spans="1:29" ht="6" customHeight="1" thickTop="1" x14ac:dyDescent="0.2">
      <c r="B60" s="5"/>
      <c r="C60" s="73"/>
      <c r="D60" s="74"/>
      <c r="E60" s="73"/>
      <c r="F60" s="75"/>
      <c r="G60" s="242"/>
      <c r="H60" s="240"/>
      <c r="I60" s="242"/>
      <c r="J60" s="240"/>
      <c r="K60" s="242"/>
      <c r="L60" s="240"/>
      <c r="M60" s="242"/>
      <c r="N60" s="240"/>
      <c r="O60" s="242"/>
      <c r="P60" s="240"/>
      <c r="Q60" s="242"/>
      <c r="R60" s="240"/>
      <c r="S60" s="242"/>
      <c r="T60" s="240"/>
      <c r="U60" s="242"/>
      <c r="V60" s="240"/>
      <c r="W60" s="242"/>
      <c r="X60" s="240"/>
      <c r="Y60" s="242"/>
      <c r="Z60" s="240"/>
    </row>
    <row r="61" spans="1:29" x14ac:dyDescent="0.2">
      <c r="A61" s="3" t="s">
        <v>42</v>
      </c>
      <c r="B61" s="5"/>
      <c r="C61" s="73"/>
      <c r="D61" s="74"/>
      <c r="E61" s="73"/>
      <c r="F61" s="75"/>
      <c r="G61" s="242"/>
      <c r="H61" s="240"/>
      <c r="I61" s="242"/>
      <c r="J61" s="240"/>
      <c r="K61" s="242"/>
      <c r="L61" s="240"/>
      <c r="M61" s="242"/>
      <c r="N61" s="240"/>
      <c r="O61" s="242"/>
      <c r="P61" s="240"/>
      <c r="Q61" s="242"/>
      <c r="R61" s="240"/>
      <c r="S61" s="242"/>
      <c r="T61" s="240"/>
      <c r="U61" s="242"/>
      <c r="V61" s="240"/>
      <c r="W61" s="242"/>
      <c r="X61" s="240"/>
      <c r="Y61" s="242"/>
      <c r="Z61" s="240"/>
    </row>
    <row r="62" spans="1:29" thickBot="1" x14ac:dyDescent="0.25">
      <c r="B62" s="5"/>
      <c r="C62" s="73"/>
      <c r="D62" s="74"/>
      <c r="E62" s="73"/>
      <c r="F62" s="75"/>
      <c r="G62" s="242"/>
      <c r="H62" s="240"/>
      <c r="I62" s="242"/>
      <c r="J62" s="240"/>
      <c r="K62" s="242"/>
      <c r="L62" s="240"/>
      <c r="M62" s="242"/>
      <c r="N62" s="240"/>
      <c r="O62" s="242"/>
      <c r="P62" s="240"/>
      <c r="Q62" s="242"/>
      <c r="R62" s="240"/>
      <c r="S62" s="242"/>
      <c r="T62" s="240"/>
      <c r="U62" s="242"/>
      <c r="V62" s="240"/>
      <c r="W62" s="242"/>
      <c r="X62" s="240"/>
      <c r="Y62" s="242"/>
      <c r="Z62" s="240"/>
    </row>
    <row r="63" spans="1:29" ht="13.5" thickTop="1" thickBot="1" x14ac:dyDescent="0.25">
      <c r="B63" s="281"/>
      <c r="C63" s="811" t="s">
        <v>24</v>
      </c>
      <c r="D63" s="812"/>
      <c r="E63" s="813" t="s">
        <v>25</v>
      </c>
      <c r="F63" s="813"/>
      <c r="G63" s="798" t="s">
        <v>76</v>
      </c>
      <c r="H63" s="793"/>
      <c r="I63" s="792" t="s">
        <v>86</v>
      </c>
      <c r="J63" s="792"/>
      <c r="K63" s="798" t="s">
        <v>87</v>
      </c>
      <c r="L63" s="792"/>
      <c r="M63" s="798" t="s">
        <v>90</v>
      </c>
      <c r="N63" s="793"/>
      <c r="O63" s="798" t="s">
        <v>113</v>
      </c>
      <c r="P63" s="793"/>
      <c r="Q63" s="798" t="s">
        <v>118</v>
      </c>
      <c r="R63" s="793"/>
      <c r="S63" s="798" t="s">
        <v>131</v>
      </c>
      <c r="T63" s="793"/>
      <c r="U63" s="798" t="s">
        <v>139</v>
      </c>
      <c r="V63" s="793"/>
      <c r="W63" s="798" t="s">
        <v>141</v>
      </c>
      <c r="X63" s="793"/>
      <c r="Y63" s="798" t="s">
        <v>143</v>
      </c>
      <c r="Z63" s="793"/>
      <c r="AB63" s="823" t="s">
        <v>105</v>
      </c>
      <c r="AC63" s="824"/>
    </row>
    <row r="64" spans="1:29" ht="12" x14ac:dyDescent="0.2">
      <c r="B64" s="51" t="s">
        <v>26</v>
      </c>
      <c r="C64" s="127"/>
      <c r="D64" s="128"/>
      <c r="E64" s="7"/>
      <c r="F64" s="7"/>
      <c r="G64" s="299"/>
      <c r="H64" s="335"/>
      <c r="I64" s="234"/>
      <c r="J64" s="234"/>
      <c r="K64" s="299"/>
      <c r="L64" s="234"/>
      <c r="M64" s="299"/>
      <c r="N64" s="335"/>
      <c r="O64" s="299"/>
      <c r="P64" s="335"/>
      <c r="Q64" s="299"/>
      <c r="R64" s="335"/>
      <c r="S64" s="299"/>
      <c r="T64" s="335"/>
      <c r="U64" s="299"/>
      <c r="V64" s="335"/>
      <c r="W64" s="299"/>
      <c r="X64" s="335"/>
      <c r="Y64" s="299"/>
      <c r="Z64" s="335"/>
      <c r="AB64" s="560"/>
      <c r="AC64" s="506"/>
    </row>
    <row r="65" spans="2:29" ht="12" x14ac:dyDescent="0.2">
      <c r="B65" s="52" t="s">
        <v>27</v>
      </c>
      <c r="C65" s="129"/>
      <c r="D65" s="166"/>
      <c r="E65" s="4"/>
      <c r="F65" s="125"/>
      <c r="G65" s="258"/>
      <c r="H65" s="328"/>
      <c r="I65" s="235"/>
      <c r="J65" s="248"/>
      <c r="K65" s="258"/>
      <c r="L65" s="248"/>
      <c r="M65" s="258"/>
      <c r="N65" s="328"/>
      <c r="O65" s="258"/>
      <c r="P65" s="328"/>
      <c r="Q65" s="258"/>
      <c r="R65" s="328"/>
      <c r="S65" s="258"/>
      <c r="T65" s="328"/>
      <c r="U65" s="258"/>
      <c r="V65" s="328"/>
      <c r="W65" s="258"/>
      <c r="X65" s="328"/>
      <c r="Y65" s="258"/>
      <c r="Z65" s="328"/>
      <c r="AB65" s="211"/>
      <c r="AC65" s="575"/>
    </row>
    <row r="66" spans="2:29" ht="12" x14ac:dyDescent="0.2">
      <c r="B66" s="57" t="s">
        <v>28</v>
      </c>
      <c r="C66" s="129"/>
      <c r="D66" s="166">
        <v>12</v>
      </c>
      <c r="E66" s="4"/>
      <c r="F66" s="125">
        <v>11</v>
      </c>
      <c r="G66" s="258"/>
      <c r="H66" s="328">
        <v>18</v>
      </c>
      <c r="I66" s="235"/>
      <c r="J66" s="248">
        <v>19</v>
      </c>
      <c r="K66" s="258"/>
      <c r="L66" s="248">
        <v>20</v>
      </c>
      <c r="M66" s="258"/>
      <c r="N66" s="328">
        <v>16</v>
      </c>
      <c r="O66" s="258"/>
      <c r="P66" s="328">
        <v>11</v>
      </c>
      <c r="Q66" s="258"/>
      <c r="R66" s="328">
        <v>11</v>
      </c>
      <c r="S66" s="258"/>
      <c r="T66" s="328">
        <v>9</v>
      </c>
      <c r="U66" s="258"/>
      <c r="V66" s="328">
        <v>11</v>
      </c>
      <c r="W66" s="258"/>
      <c r="X66" s="328">
        <v>11</v>
      </c>
      <c r="Y66" s="258"/>
      <c r="Z66" s="328">
        <v>9</v>
      </c>
      <c r="AB66" s="209"/>
      <c r="AC66" s="13">
        <f t="shared" ref="AC66:AC67" si="14">AVERAGE(X66,V66,T66,R66,Z66)</f>
        <v>10.199999999999999</v>
      </c>
    </row>
    <row r="67" spans="2:29" ht="12" x14ac:dyDescent="0.2">
      <c r="B67" s="57" t="s">
        <v>104</v>
      </c>
      <c r="C67" s="129"/>
      <c r="D67" s="166">
        <v>1</v>
      </c>
      <c r="E67" s="4"/>
      <c r="F67" s="125">
        <v>2</v>
      </c>
      <c r="G67" s="258"/>
      <c r="H67" s="328">
        <v>1</v>
      </c>
      <c r="I67" s="235"/>
      <c r="J67" s="248">
        <v>0</v>
      </c>
      <c r="K67" s="258"/>
      <c r="L67" s="248">
        <v>0</v>
      </c>
      <c r="M67" s="258"/>
      <c r="N67" s="328">
        <v>0</v>
      </c>
      <c r="O67" s="258"/>
      <c r="P67" s="328">
        <v>0</v>
      </c>
      <c r="Q67" s="258"/>
      <c r="R67" s="328">
        <v>0</v>
      </c>
      <c r="S67" s="258"/>
      <c r="T67" s="328">
        <v>1</v>
      </c>
      <c r="U67" s="258"/>
      <c r="V67" s="328">
        <v>1</v>
      </c>
      <c r="W67" s="258"/>
      <c r="X67" s="328">
        <v>1</v>
      </c>
      <c r="Y67" s="258"/>
      <c r="Z67" s="328">
        <v>1</v>
      </c>
      <c r="AB67" s="209"/>
      <c r="AC67" s="13">
        <f t="shared" si="14"/>
        <v>0.8</v>
      </c>
    </row>
    <row r="68" spans="2:29" ht="12" x14ac:dyDescent="0.2">
      <c r="B68" s="52" t="s">
        <v>29</v>
      </c>
      <c r="C68" s="129"/>
      <c r="D68" s="132"/>
      <c r="E68" s="4"/>
      <c r="F68" s="39"/>
      <c r="G68" s="258"/>
      <c r="H68" s="329"/>
      <c r="I68" s="235"/>
      <c r="J68" s="239"/>
      <c r="K68" s="258"/>
      <c r="L68" s="239"/>
      <c r="M68" s="258"/>
      <c r="N68" s="329"/>
      <c r="O68" s="258"/>
      <c r="P68" s="329"/>
      <c r="Q68" s="258"/>
      <c r="R68" s="329"/>
      <c r="S68" s="258"/>
      <c r="T68" s="329"/>
      <c r="U68" s="258"/>
      <c r="V68" s="329"/>
      <c r="W68" s="258"/>
      <c r="X68" s="329"/>
      <c r="Y68" s="258"/>
      <c r="Z68" s="329"/>
      <c r="AB68" s="209"/>
      <c r="AC68" s="13"/>
    </row>
    <row r="69" spans="2:29" ht="12" x14ac:dyDescent="0.2">
      <c r="B69" s="57" t="s">
        <v>28</v>
      </c>
      <c r="C69" s="129"/>
      <c r="D69" s="132">
        <v>17</v>
      </c>
      <c r="E69" s="4"/>
      <c r="F69" s="39">
        <v>16</v>
      </c>
      <c r="G69" s="258"/>
      <c r="H69" s="329">
        <v>13</v>
      </c>
      <c r="I69" s="235"/>
      <c r="J69" s="239">
        <v>12</v>
      </c>
      <c r="K69" s="258"/>
      <c r="L69" s="239">
        <v>13</v>
      </c>
      <c r="M69" s="258"/>
      <c r="N69" s="329">
        <v>15</v>
      </c>
      <c r="O69" s="258"/>
      <c r="P69" s="329">
        <v>20</v>
      </c>
      <c r="Q69" s="258"/>
      <c r="R69" s="329">
        <v>21</v>
      </c>
      <c r="S69" s="258"/>
      <c r="T69" s="329">
        <v>26</v>
      </c>
      <c r="U69" s="258"/>
      <c r="V69" s="329">
        <v>27</v>
      </c>
      <c r="W69" s="258"/>
      <c r="X69" s="329">
        <v>31</v>
      </c>
      <c r="Y69" s="258"/>
      <c r="Z69" s="329">
        <v>37</v>
      </c>
      <c r="AB69" s="209"/>
      <c r="AC69" s="13">
        <f t="shared" ref="AC69:AC71" si="15">AVERAGE(X69,V69,T69,R69,Z69)</f>
        <v>28.4</v>
      </c>
    </row>
    <row r="70" spans="2:29" ht="12" x14ac:dyDescent="0.2">
      <c r="B70" s="282" t="s">
        <v>104</v>
      </c>
      <c r="C70" s="129"/>
      <c r="D70" s="132">
        <v>0</v>
      </c>
      <c r="E70" s="4"/>
      <c r="F70" s="39">
        <v>1</v>
      </c>
      <c r="G70" s="258"/>
      <c r="H70" s="329">
        <v>1</v>
      </c>
      <c r="I70" s="235"/>
      <c r="J70" s="239">
        <v>3</v>
      </c>
      <c r="K70" s="258"/>
      <c r="L70" s="239">
        <v>2</v>
      </c>
      <c r="M70" s="258"/>
      <c r="N70" s="329">
        <v>2</v>
      </c>
      <c r="O70" s="258"/>
      <c r="P70" s="329">
        <v>2</v>
      </c>
      <c r="Q70" s="258"/>
      <c r="R70" s="329">
        <v>1</v>
      </c>
      <c r="S70" s="258"/>
      <c r="T70" s="329">
        <v>2</v>
      </c>
      <c r="U70" s="258"/>
      <c r="V70" s="329">
        <v>2</v>
      </c>
      <c r="W70" s="258"/>
      <c r="X70" s="329">
        <v>3</v>
      </c>
      <c r="Y70" s="258"/>
      <c r="Z70" s="329">
        <v>3</v>
      </c>
      <c r="AB70" s="209"/>
      <c r="AC70" s="13">
        <f t="shared" si="15"/>
        <v>2.2000000000000002</v>
      </c>
    </row>
    <row r="71" spans="2:29" thickBot="1" x14ac:dyDescent="0.25">
      <c r="B71" s="56" t="s">
        <v>14</v>
      </c>
      <c r="C71" s="167"/>
      <c r="D71" s="180">
        <f>SUM(D66:D70)</f>
        <v>30</v>
      </c>
      <c r="E71" s="83"/>
      <c r="F71" s="82">
        <f>SUM(F66:F70)</f>
        <v>30</v>
      </c>
      <c r="G71" s="304"/>
      <c r="H71" s="330">
        <v>33</v>
      </c>
      <c r="I71" s="327"/>
      <c r="J71" s="82">
        <f>SUM(J66:J70)</f>
        <v>34</v>
      </c>
      <c r="K71" s="304"/>
      <c r="L71" s="82">
        <f>SUM(L66:L70)</f>
        <v>35</v>
      </c>
      <c r="M71" s="304"/>
      <c r="N71" s="180">
        <f>SUM(N66:N70)</f>
        <v>33</v>
      </c>
      <c r="O71" s="304"/>
      <c r="P71" s="180">
        <f>SUM(P66:P70)</f>
        <v>33</v>
      </c>
      <c r="Q71" s="304"/>
      <c r="R71" s="180">
        <f>SUM(R66:R70)</f>
        <v>33</v>
      </c>
      <c r="S71" s="304"/>
      <c r="T71" s="330">
        <f>SUM(T66:T70)</f>
        <v>38</v>
      </c>
      <c r="U71" s="304"/>
      <c r="V71" s="330">
        <f>SUM(V66:V70)</f>
        <v>41</v>
      </c>
      <c r="W71" s="304"/>
      <c r="X71" s="330">
        <f>SUM(X66:X70)</f>
        <v>46</v>
      </c>
      <c r="Y71" s="304"/>
      <c r="Z71" s="330">
        <f>SUM(Z66:Z70)</f>
        <v>50</v>
      </c>
      <c r="AB71" s="560"/>
      <c r="AC71" s="413">
        <f t="shared" si="15"/>
        <v>41.6</v>
      </c>
    </row>
    <row r="72" spans="2:29" thickTop="1" x14ac:dyDescent="0.2">
      <c r="B72" s="289" t="s">
        <v>71</v>
      </c>
      <c r="C72" s="186"/>
      <c r="D72" s="187"/>
      <c r="E72" s="122"/>
      <c r="F72" s="165"/>
      <c r="G72" s="305"/>
      <c r="H72" s="355"/>
      <c r="I72" s="351"/>
      <c r="J72" s="393"/>
      <c r="K72" s="305"/>
      <c r="L72" s="393"/>
      <c r="M72" s="305"/>
      <c r="N72" s="372"/>
      <c r="O72" s="305"/>
      <c r="P72" s="372"/>
      <c r="Q72" s="305"/>
      <c r="R72" s="372"/>
      <c r="S72" s="305"/>
      <c r="T72" s="372"/>
      <c r="U72" s="305"/>
      <c r="V72" s="372"/>
      <c r="W72" s="305"/>
      <c r="X72" s="372"/>
      <c r="Y72" s="305"/>
      <c r="Z72" s="372"/>
      <c r="AB72" s="576" t="s">
        <v>69</v>
      </c>
      <c r="AC72" s="577" t="s">
        <v>70</v>
      </c>
    </row>
    <row r="73" spans="2:29" ht="12" x14ac:dyDescent="0.2">
      <c r="B73" s="57" t="s">
        <v>53</v>
      </c>
      <c r="C73" s="170">
        <v>23</v>
      </c>
      <c r="D73" s="188">
        <f>C73/D$71</f>
        <v>0.76666666666666672</v>
      </c>
      <c r="E73" s="123">
        <v>22</v>
      </c>
      <c r="F73" s="177">
        <f t="shared" ref="F73:H80" si="16">E73/F$71</f>
        <v>0.73333333333333328</v>
      </c>
      <c r="G73" s="170">
        <v>24</v>
      </c>
      <c r="H73" s="188">
        <f t="shared" si="16"/>
        <v>0.72727272727272729</v>
      </c>
      <c r="I73" s="123">
        <v>24</v>
      </c>
      <c r="J73" s="177">
        <f t="shared" ref="J73:L80" si="17">I73/J$71</f>
        <v>0.70588235294117652</v>
      </c>
      <c r="K73" s="170">
        <v>21</v>
      </c>
      <c r="L73" s="177">
        <f t="shared" si="17"/>
        <v>0.6</v>
      </c>
      <c r="M73" s="170">
        <v>22</v>
      </c>
      <c r="N73" s="188">
        <f t="shared" ref="N73:P80" si="18">M73/N$71</f>
        <v>0.66666666666666663</v>
      </c>
      <c r="O73" s="170">
        <v>21</v>
      </c>
      <c r="P73" s="188">
        <f t="shared" si="18"/>
        <v>0.63636363636363635</v>
      </c>
      <c r="Q73" s="170">
        <v>21</v>
      </c>
      <c r="R73" s="188">
        <f t="shared" ref="R73:T80" si="19">Q73/R$71</f>
        <v>0.63636363636363635</v>
      </c>
      <c r="S73" s="170">
        <f>24+3</f>
        <v>27</v>
      </c>
      <c r="T73" s="188">
        <f t="shared" si="19"/>
        <v>0.71052631578947367</v>
      </c>
      <c r="U73" s="170">
        <v>28</v>
      </c>
      <c r="V73" s="188">
        <f t="shared" ref="V73:V80" si="20">U73/V$71</f>
        <v>0.68292682926829273</v>
      </c>
      <c r="W73" s="170">
        <v>27</v>
      </c>
      <c r="X73" s="188">
        <f t="shared" ref="X73:X80" si="21">W73/X$71</f>
        <v>0.58695652173913049</v>
      </c>
      <c r="Y73" s="170">
        <v>28</v>
      </c>
      <c r="Z73" s="188">
        <f t="shared" ref="Z73:Z80" si="22">Y73/Z$71</f>
        <v>0.56000000000000005</v>
      </c>
      <c r="AA73" s="506"/>
      <c r="AB73" s="578">
        <f t="shared" ref="AB73:AB80" si="23">AVERAGE(W73,U73,S73,Q73,Y73)</f>
        <v>26.2</v>
      </c>
      <c r="AC73" s="580">
        <f>AVERAGE(X73,V73,T73,R73,Z73)</f>
        <v>0.63535466063210666</v>
      </c>
    </row>
    <row r="74" spans="2:29" ht="12" x14ac:dyDescent="0.2">
      <c r="B74" s="102" t="s">
        <v>54</v>
      </c>
      <c r="C74" s="170">
        <v>0</v>
      </c>
      <c r="D74" s="188">
        <f t="shared" ref="D74:D92" si="24">C74/$D$71</f>
        <v>0</v>
      </c>
      <c r="E74" s="123">
        <v>0</v>
      </c>
      <c r="F74" s="177">
        <f t="shared" si="16"/>
        <v>0</v>
      </c>
      <c r="G74" s="170">
        <v>0</v>
      </c>
      <c r="H74" s="188">
        <f t="shared" si="16"/>
        <v>0</v>
      </c>
      <c r="I74" s="123">
        <v>0</v>
      </c>
      <c r="J74" s="177">
        <f t="shared" si="17"/>
        <v>0</v>
      </c>
      <c r="K74" s="170">
        <v>0</v>
      </c>
      <c r="L74" s="177">
        <f t="shared" si="17"/>
        <v>0</v>
      </c>
      <c r="M74" s="170">
        <v>0</v>
      </c>
      <c r="N74" s="188">
        <f t="shared" si="18"/>
        <v>0</v>
      </c>
      <c r="O74" s="170">
        <v>0</v>
      </c>
      <c r="P74" s="188">
        <f t="shared" si="18"/>
        <v>0</v>
      </c>
      <c r="Q74" s="170">
        <v>0</v>
      </c>
      <c r="R74" s="188">
        <f t="shared" si="19"/>
        <v>0</v>
      </c>
      <c r="S74" s="170">
        <f>0</f>
        <v>0</v>
      </c>
      <c r="T74" s="188">
        <f t="shared" si="19"/>
        <v>0</v>
      </c>
      <c r="U74" s="170">
        <v>0</v>
      </c>
      <c r="V74" s="188">
        <f t="shared" si="20"/>
        <v>0</v>
      </c>
      <c r="W74" s="170">
        <v>1</v>
      </c>
      <c r="X74" s="188">
        <f t="shared" si="21"/>
        <v>2.1739130434782608E-2</v>
      </c>
      <c r="Y74" s="170">
        <v>1</v>
      </c>
      <c r="Z74" s="188">
        <f t="shared" si="22"/>
        <v>0.02</v>
      </c>
      <c r="AA74" s="506"/>
      <c r="AB74" s="578">
        <f t="shared" si="23"/>
        <v>0.4</v>
      </c>
      <c r="AC74" s="580">
        <f t="shared" ref="AC74:AC80" si="25">AVERAGE(X74,V74,T74,R74,Z74)</f>
        <v>8.3478260869565227E-3</v>
      </c>
    </row>
    <row r="75" spans="2:29" ht="12" x14ac:dyDescent="0.2">
      <c r="B75" s="102" t="s">
        <v>55</v>
      </c>
      <c r="C75" s="170">
        <v>1</v>
      </c>
      <c r="D75" s="188">
        <f t="shared" si="24"/>
        <v>3.3333333333333333E-2</v>
      </c>
      <c r="E75" s="123">
        <v>1</v>
      </c>
      <c r="F75" s="177">
        <f t="shared" si="16"/>
        <v>3.3333333333333333E-2</v>
      </c>
      <c r="G75" s="170">
        <v>1</v>
      </c>
      <c r="H75" s="188">
        <f t="shared" si="16"/>
        <v>3.0303030303030304E-2</v>
      </c>
      <c r="I75" s="123">
        <v>1</v>
      </c>
      <c r="J75" s="177">
        <f t="shared" si="17"/>
        <v>2.9411764705882353E-2</v>
      </c>
      <c r="K75" s="170">
        <v>1</v>
      </c>
      <c r="L75" s="177">
        <f t="shared" si="17"/>
        <v>2.8571428571428571E-2</v>
      </c>
      <c r="M75" s="170">
        <v>0</v>
      </c>
      <c r="N75" s="188">
        <f t="shared" si="18"/>
        <v>0</v>
      </c>
      <c r="O75" s="170">
        <v>0</v>
      </c>
      <c r="P75" s="188">
        <f t="shared" si="18"/>
        <v>0</v>
      </c>
      <c r="Q75" s="170">
        <v>0</v>
      </c>
      <c r="R75" s="188">
        <f t="shared" si="19"/>
        <v>0</v>
      </c>
      <c r="S75" s="170">
        <f>0</f>
        <v>0</v>
      </c>
      <c r="T75" s="188">
        <f t="shared" si="19"/>
        <v>0</v>
      </c>
      <c r="U75" s="170">
        <v>0</v>
      </c>
      <c r="V75" s="188">
        <f t="shared" si="20"/>
        <v>0</v>
      </c>
      <c r="W75" s="170">
        <v>0</v>
      </c>
      <c r="X75" s="188">
        <f t="shared" si="21"/>
        <v>0</v>
      </c>
      <c r="Y75" s="170">
        <v>0</v>
      </c>
      <c r="Z75" s="188">
        <f t="shared" si="22"/>
        <v>0</v>
      </c>
      <c r="AA75" s="506"/>
      <c r="AB75" s="578">
        <f t="shared" si="23"/>
        <v>0</v>
      </c>
      <c r="AC75" s="580">
        <f t="shared" si="25"/>
        <v>0</v>
      </c>
    </row>
    <row r="76" spans="2:29" ht="12" x14ac:dyDescent="0.2">
      <c r="B76" s="102" t="s">
        <v>56</v>
      </c>
      <c r="C76" s="170">
        <v>0</v>
      </c>
      <c r="D76" s="188">
        <f t="shared" si="24"/>
        <v>0</v>
      </c>
      <c r="E76" s="123">
        <v>0</v>
      </c>
      <c r="F76" s="177">
        <f t="shared" si="16"/>
        <v>0</v>
      </c>
      <c r="G76" s="170">
        <v>0</v>
      </c>
      <c r="H76" s="188">
        <f t="shared" si="16"/>
        <v>0</v>
      </c>
      <c r="I76" s="123">
        <v>0</v>
      </c>
      <c r="J76" s="177">
        <f t="shared" si="17"/>
        <v>0</v>
      </c>
      <c r="K76" s="170">
        <v>0</v>
      </c>
      <c r="L76" s="177">
        <f t="shared" si="17"/>
        <v>0</v>
      </c>
      <c r="M76" s="170">
        <v>0</v>
      </c>
      <c r="N76" s="188">
        <f t="shared" si="18"/>
        <v>0</v>
      </c>
      <c r="O76" s="170">
        <v>0</v>
      </c>
      <c r="P76" s="188">
        <f t="shared" si="18"/>
        <v>0</v>
      </c>
      <c r="Q76" s="170">
        <v>0</v>
      </c>
      <c r="R76" s="188">
        <f t="shared" si="19"/>
        <v>0</v>
      </c>
      <c r="S76" s="170">
        <f>0</f>
        <v>0</v>
      </c>
      <c r="T76" s="188">
        <f t="shared" si="19"/>
        <v>0</v>
      </c>
      <c r="U76" s="170">
        <v>0</v>
      </c>
      <c r="V76" s="188">
        <f t="shared" si="20"/>
        <v>0</v>
      </c>
      <c r="W76" s="170">
        <v>0</v>
      </c>
      <c r="X76" s="188">
        <f t="shared" si="21"/>
        <v>0</v>
      </c>
      <c r="Y76" s="170">
        <v>0</v>
      </c>
      <c r="Z76" s="188">
        <f t="shared" si="22"/>
        <v>0</v>
      </c>
      <c r="AA76" s="506"/>
      <c r="AB76" s="578">
        <f t="shared" si="23"/>
        <v>0</v>
      </c>
      <c r="AC76" s="580">
        <f t="shared" si="25"/>
        <v>0</v>
      </c>
    </row>
    <row r="77" spans="2:29" ht="12" x14ac:dyDescent="0.2">
      <c r="B77" s="102" t="s">
        <v>57</v>
      </c>
      <c r="C77" s="170">
        <v>5</v>
      </c>
      <c r="D77" s="188">
        <f t="shared" si="24"/>
        <v>0.16666666666666666</v>
      </c>
      <c r="E77" s="123">
        <v>6</v>
      </c>
      <c r="F77" s="177">
        <f t="shared" si="16"/>
        <v>0.2</v>
      </c>
      <c r="G77" s="170">
        <v>7</v>
      </c>
      <c r="H77" s="188">
        <f t="shared" si="16"/>
        <v>0.21212121212121213</v>
      </c>
      <c r="I77" s="123">
        <v>6</v>
      </c>
      <c r="J77" s="177">
        <f t="shared" si="17"/>
        <v>0.17647058823529413</v>
      </c>
      <c r="K77" s="170">
        <v>8</v>
      </c>
      <c r="L77" s="177">
        <f t="shared" si="17"/>
        <v>0.22857142857142856</v>
      </c>
      <c r="M77" s="170">
        <v>7</v>
      </c>
      <c r="N77" s="188">
        <f t="shared" si="18"/>
        <v>0.21212121212121213</v>
      </c>
      <c r="O77" s="170">
        <v>8</v>
      </c>
      <c r="P77" s="188">
        <f t="shared" si="18"/>
        <v>0.24242424242424243</v>
      </c>
      <c r="Q77" s="170">
        <v>9</v>
      </c>
      <c r="R77" s="188">
        <f t="shared" si="19"/>
        <v>0.27272727272727271</v>
      </c>
      <c r="S77" s="170">
        <f>9</f>
        <v>9</v>
      </c>
      <c r="T77" s="188">
        <f t="shared" si="19"/>
        <v>0.23684210526315788</v>
      </c>
      <c r="U77" s="170">
        <v>10</v>
      </c>
      <c r="V77" s="188">
        <f t="shared" si="20"/>
        <v>0.24390243902439024</v>
      </c>
      <c r="W77" s="170">
        <v>14</v>
      </c>
      <c r="X77" s="188">
        <f t="shared" si="21"/>
        <v>0.30434782608695654</v>
      </c>
      <c r="Y77" s="170">
        <v>16</v>
      </c>
      <c r="Z77" s="188">
        <f t="shared" si="22"/>
        <v>0.32</v>
      </c>
      <c r="AA77" s="506"/>
      <c r="AB77" s="578">
        <f t="shared" si="23"/>
        <v>11.6</v>
      </c>
      <c r="AC77" s="580">
        <f t="shared" si="25"/>
        <v>0.2755639286203555</v>
      </c>
    </row>
    <row r="78" spans="2:29" ht="12" x14ac:dyDescent="0.2">
      <c r="B78" s="102" t="s">
        <v>58</v>
      </c>
      <c r="C78" s="170">
        <v>1</v>
      </c>
      <c r="D78" s="188">
        <f t="shared" si="24"/>
        <v>3.3333333333333333E-2</v>
      </c>
      <c r="E78" s="123">
        <v>1</v>
      </c>
      <c r="F78" s="177">
        <f t="shared" si="16"/>
        <v>3.3333333333333333E-2</v>
      </c>
      <c r="G78" s="170">
        <v>1</v>
      </c>
      <c r="H78" s="188">
        <f t="shared" si="16"/>
        <v>3.0303030303030304E-2</v>
      </c>
      <c r="I78" s="123">
        <v>3</v>
      </c>
      <c r="J78" s="177">
        <f t="shared" si="17"/>
        <v>8.8235294117647065E-2</v>
      </c>
      <c r="K78" s="170">
        <v>5</v>
      </c>
      <c r="L78" s="177">
        <f t="shared" si="17"/>
        <v>0.14285714285714285</v>
      </c>
      <c r="M78" s="170">
        <v>4</v>
      </c>
      <c r="N78" s="188">
        <f t="shared" si="18"/>
        <v>0.12121212121212122</v>
      </c>
      <c r="O78" s="170">
        <v>4</v>
      </c>
      <c r="P78" s="188">
        <f t="shared" si="18"/>
        <v>0.12121212121212122</v>
      </c>
      <c r="Q78" s="170">
        <v>3</v>
      </c>
      <c r="R78" s="188">
        <f t="shared" si="19"/>
        <v>9.0909090909090912E-2</v>
      </c>
      <c r="S78" s="170">
        <f>2</f>
        <v>2</v>
      </c>
      <c r="T78" s="188">
        <f t="shared" si="19"/>
        <v>5.2631578947368418E-2</v>
      </c>
      <c r="U78" s="170">
        <v>3</v>
      </c>
      <c r="V78" s="188">
        <f t="shared" si="20"/>
        <v>7.3170731707317069E-2</v>
      </c>
      <c r="W78" s="170">
        <v>4</v>
      </c>
      <c r="X78" s="188">
        <f t="shared" si="21"/>
        <v>8.6956521739130432E-2</v>
      </c>
      <c r="Y78" s="170">
        <v>4</v>
      </c>
      <c r="Z78" s="188">
        <f t="shared" si="22"/>
        <v>0.08</v>
      </c>
      <c r="AA78" s="506"/>
      <c r="AB78" s="578">
        <f t="shared" si="23"/>
        <v>3.2</v>
      </c>
      <c r="AC78" s="580">
        <f t="shared" si="25"/>
        <v>7.6733584660581361E-2</v>
      </c>
    </row>
    <row r="79" spans="2:29" ht="12" x14ac:dyDescent="0.2">
      <c r="B79" s="102" t="s">
        <v>126</v>
      </c>
      <c r="C79" s="172"/>
      <c r="D79" s="188"/>
      <c r="E79" s="124"/>
      <c r="F79" s="177"/>
      <c r="G79" s="722"/>
      <c r="H79" s="723"/>
      <c r="I79" s="724"/>
      <c r="J79" s="725"/>
      <c r="K79" s="722"/>
      <c r="L79" s="725"/>
      <c r="M79" s="722"/>
      <c r="N79" s="723"/>
      <c r="O79" s="722"/>
      <c r="P79" s="723"/>
      <c r="Q79" s="172">
        <v>0</v>
      </c>
      <c r="R79" s="188">
        <f t="shared" si="19"/>
        <v>0</v>
      </c>
      <c r="S79" s="172">
        <f>0</f>
        <v>0</v>
      </c>
      <c r="T79" s="188">
        <f t="shared" si="19"/>
        <v>0</v>
      </c>
      <c r="U79" s="172">
        <v>0</v>
      </c>
      <c r="V79" s="188">
        <f t="shared" si="20"/>
        <v>0</v>
      </c>
      <c r="W79" s="172">
        <v>0</v>
      </c>
      <c r="X79" s="188">
        <f t="shared" si="21"/>
        <v>0</v>
      </c>
      <c r="Y79" s="172">
        <v>1</v>
      </c>
      <c r="Z79" s="188">
        <f t="shared" si="22"/>
        <v>0.02</v>
      </c>
      <c r="AA79" s="506"/>
      <c r="AB79" s="578">
        <f t="shared" si="23"/>
        <v>0.2</v>
      </c>
      <c r="AC79" s="580">
        <f t="shared" si="25"/>
        <v>4.0000000000000001E-3</v>
      </c>
    </row>
    <row r="80" spans="2:29" ht="12" x14ac:dyDescent="0.2">
      <c r="B80" s="102" t="s">
        <v>59</v>
      </c>
      <c r="C80" s="172">
        <v>0</v>
      </c>
      <c r="D80" s="188">
        <f t="shared" si="24"/>
        <v>0</v>
      </c>
      <c r="E80" s="124">
        <v>0</v>
      </c>
      <c r="F80" s="177">
        <f t="shared" si="16"/>
        <v>0</v>
      </c>
      <c r="G80" s="172">
        <v>0</v>
      </c>
      <c r="H80" s="188">
        <f t="shared" si="16"/>
        <v>0</v>
      </c>
      <c r="I80" s="124">
        <v>0</v>
      </c>
      <c r="J80" s="177">
        <f t="shared" si="17"/>
        <v>0</v>
      </c>
      <c r="K80" s="172">
        <v>0</v>
      </c>
      <c r="L80" s="177">
        <f t="shared" si="17"/>
        <v>0</v>
      </c>
      <c r="M80" s="172">
        <v>0</v>
      </c>
      <c r="N80" s="188">
        <f t="shared" si="18"/>
        <v>0</v>
      </c>
      <c r="O80" s="172">
        <v>0</v>
      </c>
      <c r="P80" s="188">
        <f t="shared" si="18"/>
        <v>0</v>
      </c>
      <c r="Q80" s="172">
        <v>0</v>
      </c>
      <c r="R80" s="188">
        <f t="shared" si="19"/>
        <v>0</v>
      </c>
      <c r="S80" s="172">
        <f>0</f>
        <v>0</v>
      </c>
      <c r="T80" s="188">
        <f t="shared" si="19"/>
        <v>0</v>
      </c>
      <c r="U80" s="172">
        <v>0</v>
      </c>
      <c r="V80" s="188">
        <f t="shared" si="20"/>
        <v>0</v>
      </c>
      <c r="W80" s="172">
        <v>0</v>
      </c>
      <c r="X80" s="188">
        <f t="shared" si="21"/>
        <v>0</v>
      </c>
      <c r="Y80" s="172">
        <v>0</v>
      </c>
      <c r="Z80" s="188">
        <f t="shared" si="22"/>
        <v>0</v>
      </c>
      <c r="AA80" s="506"/>
      <c r="AB80" s="578">
        <f t="shared" si="23"/>
        <v>0</v>
      </c>
      <c r="AC80" s="580">
        <f t="shared" si="25"/>
        <v>0</v>
      </c>
    </row>
    <row r="81" spans="1:31" ht="12" x14ac:dyDescent="0.2">
      <c r="B81" s="286" t="s">
        <v>72</v>
      </c>
      <c r="C81" s="189"/>
      <c r="D81" s="188"/>
      <c r="E81" s="182"/>
      <c r="F81" s="291"/>
      <c r="G81" s="309"/>
      <c r="H81" s="356"/>
      <c r="I81" s="182"/>
      <c r="J81" s="291"/>
      <c r="K81" s="309"/>
      <c r="L81" s="291"/>
      <c r="M81" s="309"/>
      <c r="N81" s="356"/>
      <c r="O81" s="309"/>
      <c r="P81" s="356"/>
      <c r="Q81" s="309"/>
      <c r="R81" s="356"/>
      <c r="S81" s="309"/>
      <c r="T81" s="356"/>
      <c r="U81" s="309"/>
      <c r="V81" s="356"/>
      <c r="W81" s="309"/>
      <c r="X81" s="356"/>
      <c r="Y81" s="309"/>
      <c r="Z81" s="356"/>
      <c r="AA81" s="506"/>
      <c r="AB81" s="578"/>
      <c r="AC81" s="580"/>
    </row>
    <row r="82" spans="1:31" ht="12" x14ac:dyDescent="0.2">
      <c r="B82" s="57" t="s">
        <v>60</v>
      </c>
      <c r="C82" s="185">
        <v>26</v>
      </c>
      <c r="D82" s="188">
        <f t="shared" si="24"/>
        <v>0.8666666666666667</v>
      </c>
      <c r="E82" s="125">
        <v>25</v>
      </c>
      <c r="F82" s="297">
        <f>E82/F$71</f>
        <v>0.83333333333333337</v>
      </c>
      <c r="G82" s="185">
        <v>27</v>
      </c>
      <c r="H82" s="357">
        <f>G82/H$71</f>
        <v>0.81818181818181823</v>
      </c>
      <c r="I82" s="248">
        <v>28</v>
      </c>
      <c r="J82" s="177">
        <f>I82/J$71</f>
        <v>0.82352941176470584</v>
      </c>
      <c r="K82" s="185">
        <v>28</v>
      </c>
      <c r="L82" s="177">
        <f>K82/L$71</f>
        <v>0.8</v>
      </c>
      <c r="M82" s="185">
        <v>28</v>
      </c>
      <c r="N82" s="188">
        <f>M82/N$71</f>
        <v>0.84848484848484851</v>
      </c>
      <c r="O82" s="185">
        <v>27</v>
      </c>
      <c r="P82" s="188">
        <f>O82/P$71</f>
        <v>0.81818181818181823</v>
      </c>
      <c r="Q82" s="185">
        <v>27</v>
      </c>
      <c r="R82" s="188">
        <f>Q82/R$71</f>
        <v>0.81818181818181823</v>
      </c>
      <c r="S82" s="185">
        <f>25+3</f>
        <v>28</v>
      </c>
      <c r="T82" s="188">
        <f>S82/T$71</f>
        <v>0.73684210526315785</v>
      </c>
      <c r="U82" s="185">
        <v>30</v>
      </c>
      <c r="V82" s="188">
        <f>U82/V$71</f>
        <v>0.73170731707317072</v>
      </c>
      <c r="W82" s="185">
        <v>31</v>
      </c>
      <c r="X82" s="188">
        <f>W82/X$71</f>
        <v>0.67391304347826086</v>
      </c>
      <c r="Y82" s="185">
        <v>33</v>
      </c>
      <c r="Z82" s="188">
        <f>Y82/Z$71</f>
        <v>0.66</v>
      </c>
      <c r="AA82" s="506"/>
      <c r="AB82" s="578">
        <f t="shared" ref="AB82:AB83" si="26">AVERAGE(W82,U82,S82,Q82,Y82)</f>
        <v>29.8</v>
      </c>
      <c r="AC82" s="580">
        <f t="shared" ref="AC82:AC83" si="27">AVERAGE(X82,V82,T82,R82,Z82)</f>
        <v>0.72412885679928163</v>
      </c>
    </row>
    <row r="83" spans="1:31" ht="12" x14ac:dyDescent="0.2">
      <c r="B83" s="57" t="s">
        <v>61</v>
      </c>
      <c r="C83" s="190">
        <v>4</v>
      </c>
      <c r="D83" s="188">
        <f t="shared" si="24"/>
        <v>0.13333333333333333</v>
      </c>
      <c r="E83" s="179">
        <v>5</v>
      </c>
      <c r="F83" s="297">
        <f>E83/F$71</f>
        <v>0.16666666666666666</v>
      </c>
      <c r="G83" s="190">
        <v>6</v>
      </c>
      <c r="H83" s="357">
        <f>G83/H$71</f>
        <v>0.18181818181818182</v>
      </c>
      <c r="I83" s="352">
        <v>6</v>
      </c>
      <c r="J83" s="177">
        <f>I83/J$71</f>
        <v>0.17647058823529413</v>
      </c>
      <c r="K83" s="190">
        <v>7</v>
      </c>
      <c r="L83" s="177">
        <f>K83/L$71</f>
        <v>0.2</v>
      </c>
      <c r="M83" s="190">
        <v>5</v>
      </c>
      <c r="N83" s="188">
        <f>M83/N$71</f>
        <v>0.15151515151515152</v>
      </c>
      <c r="O83" s="190">
        <v>6</v>
      </c>
      <c r="P83" s="188">
        <f>O83/P$71</f>
        <v>0.18181818181818182</v>
      </c>
      <c r="Q83" s="190">
        <v>6</v>
      </c>
      <c r="R83" s="188">
        <f>Q83/R$71</f>
        <v>0.18181818181818182</v>
      </c>
      <c r="S83" s="190">
        <f>10</f>
        <v>10</v>
      </c>
      <c r="T83" s="188">
        <f>S83/T$71</f>
        <v>0.26315789473684209</v>
      </c>
      <c r="U83" s="190">
        <v>11</v>
      </c>
      <c r="V83" s="188">
        <f>U83/V$71</f>
        <v>0.26829268292682928</v>
      </c>
      <c r="W83" s="190">
        <v>15</v>
      </c>
      <c r="X83" s="188">
        <f>W83/X$71</f>
        <v>0.32608695652173914</v>
      </c>
      <c r="Y83" s="190">
        <v>17</v>
      </c>
      <c r="Z83" s="188">
        <f>Y83/Z$71</f>
        <v>0.34</v>
      </c>
      <c r="AA83" s="506"/>
      <c r="AB83" s="578">
        <f t="shared" si="26"/>
        <v>11.8</v>
      </c>
      <c r="AC83" s="580">
        <f t="shared" si="27"/>
        <v>0.27587114320071848</v>
      </c>
    </row>
    <row r="84" spans="1:31" ht="12" x14ac:dyDescent="0.2">
      <c r="B84" s="286" t="s">
        <v>73</v>
      </c>
      <c r="C84" s="191"/>
      <c r="D84" s="188"/>
      <c r="E84" s="183"/>
      <c r="F84" s="297"/>
      <c r="G84" s="307"/>
      <c r="H84" s="357"/>
      <c r="I84" s="353"/>
      <c r="J84" s="177"/>
      <c r="K84" s="307"/>
      <c r="L84" s="177"/>
      <c r="M84" s="307"/>
      <c r="N84" s="188"/>
      <c r="O84" s="307"/>
      <c r="P84" s="188"/>
      <c r="Q84" s="307"/>
      <c r="R84" s="188"/>
      <c r="S84" s="307"/>
      <c r="T84" s="188"/>
      <c r="U84" s="307"/>
      <c r="V84" s="188"/>
      <c r="W84" s="307"/>
      <c r="X84" s="188"/>
      <c r="Y84" s="307"/>
      <c r="Z84" s="188"/>
      <c r="AA84" s="506"/>
      <c r="AB84" s="578"/>
      <c r="AC84" s="580"/>
    </row>
    <row r="85" spans="1:31" ht="12" x14ac:dyDescent="0.2">
      <c r="B85" s="57" t="s">
        <v>62</v>
      </c>
      <c r="C85" s="192">
        <v>23</v>
      </c>
      <c r="D85" s="188">
        <f t="shared" si="24"/>
        <v>0.76666666666666672</v>
      </c>
      <c r="E85" s="179">
        <v>20</v>
      </c>
      <c r="F85" s="297">
        <f>E85/F$71</f>
        <v>0.66666666666666663</v>
      </c>
      <c r="G85" s="190">
        <v>21</v>
      </c>
      <c r="H85" s="357">
        <f>G85/H$71</f>
        <v>0.63636363636363635</v>
      </c>
      <c r="I85" s="352">
        <v>22</v>
      </c>
      <c r="J85" s="177">
        <f>I85/J$71</f>
        <v>0.6470588235294118</v>
      </c>
      <c r="K85" s="190">
        <v>21</v>
      </c>
      <c r="L85" s="177">
        <f>K85/L$71</f>
        <v>0.6</v>
      </c>
      <c r="M85" s="190">
        <v>20</v>
      </c>
      <c r="N85" s="188">
        <f>M85/N$71</f>
        <v>0.60606060606060608</v>
      </c>
      <c r="O85" s="190">
        <v>20</v>
      </c>
      <c r="P85" s="188">
        <f>O85/P$71</f>
        <v>0.60606060606060608</v>
      </c>
      <c r="Q85" s="190">
        <v>21</v>
      </c>
      <c r="R85" s="188">
        <f>Q85/R$71</f>
        <v>0.63636363636363635</v>
      </c>
      <c r="S85" s="190">
        <f>22+2</f>
        <v>24</v>
      </c>
      <c r="T85" s="188">
        <f>S85/T$71</f>
        <v>0.63157894736842102</v>
      </c>
      <c r="U85" s="190">
        <v>28</v>
      </c>
      <c r="V85" s="188">
        <f>U85/V$71</f>
        <v>0.68292682926829273</v>
      </c>
      <c r="W85" s="190">
        <v>27</v>
      </c>
      <c r="X85" s="188">
        <f>W85/X$71</f>
        <v>0.58695652173913049</v>
      </c>
      <c r="Y85" s="190">
        <v>26</v>
      </c>
      <c r="Z85" s="188">
        <f>Y85/Z$71</f>
        <v>0.52</v>
      </c>
      <c r="AA85" s="506"/>
      <c r="AB85" s="578">
        <f t="shared" ref="AB85:AB87" si="28">AVERAGE(W85,U85,S85,Q85,Y85)</f>
        <v>25.2</v>
      </c>
      <c r="AC85" s="580">
        <f t="shared" ref="AC85:AC87" si="29">AVERAGE(X85,V85,T85,R85,Z85)</f>
        <v>0.61156518694789619</v>
      </c>
    </row>
    <row r="86" spans="1:31" ht="12" x14ac:dyDescent="0.2">
      <c r="B86" s="57" t="s">
        <v>63</v>
      </c>
      <c r="C86" s="192">
        <v>2</v>
      </c>
      <c r="D86" s="188">
        <f t="shared" si="24"/>
        <v>6.6666666666666666E-2</v>
      </c>
      <c r="E86" s="179">
        <v>2</v>
      </c>
      <c r="F86" s="297">
        <f>E86/F$71</f>
        <v>6.6666666666666666E-2</v>
      </c>
      <c r="G86" s="190">
        <v>6</v>
      </c>
      <c r="H86" s="357">
        <f>G86/H$71</f>
        <v>0.18181818181818182</v>
      </c>
      <c r="I86" s="352">
        <v>11</v>
      </c>
      <c r="J86" s="177">
        <f>I86/J$71</f>
        <v>0.3235294117647059</v>
      </c>
      <c r="K86" s="190">
        <v>8</v>
      </c>
      <c r="L86" s="177">
        <f>K86/L$71</f>
        <v>0.22857142857142856</v>
      </c>
      <c r="M86" s="190">
        <v>9</v>
      </c>
      <c r="N86" s="188">
        <f>M86/N$71</f>
        <v>0.27272727272727271</v>
      </c>
      <c r="O86" s="190">
        <v>8</v>
      </c>
      <c r="P86" s="188">
        <f>O86/P$71</f>
        <v>0.24242424242424243</v>
      </c>
      <c r="Q86" s="190">
        <v>8</v>
      </c>
      <c r="R86" s="188">
        <f>Q86/R$71</f>
        <v>0.24242424242424243</v>
      </c>
      <c r="S86" s="190">
        <f>6</f>
        <v>6</v>
      </c>
      <c r="T86" s="188">
        <f>S86/T$71</f>
        <v>0.15789473684210525</v>
      </c>
      <c r="U86" s="190">
        <v>3</v>
      </c>
      <c r="V86" s="188">
        <f>U86/V$71</f>
        <v>7.3170731707317069E-2</v>
      </c>
      <c r="W86" s="190">
        <v>4</v>
      </c>
      <c r="X86" s="188">
        <f>W86/X$71</f>
        <v>8.6956521739130432E-2</v>
      </c>
      <c r="Y86" s="190">
        <v>5</v>
      </c>
      <c r="Z86" s="188">
        <f>Y86/Z$71</f>
        <v>0.1</v>
      </c>
      <c r="AA86" s="506"/>
      <c r="AB86" s="578">
        <f t="shared" si="28"/>
        <v>5.2</v>
      </c>
      <c r="AC86" s="580">
        <f t="shared" si="29"/>
        <v>0.13208924654255905</v>
      </c>
    </row>
    <row r="87" spans="1:31" ht="12" x14ac:dyDescent="0.2">
      <c r="B87" s="57" t="s">
        <v>64</v>
      </c>
      <c r="C87" s="192">
        <v>5</v>
      </c>
      <c r="D87" s="188">
        <f t="shared" si="24"/>
        <v>0.16666666666666666</v>
      </c>
      <c r="E87" s="179">
        <v>8</v>
      </c>
      <c r="F87" s="297">
        <f>E87/F$71</f>
        <v>0.26666666666666666</v>
      </c>
      <c r="G87" s="190">
        <v>6</v>
      </c>
      <c r="H87" s="357">
        <f>G87/H$71</f>
        <v>0.18181818181818182</v>
      </c>
      <c r="I87" s="352">
        <v>1</v>
      </c>
      <c r="J87" s="177">
        <f>I87/J$71</f>
        <v>2.9411764705882353E-2</v>
      </c>
      <c r="K87" s="190">
        <v>6</v>
      </c>
      <c r="L87" s="177">
        <f>K87/L$71</f>
        <v>0.17142857142857143</v>
      </c>
      <c r="M87" s="190">
        <v>4</v>
      </c>
      <c r="N87" s="188">
        <f>M87/N$71</f>
        <v>0.12121212121212122</v>
      </c>
      <c r="O87" s="190">
        <v>5</v>
      </c>
      <c r="P87" s="188">
        <f>O87/P$71</f>
        <v>0.15151515151515152</v>
      </c>
      <c r="Q87" s="190">
        <v>4</v>
      </c>
      <c r="R87" s="188">
        <f>Q87/R$71</f>
        <v>0.12121212121212122</v>
      </c>
      <c r="S87" s="190">
        <f>7+1</f>
        <v>8</v>
      </c>
      <c r="T87" s="188">
        <f>S87/T$71</f>
        <v>0.21052631578947367</v>
      </c>
      <c r="U87" s="190">
        <v>10</v>
      </c>
      <c r="V87" s="188">
        <f>U87/V$71</f>
        <v>0.24390243902439024</v>
      </c>
      <c r="W87" s="190">
        <v>15</v>
      </c>
      <c r="X87" s="188">
        <f>W87/X$71</f>
        <v>0.32608695652173914</v>
      </c>
      <c r="Y87" s="190">
        <v>19</v>
      </c>
      <c r="Z87" s="188">
        <f>Y87/Z$71</f>
        <v>0.38</v>
      </c>
      <c r="AA87" s="506"/>
      <c r="AB87" s="578">
        <f t="shared" si="28"/>
        <v>11.2</v>
      </c>
      <c r="AC87" s="580">
        <f t="shared" si="29"/>
        <v>0.25634556650954482</v>
      </c>
    </row>
    <row r="88" spans="1:31" ht="12" x14ac:dyDescent="0.2">
      <c r="B88" s="286" t="s">
        <v>74</v>
      </c>
      <c r="C88" s="191"/>
      <c r="D88" s="188"/>
      <c r="E88" s="183"/>
      <c r="F88" s="177"/>
      <c r="G88" s="307"/>
      <c r="H88" s="188"/>
      <c r="I88" s="353"/>
      <c r="J88" s="177"/>
      <c r="K88" s="307"/>
      <c r="L88" s="177"/>
      <c r="M88" s="307"/>
      <c r="N88" s="188"/>
      <c r="O88" s="307"/>
      <c r="P88" s="188"/>
      <c r="Q88" s="307"/>
      <c r="R88" s="188"/>
      <c r="S88" s="307"/>
      <c r="T88" s="188"/>
      <c r="U88" s="307"/>
      <c r="V88" s="188"/>
      <c r="W88" s="307"/>
      <c r="X88" s="188"/>
      <c r="Y88" s="307"/>
      <c r="Z88" s="188"/>
      <c r="AA88" s="506"/>
      <c r="AB88" s="578"/>
      <c r="AC88" s="580"/>
    </row>
    <row r="89" spans="1:31" ht="12" x14ac:dyDescent="0.2">
      <c r="B89" s="57" t="s">
        <v>65</v>
      </c>
      <c r="C89" s="192">
        <v>29</v>
      </c>
      <c r="D89" s="188">
        <f t="shared" si="24"/>
        <v>0.96666666666666667</v>
      </c>
      <c r="E89" s="179">
        <v>30</v>
      </c>
      <c r="F89" s="297">
        <f>E89/F$71</f>
        <v>1</v>
      </c>
      <c r="G89" s="190">
        <v>33</v>
      </c>
      <c r="H89" s="357">
        <f>G89/H$71</f>
        <v>1</v>
      </c>
      <c r="I89" s="352">
        <v>34</v>
      </c>
      <c r="J89" s="177">
        <f>I89/J$71</f>
        <v>1</v>
      </c>
      <c r="K89" s="190">
        <v>35</v>
      </c>
      <c r="L89" s="177">
        <f>K89/L$71</f>
        <v>1</v>
      </c>
      <c r="M89" s="190">
        <v>33</v>
      </c>
      <c r="N89" s="188">
        <f>M89/N$71</f>
        <v>1</v>
      </c>
      <c r="O89" s="190">
        <v>33</v>
      </c>
      <c r="P89" s="188">
        <f>O89/P$71</f>
        <v>1</v>
      </c>
      <c r="Q89" s="190">
        <v>33</v>
      </c>
      <c r="R89" s="188">
        <f>Q89/R$71</f>
        <v>1</v>
      </c>
      <c r="S89" s="190">
        <f>34+3</f>
        <v>37</v>
      </c>
      <c r="T89" s="188">
        <f>S89/T$71</f>
        <v>0.97368421052631582</v>
      </c>
      <c r="U89" s="190">
        <v>40</v>
      </c>
      <c r="V89" s="188">
        <f>U89/V$71</f>
        <v>0.97560975609756095</v>
      </c>
      <c r="W89" s="190">
        <v>46</v>
      </c>
      <c r="X89" s="188">
        <f>W89/X$71</f>
        <v>1</v>
      </c>
      <c r="Y89" s="190">
        <v>50</v>
      </c>
      <c r="Z89" s="188">
        <f>Y89/Z$71</f>
        <v>1</v>
      </c>
      <c r="AA89" s="506"/>
      <c r="AB89" s="578">
        <f t="shared" ref="AB89:AB92" si="30">AVERAGE(W89,U89,S89,Q89,Y89)</f>
        <v>41.2</v>
      </c>
      <c r="AC89" s="580">
        <f t="shared" ref="AC89:AC92" si="31">AVERAGE(X89,V89,T89,R89,Z89)</f>
        <v>0.98985879332477533</v>
      </c>
    </row>
    <row r="90" spans="1:31" ht="12" x14ac:dyDescent="0.2">
      <c r="B90" s="57" t="s">
        <v>66</v>
      </c>
      <c r="C90" s="192">
        <v>1</v>
      </c>
      <c r="D90" s="188">
        <f t="shared" si="24"/>
        <v>3.3333333333333333E-2</v>
      </c>
      <c r="E90" s="179">
        <v>0</v>
      </c>
      <c r="F90" s="297">
        <f>E90/F$71</f>
        <v>0</v>
      </c>
      <c r="G90" s="190">
        <v>0</v>
      </c>
      <c r="H90" s="357">
        <f>G90/H$71</f>
        <v>0</v>
      </c>
      <c r="I90" s="352">
        <v>0</v>
      </c>
      <c r="J90" s="177">
        <f>I90/J$71</f>
        <v>0</v>
      </c>
      <c r="K90" s="190">
        <v>0</v>
      </c>
      <c r="L90" s="177">
        <f>K90/L$71</f>
        <v>0</v>
      </c>
      <c r="M90" s="190">
        <v>0</v>
      </c>
      <c r="N90" s="188">
        <f>M90/N$71</f>
        <v>0</v>
      </c>
      <c r="O90" s="190">
        <v>0</v>
      </c>
      <c r="P90" s="188">
        <f>O90/P$71</f>
        <v>0</v>
      </c>
      <c r="Q90" s="190">
        <v>0</v>
      </c>
      <c r="R90" s="188">
        <f>Q90/R$71</f>
        <v>0</v>
      </c>
      <c r="S90" s="190">
        <f>1</f>
        <v>1</v>
      </c>
      <c r="T90" s="188">
        <f>S90/T$71</f>
        <v>2.6315789473684209E-2</v>
      </c>
      <c r="U90" s="190">
        <v>1</v>
      </c>
      <c r="V90" s="188">
        <f>U90/V$71</f>
        <v>2.4390243902439025E-2</v>
      </c>
      <c r="W90" s="190">
        <v>0</v>
      </c>
      <c r="X90" s="188">
        <f>W90/X$71</f>
        <v>0</v>
      </c>
      <c r="Y90" s="190">
        <v>0</v>
      </c>
      <c r="Z90" s="188">
        <f>Y90/Z$71</f>
        <v>0</v>
      </c>
      <c r="AA90" s="506"/>
      <c r="AB90" s="578">
        <f t="shared" si="30"/>
        <v>0.4</v>
      </c>
      <c r="AC90" s="580">
        <f t="shared" si="31"/>
        <v>1.0141206675224647E-2</v>
      </c>
    </row>
    <row r="91" spans="1:31" ht="12" x14ac:dyDescent="0.2">
      <c r="B91" s="57" t="s">
        <v>67</v>
      </c>
      <c r="C91" s="192">
        <v>0</v>
      </c>
      <c r="D91" s="188">
        <f t="shared" si="24"/>
        <v>0</v>
      </c>
      <c r="E91" s="179">
        <v>0</v>
      </c>
      <c r="F91" s="297">
        <f>E91/F$71</f>
        <v>0</v>
      </c>
      <c r="G91" s="190">
        <v>0</v>
      </c>
      <c r="H91" s="357">
        <f>G91/H$71</f>
        <v>0</v>
      </c>
      <c r="I91" s="352">
        <v>0</v>
      </c>
      <c r="J91" s="177">
        <f>I91/J$71</f>
        <v>0</v>
      </c>
      <c r="K91" s="190">
        <v>0</v>
      </c>
      <c r="L91" s="177">
        <f>K91/L$71</f>
        <v>0</v>
      </c>
      <c r="M91" s="190">
        <v>0</v>
      </c>
      <c r="N91" s="188">
        <f>M91/N$71</f>
        <v>0</v>
      </c>
      <c r="O91" s="190">
        <v>0</v>
      </c>
      <c r="P91" s="188">
        <f>O91/P$71</f>
        <v>0</v>
      </c>
      <c r="Q91" s="190">
        <v>0</v>
      </c>
      <c r="R91" s="188">
        <f>Q91/R$71</f>
        <v>0</v>
      </c>
      <c r="S91" s="190">
        <f>0</f>
        <v>0</v>
      </c>
      <c r="T91" s="188">
        <f>S91/T$71</f>
        <v>0</v>
      </c>
      <c r="U91" s="190">
        <v>0</v>
      </c>
      <c r="V91" s="188">
        <f>U91/V$71</f>
        <v>0</v>
      </c>
      <c r="W91" s="190">
        <v>0</v>
      </c>
      <c r="X91" s="188">
        <f>W91/X$71</f>
        <v>0</v>
      </c>
      <c r="Y91" s="190">
        <v>0</v>
      </c>
      <c r="Z91" s="188">
        <f>Y91/Z$71</f>
        <v>0</v>
      </c>
      <c r="AA91" s="506"/>
      <c r="AB91" s="578">
        <f t="shared" si="30"/>
        <v>0</v>
      </c>
      <c r="AC91" s="580">
        <f t="shared" si="31"/>
        <v>0</v>
      </c>
    </row>
    <row r="92" spans="1:31" thickBot="1" x14ac:dyDescent="0.25">
      <c r="B92" s="290" t="s">
        <v>68</v>
      </c>
      <c r="C92" s="111">
        <v>0</v>
      </c>
      <c r="D92" s="193">
        <f t="shared" si="24"/>
        <v>0</v>
      </c>
      <c r="E92" s="184">
        <v>0</v>
      </c>
      <c r="F92" s="298">
        <f>E92/F$71</f>
        <v>0</v>
      </c>
      <c r="G92" s="310">
        <v>0</v>
      </c>
      <c r="H92" s="358">
        <f>G92/H$71</f>
        <v>0</v>
      </c>
      <c r="I92" s="354">
        <v>0</v>
      </c>
      <c r="J92" s="178">
        <f>I92/J$71</f>
        <v>0</v>
      </c>
      <c r="K92" s="310">
        <v>0</v>
      </c>
      <c r="L92" s="178">
        <f>K92/L$71</f>
        <v>0</v>
      </c>
      <c r="M92" s="310">
        <v>0</v>
      </c>
      <c r="N92" s="193">
        <f>M92/N$71</f>
        <v>0</v>
      </c>
      <c r="O92" s="310">
        <v>0</v>
      </c>
      <c r="P92" s="193">
        <f>O92/P$71</f>
        <v>0</v>
      </c>
      <c r="Q92" s="310">
        <v>0</v>
      </c>
      <c r="R92" s="193">
        <f>Q92/R$71</f>
        <v>0</v>
      </c>
      <c r="S92" s="310">
        <f>0</f>
        <v>0</v>
      </c>
      <c r="T92" s="193">
        <f>S92/T$71</f>
        <v>0</v>
      </c>
      <c r="U92" s="310">
        <v>0</v>
      </c>
      <c r="V92" s="193">
        <f>U92/V$71</f>
        <v>0</v>
      </c>
      <c r="W92" s="310">
        <v>0</v>
      </c>
      <c r="X92" s="193">
        <f>W92/X$71</f>
        <v>0</v>
      </c>
      <c r="Y92" s="310">
        <v>0</v>
      </c>
      <c r="Z92" s="193">
        <f>Y92/Z$71</f>
        <v>0</v>
      </c>
      <c r="AA92" s="506"/>
      <c r="AB92" s="581">
        <f t="shared" si="30"/>
        <v>0</v>
      </c>
      <c r="AC92" s="580">
        <f t="shared" si="31"/>
        <v>0</v>
      </c>
    </row>
    <row r="93" spans="1:31" ht="13.5" thickTop="1" thickBot="1" x14ac:dyDescent="0.25">
      <c r="A93" s="506"/>
      <c r="B93" s="507" t="s">
        <v>92</v>
      </c>
      <c r="C93" s="802" t="s">
        <v>93</v>
      </c>
      <c r="D93" s="803"/>
      <c r="E93" s="802" t="s">
        <v>94</v>
      </c>
      <c r="F93" s="803"/>
      <c r="G93" s="804" t="s">
        <v>95</v>
      </c>
      <c r="H93" s="805"/>
      <c r="I93" s="804" t="s">
        <v>96</v>
      </c>
      <c r="J93" s="805"/>
      <c r="K93" s="804" t="s">
        <v>97</v>
      </c>
      <c r="L93" s="805"/>
      <c r="M93" s="788" t="s">
        <v>98</v>
      </c>
      <c r="N93" s="789"/>
      <c r="O93" s="788" t="s">
        <v>114</v>
      </c>
      <c r="P93" s="789"/>
      <c r="Q93" s="788" t="s">
        <v>119</v>
      </c>
      <c r="R93" s="789"/>
      <c r="S93" s="788" t="s">
        <v>132</v>
      </c>
      <c r="T93" s="789"/>
      <c r="U93" s="788" t="s">
        <v>140</v>
      </c>
      <c r="V93" s="789"/>
      <c r="W93" s="788" t="s">
        <v>142</v>
      </c>
      <c r="X93" s="789"/>
      <c r="Y93" s="788" t="s">
        <v>144</v>
      </c>
      <c r="Z93" s="789"/>
      <c r="AA93" s="506"/>
      <c r="AB93" s="823" t="s">
        <v>105</v>
      </c>
      <c r="AC93" s="824"/>
      <c r="AE93" s="1" t="s">
        <v>20</v>
      </c>
    </row>
    <row r="94" spans="1:31" ht="12" x14ac:dyDescent="0.2">
      <c r="A94" s="506"/>
      <c r="B94" s="508"/>
      <c r="C94" s="509" t="s">
        <v>69</v>
      </c>
      <c r="D94" s="510" t="s">
        <v>18</v>
      </c>
      <c r="E94" s="509" t="s">
        <v>69</v>
      </c>
      <c r="F94" s="510" t="s">
        <v>18</v>
      </c>
      <c r="G94" s="509" t="s">
        <v>69</v>
      </c>
      <c r="H94" s="510" t="s">
        <v>18</v>
      </c>
      <c r="I94" s="509" t="s">
        <v>69</v>
      </c>
      <c r="J94" s="510" t="s">
        <v>18</v>
      </c>
      <c r="K94" s="509" t="s">
        <v>69</v>
      </c>
      <c r="L94" s="510" t="s">
        <v>18</v>
      </c>
      <c r="M94" s="509" t="s">
        <v>69</v>
      </c>
      <c r="N94" s="510" t="s">
        <v>18</v>
      </c>
      <c r="O94" s="509" t="s">
        <v>69</v>
      </c>
      <c r="P94" s="510" t="s">
        <v>18</v>
      </c>
      <c r="Q94" s="509" t="s">
        <v>69</v>
      </c>
      <c r="R94" s="510" t="s">
        <v>18</v>
      </c>
      <c r="S94" s="509" t="s">
        <v>69</v>
      </c>
      <c r="T94" s="510" t="s">
        <v>18</v>
      </c>
      <c r="U94" s="509" t="s">
        <v>69</v>
      </c>
      <c r="V94" s="510" t="s">
        <v>18</v>
      </c>
      <c r="W94" s="509" t="s">
        <v>69</v>
      </c>
      <c r="X94" s="510" t="s">
        <v>18</v>
      </c>
      <c r="Y94" s="509" t="s">
        <v>69</v>
      </c>
      <c r="Z94" s="510" t="s">
        <v>18</v>
      </c>
      <c r="AA94" s="506"/>
      <c r="AB94" s="613" t="s">
        <v>69</v>
      </c>
      <c r="AC94" s="614" t="s">
        <v>18</v>
      </c>
    </row>
    <row r="95" spans="1:31" ht="12" x14ac:dyDescent="0.2">
      <c r="A95" s="506"/>
      <c r="B95" s="282" t="s">
        <v>99</v>
      </c>
      <c r="C95" s="509">
        <v>17</v>
      </c>
      <c r="D95" s="621">
        <v>8.4</v>
      </c>
      <c r="E95" s="622">
        <v>23</v>
      </c>
      <c r="F95" s="512">
        <v>11.2</v>
      </c>
      <c r="G95" s="622">
        <v>20</v>
      </c>
      <c r="H95" s="512">
        <v>9.8000000000000007</v>
      </c>
      <c r="I95" s="622">
        <v>15</v>
      </c>
      <c r="J95" s="512">
        <v>7.4</v>
      </c>
      <c r="K95" s="509">
        <v>19</v>
      </c>
      <c r="L95" s="512">
        <v>9.3000000000000007</v>
      </c>
      <c r="M95" s="513">
        <f>22+1</f>
        <v>23</v>
      </c>
      <c r="N95" s="222">
        <f>10.7+0.5</f>
        <v>11.2</v>
      </c>
      <c r="O95" s="513">
        <v>25</v>
      </c>
      <c r="P95" s="222">
        <v>12.5</v>
      </c>
      <c r="Q95" s="513">
        <v>23</v>
      </c>
      <c r="R95" s="222">
        <v>11.25</v>
      </c>
      <c r="S95" s="513">
        <v>22</v>
      </c>
      <c r="T95" s="338">
        <v>11</v>
      </c>
      <c r="U95" s="513">
        <v>22</v>
      </c>
      <c r="V95" s="338">
        <v>10.7</v>
      </c>
      <c r="W95" s="513">
        <v>33</v>
      </c>
      <c r="X95" s="338">
        <v>15.6</v>
      </c>
      <c r="Y95" s="513">
        <v>34</v>
      </c>
      <c r="Z95" s="338">
        <v>16.8</v>
      </c>
      <c r="AA95" s="627"/>
      <c r="AB95" s="87">
        <f t="shared" ref="AB95:AB97" si="32">AVERAGE(W95,U95,S95,Q95,Y95)</f>
        <v>26.8</v>
      </c>
      <c r="AC95" s="616">
        <f t="shared" ref="AC95:AC97" si="33">AVERAGE(X95,V95,T95,R95,Z95)</f>
        <v>13.069999999999999</v>
      </c>
    </row>
    <row r="96" spans="1:31" ht="12" x14ac:dyDescent="0.2">
      <c r="A96" s="506"/>
      <c r="B96" s="282" t="s">
        <v>100</v>
      </c>
      <c r="C96" s="509">
        <v>0</v>
      </c>
      <c r="D96" s="621">
        <v>0</v>
      </c>
      <c r="E96" s="622">
        <v>0</v>
      </c>
      <c r="F96" s="512">
        <v>0</v>
      </c>
      <c r="G96" s="622">
        <v>0</v>
      </c>
      <c r="H96" s="512">
        <v>0</v>
      </c>
      <c r="I96" s="622">
        <v>0</v>
      </c>
      <c r="J96" s="512">
        <v>0</v>
      </c>
      <c r="K96" s="509">
        <v>0</v>
      </c>
      <c r="L96" s="512">
        <v>0</v>
      </c>
      <c r="M96" s="513">
        <v>0</v>
      </c>
      <c r="N96" s="640">
        <v>0</v>
      </c>
      <c r="O96" s="513">
        <v>0</v>
      </c>
      <c r="P96" s="640">
        <v>0</v>
      </c>
      <c r="Q96" s="513">
        <v>0</v>
      </c>
      <c r="R96" s="640">
        <v>0</v>
      </c>
      <c r="S96" s="513">
        <v>0</v>
      </c>
      <c r="T96" s="720">
        <v>0</v>
      </c>
      <c r="U96" s="513">
        <v>1</v>
      </c>
      <c r="V96" s="720">
        <v>0.5</v>
      </c>
      <c r="W96" s="513">
        <v>0</v>
      </c>
      <c r="X96" s="720">
        <v>0</v>
      </c>
      <c r="Y96" s="513">
        <v>0</v>
      </c>
      <c r="Z96" s="720">
        <v>0</v>
      </c>
      <c r="AA96" s="627"/>
      <c r="AB96" s="615">
        <f t="shared" si="32"/>
        <v>0.2</v>
      </c>
      <c r="AC96" s="616">
        <f t="shared" si="33"/>
        <v>0.1</v>
      </c>
    </row>
    <row r="97" spans="1:32" thickBot="1" x14ac:dyDescent="0.25">
      <c r="A97" s="506"/>
      <c r="B97" s="290" t="s">
        <v>101</v>
      </c>
      <c r="C97" s="514">
        <v>0</v>
      </c>
      <c r="D97" s="623">
        <v>0</v>
      </c>
      <c r="E97" s="624">
        <v>0</v>
      </c>
      <c r="F97" s="515">
        <v>0</v>
      </c>
      <c r="G97" s="624">
        <v>0</v>
      </c>
      <c r="H97" s="515">
        <v>0</v>
      </c>
      <c r="I97" s="624">
        <v>0</v>
      </c>
      <c r="J97" s="515">
        <v>0</v>
      </c>
      <c r="K97" s="514">
        <v>0</v>
      </c>
      <c r="L97" s="515">
        <v>0</v>
      </c>
      <c r="M97" s="516">
        <v>0</v>
      </c>
      <c r="N97" s="641">
        <v>0</v>
      </c>
      <c r="O97" s="516">
        <v>0</v>
      </c>
      <c r="P97" s="641">
        <v>0</v>
      </c>
      <c r="Q97" s="516">
        <v>0</v>
      </c>
      <c r="R97" s="641">
        <v>0</v>
      </c>
      <c r="S97" s="516">
        <v>0</v>
      </c>
      <c r="T97" s="721">
        <v>0</v>
      </c>
      <c r="U97" s="516">
        <v>0</v>
      </c>
      <c r="V97" s="721">
        <v>0</v>
      </c>
      <c r="W97" s="516">
        <v>0</v>
      </c>
      <c r="X97" s="721">
        <v>0</v>
      </c>
      <c r="Y97" s="516">
        <v>0</v>
      </c>
      <c r="Z97" s="721">
        <v>0</v>
      </c>
      <c r="AA97" s="627"/>
      <c r="AB97" s="617">
        <f t="shared" si="32"/>
        <v>0</v>
      </c>
      <c r="AC97" s="618">
        <f t="shared" si="33"/>
        <v>0</v>
      </c>
      <c r="AF97" s="26"/>
    </row>
    <row r="98" spans="1:32" thickTop="1" x14ac:dyDescent="0.2">
      <c r="C98" s="1"/>
      <c r="D98" s="1"/>
      <c r="E98" s="1"/>
      <c r="F98" s="1"/>
      <c r="G98" s="215"/>
      <c r="H98" s="215"/>
      <c r="I98" s="215"/>
      <c r="J98" s="215"/>
    </row>
    <row r="99" spans="1:32" ht="12" x14ac:dyDescent="0.2">
      <c r="C99" s="1"/>
      <c r="D99" s="1"/>
      <c r="E99" s="1"/>
      <c r="F99" s="1"/>
      <c r="G99" s="215"/>
      <c r="H99" s="215"/>
      <c r="I99" s="215"/>
      <c r="J99" s="215"/>
    </row>
    <row r="100" spans="1:32" ht="12" x14ac:dyDescent="0.2">
      <c r="C100" s="1"/>
      <c r="D100" s="1"/>
      <c r="E100" s="1"/>
      <c r="F100" s="1"/>
      <c r="G100" s="215"/>
      <c r="H100" s="215"/>
      <c r="I100" s="215"/>
      <c r="J100" s="215"/>
    </row>
    <row r="101" spans="1:32" ht="12" x14ac:dyDescent="0.2">
      <c r="C101" s="1"/>
      <c r="D101" s="1"/>
      <c r="E101" s="1"/>
      <c r="F101" s="1"/>
      <c r="G101" s="215"/>
      <c r="H101" s="215"/>
      <c r="I101" s="215"/>
      <c r="J101" s="215"/>
    </row>
    <row r="102" spans="1:32" ht="12" x14ac:dyDescent="0.2">
      <c r="C102" s="1"/>
      <c r="D102" s="1"/>
      <c r="E102" s="1"/>
      <c r="F102" s="1"/>
      <c r="G102" s="215"/>
      <c r="H102" s="215"/>
      <c r="I102" s="215"/>
      <c r="J102" s="215"/>
    </row>
    <row r="103" spans="1:32" ht="12" x14ac:dyDescent="0.2">
      <c r="C103" s="1"/>
      <c r="D103" s="1"/>
      <c r="E103" s="1"/>
      <c r="F103" s="1"/>
      <c r="G103" s="215"/>
      <c r="H103" s="215"/>
      <c r="I103" s="215"/>
      <c r="J103" s="215"/>
    </row>
    <row r="104" spans="1:32" ht="12" x14ac:dyDescent="0.2">
      <c r="C104" s="1"/>
      <c r="D104" s="1"/>
      <c r="E104" s="1"/>
      <c r="F104" s="1"/>
      <c r="G104" s="215"/>
      <c r="H104" s="215"/>
      <c r="I104" s="215"/>
      <c r="J104" s="215"/>
    </row>
    <row r="105" spans="1:32" ht="12" x14ac:dyDescent="0.2">
      <c r="C105" s="1"/>
      <c r="D105" s="1"/>
      <c r="E105" s="1"/>
      <c r="F105" s="1"/>
      <c r="G105" s="215"/>
      <c r="H105" s="215"/>
      <c r="I105" s="215"/>
      <c r="J105" s="215"/>
    </row>
    <row r="106" spans="1:32" ht="12" x14ac:dyDescent="0.2">
      <c r="C106" s="1"/>
      <c r="D106" s="1"/>
      <c r="E106" s="1"/>
      <c r="F106" s="1"/>
      <c r="G106" s="215"/>
      <c r="H106" s="215"/>
      <c r="I106" s="215"/>
      <c r="J106" s="215"/>
    </row>
  </sheetData>
  <mergeCells count="94">
    <mergeCell ref="Y63:Z63"/>
    <mergeCell ref="Y93:Z93"/>
    <mergeCell ref="AB27:AC27"/>
    <mergeCell ref="Y7:Z7"/>
    <mergeCell ref="Y16:Z16"/>
    <mergeCell ref="Y24:Z24"/>
    <mergeCell ref="Y27:Z27"/>
    <mergeCell ref="Y31:Z31"/>
    <mergeCell ref="U93:V93"/>
    <mergeCell ref="U7:V7"/>
    <mergeCell ref="U16:V16"/>
    <mergeCell ref="U24:V24"/>
    <mergeCell ref="U27:V27"/>
    <mergeCell ref="U31:V31"/>
    <mergeCell ref="U63:V63"/>
    <mergeCell ref="Q31:R31"/>
    <mergeCell ref="Q63:R63"/>
    <mergeCell ref="G16:H16"/>
    <mergeCell ref="AB93:AC93"/>
    <mergeCell ref="AB7:AC7"/>
    <mergeCell ref="AB16:AC16"/>
    <mergeCell ref="AB31:AC31"/>
    <mergeCell ref="AB63:AC63"/>
    <mergeCell ref="O16:P16"/>
    <mergeCell ref="Q7:R7"/>
    <mergeCell ref="Q16:R16"/>
    <mergeCell ref="Q24:R24"/>
    <mergeCell ref="Q27:R27"/>
    <mergeCell ref="Q93:R93"/>
    <mergeCell ref="O31:P31"/>
    <mergeCell ref="O63:P63"/>
    <mergeCell ref="O93:P93"/>
    <mergeCell ref="O7:P7"/>
    <mergeCell ref="E31:F31"/>
    <mergeCell ref="G26:H26"/>
    <mergeCell ref="K7:L7"/>
    <mergeCell ref="K16:L16"/>
    <mergeCell ref="K31:L31"/>
    <mergeCell ref="E63:F63"/>
    <mergeCell ref="K24:L24"/>
    <mergeCell ref="O24:P24"/>
    <mergeCell ref="O27:P27"/>
    <mergeCell ref="M93:N93"/>
    <mergeCell ref="I16:J16"/>
    <mergeCell ref="I31:J31"/>
    <mergeCell ref="I63:J63"/>
    <mergeCell ref="K63:L63"/>
    <mergeCell ref="C63:D63"/>
    <mergeCell ref="C16:D16"/>
    <mergeCell ref="E16:F16"/>
    <mergeCell ref="C24:D24"/>
    <mergeCell ref="E24:F24"/>
    <mergeCell ref="C26:D26"/>
    <mergeCell ref="C27:D27"/>
    <mergeCell ref="C25:D25"/>
    <mergeCell ref="C31:D31"/>
    <mergeCell ref="E27:F27"/>
    <mergeCell ref="E26:F26"/>
    <mergeCell ref="K93:L93"/>
    <mergeCell ref="G63:H63"/>
    <mergeCell ref="G24:H24"/>
    <mergeCell ref="M7:N7"/>
    <mergeCell ref="M16:N16"/>
    <mergeCell ref="M31:N31"/>
    <mergeCell ref="M63:N63"/>
    <mergeCell ref="M24:N24"/>
    <mergeCell ref="M27:N27"/>
    <mergeCell ref="I24:J24"/>
    <mergeCell ref="I25:J25"/>
    <mergeCell ref="I26:J26"/>
    <mergeCell ref="I27:J27"/>
    <mergeCell ref="C93:D93"/>
    <mergeCell ref="E93:F93"/>
    <mergeCell ref="G93:H93"/>
    <mergeCell ref="S93:T93"/>
    <mergeCell ref="S7:T7"/>
    <mergeCell ref="S16:T16"/>
    <mergeCell ref="S24:T24"/>
    <mergeCell ref="S27:T27"/>
    <mergeCell ref="S31:T31"/>
    <mergeCell ref="S63:T63"/>
    <mergeCell ref="I93:J93"/>
    <mergeCell ref="G31:H31"/>
    <mergeCell ref="K27:L27"/>
    <mergeCell ref="G27:H27"/>
    <mergeCell ref="E25:F25"/>
    <mergeCell ref="G25:H25"/>
    <mergeCell ref="W93:X93"/>
    <mergeCell ref="W7:X7"/>
    <mergeCell ref="W16:X16"/>
    <mergeCell ref="W24:X24"/>
    <mergeCell ref="W27:X27"/>
    <mergeCell ref="W31:X31"/>
    <mergeCell ref="W63:X63"/>
  </mergeCells>
  <phoneticPr fontId="0" type="noConversion"/>
  <printOptions horizontalCentered="1"/>
  <pageMargins left="0.5" right="0.5" top="0.5" bottom="0.5" header="0.5" footer="0.5"/>
  <pageSetup scale="64" orientation="landscape" r:id="rId1"/>
  <headerFooter alignWithMargins="0">
    <oddFooter>&amp;R&amp;P of &amp;N
&amp;D</oddFooter>
  </headerFooter>
  <rowBreaks count="1" manualBreakCount="1">
    <brk id="59" max="21" man="1"/>
  </rowBreaks>
  <ignoredErrors>
    <ignoredError sqref="S73:S9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3"/>
  <sheetViews>
    <sheetView view="pageBreakPreview" zoomScaleNormal="85" zoomScaleSheetLayoutView="100" workbookViewId="0">
      <pane xSplit="2" ySplit="1" topLeftCell="M56" activePane="bottomRight" state="frozen"/>
      <selection activeCell="Z47" sqref="Z47"/>
      <selection pane="topRight" activeCell="Z47" sqref="Z47"/>
      <selection pane="bottomLeft" activeCell="Z47" sqref="Z47"/>
      <selection pane="bottomRight" activeCell="Z47" sqref="Z47"/>
    </sheetView>
  </sheetViews>
  <sheetFormatPr defaultColWidth="10.28515625" defaultRowHeight="12.75" x14ac:dyDescent="0.2"/>
  <cols>
    <col min="1" max="1" width="3.7109375" style="1" customWidth="1"/>
    <col min="2" max="2" width="29.7109375" style="1" customWidth="1"/>
    <col min="3" max="3" width="7.7109375" hidden="1" customWidth="1"/>
    <col min="4" max="4" width="10.5703125" hidden="1" customWidth="1"/>
    <col min="5" max="5" width="7.7109375" hidden="1" customWidth="1"/>
    <col min="6" max="6" width="10.5703125" hidden="1" customWidth="1"/>
    <col min="7" max="7" width="7.7109375" style="216" hidden="1" customWidth="1"/>
    <col min="8" max="8" width="10.5703125" style="216" hidden="1" customWidth="1"/>
    <col min="9" max="9" width="7.7109375" style="216" hidden="1" customWidth="1"/>
    <col min="10" max="10" width="10.5703125" style="216" hidden="1" customWidth="1"/>
    <col min="11" max="11" width="7.7109375" style="1" hidden="1" customWidth="1"/>
    <col min="12" max="12" width="10.5703125" style="1" hidden="1" customWidth="1"/>
    <col min="13" max="13" width="7.7109375" style="1" hidden="1" customWidth="1"/>
    <col min="14" max="14" width="10.5703125" style="1" hidden="1" customWidth="1"/>
    <col min="15" max="15" width="7.7109375" style="1" customWidth="1"/>
    <col min="16" max="16" width="10.5703125" style="1" customWidth="1"/>
    <col min="17" max="17" width="7.7109375" style="1" customWidth="1"/>
    <col min="18" max="18" width="10.5703125" style="1" customWidth="1"/>
    <col min="19" max="19" width="7.7109375" style="1" customWidth="1"/>
    <col min="20" max="20" width="10.5703125" style="1" customWidth="1"/>
    <col min="21" max="21" width="7.7109375" style="1" customWidth="1"/>
    <col min="22" max="22" width="10.5703125" style="1" customWidth="1"/>
    <col min="23" max="23" width="7.7109375" style="1" customWidth="1"/>
    <col min="24" max="24" width="10.5703125" style="1" customWidth="1"/>
    <col min="25" max="25" width="7.7109375" style="1" customWidth="1"/>
    <col min="26" max="26" width="10.5703125" style="1" customWidth="1"/>
    <col min="27" max="27" width="3.28515625" style="1" customWidth="1"/>
    <col min="28" max="28" width="7.7109375" style="1" customWidth="1"/>
    <col min="29" max="29" width="10.5703125" style="1" customWidth="1"/>
    <col min="30" max="16384" width="10.28515625" style="1"/>
  </cols>
  <sheetData>
    <row r="1" spans="1:30" ht="18" x14ac:dyDescent="0.25">
      <c r="A1" s="533" t="str">
        <f>Dean_VM!A1</f>
        <v>Department Profile Report - FY 2015</v>
      </c>
      <c r="B1" s="533"/>
      <c r="C1" s="533"/>
      <c r="D1" s="533"/>
      <c r="E1" s="533"/>
      <c r="F1" s="533"/>
      <c r="G1" s="533"/>
      <c r="H1" s="533"/>
      <c r="I1" s="629"/>
      <c r="J1" s="629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</row>
    <row r="2" spans="1:30" ht="12" x14ac:dyDescent="0.2">
      <c r="C2" s="1"/>
      <c r="D2" s="1"/>
      <c r="E2" s="1"/>
      <c r="F2" s="1"/>
      <c r="G2" s="215"/>
      <c r="H2" s="215"/>
      <c r="I2" s="215"/>
      <c r="J2" s="215"/>
    </row>
    <row r="3" spans="1:30" x14ac:dyDescent="0.2">
      <c r="A3" s="3" t="s">
        <v>19</v>
      </c>
      <c r="C3" s="1"/>
      <c r="D3" s="1"/>
      <c r="E3" s="1"/>
      <c r="F3" s="1"/>
      <c r="G3" s="215"/>
      <c r="H3" s="215"/>
      <c r="I3" s="215"/>
      <c r="J3" s="215"/>
    </row>
    <row r="4" spans="1:30" ht="12" x14ac:dyDescent="0.2">
      <c r="C4" s="1"/>
      <c r="D4" s="1"/>
      <c r="E4" s="1"/>
      <c r="F4" s="1"/>
      <c r="G4" s="215"/>
      <c r="H4" s="215"/>
      <c r="I4" s="215"/>
      <c r="J4" s="215"/>
    </row>
    <row r="5" spans="1:30" x14ac:dyDescent="0.2">
      <c r="A5" s="3" t="s">
        <v>41</v>
      </c>
      <c r="C5" s="1"/>
      <c r="D5" s="1"/>
      <c r="E5" s="1"/>
      <c r="F5" s="1"/>
      <c r="G5" s="215"/>
      <c r="H5" s="215"/>
      <c r="I5" s="215"/>
      <c r="J5" s="215"/>
    </row>
    <row r="6" spans="1:30" ht="12" x14ac:dyDescent="0.2">
      <c r="A6" s="2"/>
      <c r="C6" s="1"/>
      <c r="D6" s="1"/>
      <c r="E6" s="1"/>
      <c r="F6" s="1"/>
      <c r="G6" s="215"/>
      <c r="H6" s="215"/>
      <c r="I6" s="215"/>
      <c r="J6" s="215"/>
    </row>
    <row r="7" spans="1:30" ht="13.5" hidden="1" customHeight="1" thickTop="1" thickBot="1" x14ac:dyDescent="0.25">
      <c r="B7" s="48"/>
      <c r="C7" s="10" t="s">
        <v>24</v>
      </c>
      <c r="D7" s="28"/>
      <c r="E7" s="10" t="s">
        <v>25</v>
      </c>
      <c r="F7" s="28"/>
      <c r="G7" s="224" t="s">
        <v>76</v>
      </c>
      <c r="H7" s="347"/>
      <c r="I7" s="224" t="s">
        <v>86</v>
      </c>
      <c r="J7" s="368"/>
      <c r="K7" s="799" t="s">
        <v>87</v>
      </c>
      <c r="L7" s="790"/>
      <c r="M7" s="799" t="s">
        <v>90</v>
      </c>
      <c r="N7" s="791"/>
      <c r="O7" s="790" t="s">
        <v>113</v>
      </c>
      <c r="P7" s="791"/>
      <c r="Q7" s="790" t="s">
        <v>118</v>
      </c>
      <c r="R7" s="791"/>
      <c r="S7" s="790" t="s">
        <v>131</v>
      </c>
      <c r="T7" s="791"/>
      <c r="U7" s="790" t="s">
        <v>139</v>
      </c>
      <c r="V7" s="791"/>
      <c r="W7" s="790" t="s">
        <v>141</v>
      </c>
      <c r="X7" s="791"/>
      <c r="Y7" s="790" t="s">
        <v>143</v>
      </c>
      <c r="Z7" s="791"/>
      <c r="AB7" s="823" t="s">
        <v>105</v>
      </c>
      <c r="AC7" s="824"/>
    </row>
    <row r="8" spans="1:30" ht="12" hidden="1" x14ac:dyDescent="0.2">
      <c r="B8" s="49"/>
      <c r="C8" s="19" t="s">
        <v>1</v>
      </c>
      <c r="D8" s="29" t="s">
        <v>2</v>
      </c>
      <c r="E8" s="19" t="s">
        <v>1</v>
      </c>
      <c r="F8" s="29" t="s">
        <v>2</v>
      </c>
      <c r="G8" s="225" t="s">
        <v>1</v>
      </c>
      <c r="H8" s="333" t="s">
        <v>2</v>
      </c>
      <c r="I8" s="225" t="s">
        <v>1</v>
      </c>
      <c r="J8" s="382" t="s">
        <v>2</v>
      </c>
      <c r="K8" s="252" t="s">
        <v>1</v>
      </c>
      <c r="L8" s="382" t="s">
        <v>2</v>
      </c>
      <c r="M8" s="252" t="s">
        <v>1</v>
      </c>
      <c r="N8" s="333" t="s">
        <v>2</v>
      </c>
      <c r="O8" s="225" t="s">
        <v>1</v>
      </c>
      <c r="P8" s="333" t="s">
        <v>2</v>
      </c>
      <c r="Q8" s="225" t="s">
        <v>1</v>
      </c>
      <c r="R8" s="333" t="s">
        <v>2</v>
      </c>
      <c r="S8" s="225" t="s">
        <v>1</v>
      </c>
      <c r="T8" s="333" t="s">
        <v>2</v>
      </c>
      <c r="U8" s="225" t="s">
        <v>1</v>
      </c>
      <c r="V8" s="333" t="s">
        <v>2</v>
      </c>
      <c r="W8" s="225" t="s">
        <v>1</v>
      </c>
      <c r="X8" s="333" t="s">
        <v>2</v>
      </c>
      <c r="Y8" s="225" t="s">
        <v>1</v>
      </c>
      <c r="Z8" s="333" t="s">
        <v>2</v>
      </c>
      <c r="AB8" s="545" t="s">
        <v>106</v>
      </c>
      <c r="AC8" s="546" t="s">
        <v>107</v>
      </c>
    </row>
    <row r="9" spans="1:30" hidden="1" thickBot="1" x14ac:dyDescent="0.25">
      <c r="B9" s="50"/>
      <c r="C9" s="22" t="s">
        <v>3</v>
      </c>
      <c r="D9" s="30" t="s">
        <v>4</v>
      </c>
      <c r="E9" s="22" t="s">
        <v>3</v>
      </c>
      <c r="F9" s="30" t="s">
        <v>4</v>
      </c>
      <c r="G9" s="226" t="s">
        <v>3</v>
      </c>
      <c r="H9" s="334" t="s">
        <v>4</v>
      </c>
      <c r="I9" s="226" t="s">
        <v>3</v>
      </c>
      <c r="J9" s="383" t="s">
        <v>4</v>
      </c>
      <c r="K9" s="256" t="s">
        <v>3</v>
      </c>
      <c r="L9" s="383" t="s">
        <v>4</v>
      </c>
      <c r="M9" s="256" t="s">
        <v>3</v>
      </c>
      <c r="N9" s="334" t="s">
        <v>4</v>
      </c>
      <c r="O9" s="226" t="s">
        <v>3</v>
      </c>
      <c r="P9" s="334" t="s">
        <v>4</v>
      </c>
      <c r="Q9" s="226" t="s">
        <v>3</v>
      </c>
      <c r="R9" s="334" t="s">
        <v>4</v>
      </c>
      <c r="S9" s="226" t="s">
        <v>3</v>
      </c>
      <c r="T9" s="334" t="s">
        <v>4</v>
      </c>
      <c r="U9" s="226" t="s">
        <v>3</v>
      </c>
      <c r="V9" s="334" t="s">
        <v>4</v>
      </c>
      <c r="W9" s="226" t="s">
        <v>3</v>
      </c>
      <c r="X9" s="334" t="s">
        <v>4</v>
      </c>
      <c r="Y9" s="226" t="s">
        <v>3</v>
      </c>
      <c r="Z9" s="334" t="s">
        <v>4</v>
      </c>
      <c r="AB9" s="547" t="s">
        <v>3</v>
      </c>
      <c r="AC9" s="548" t="s">
        <v>4</v>
      </c>
    </row>
    <row r="10" spans="1:30" ht="12" hidden="1" x14ac:dyDescent="0.2">
      <c r="B10" s="51" t="s">
        <v>5</v>
      </c>
      <c r="C10" s="14"/>
      <c r="D10" s="32"/>
      <c r="E10" s="14"/>
      <c r="F10" s="32"/>
      <c r="G10" s="227"/>
      <c r="H10" s="348"/>
      <c r="I10" s="227"/>
      <c r="J10" s="384"/>
      <c r="K10" s="255"/>
      <c r="L10" s="384"/>
      <c r="M10" s="255"/>
      <c r="N10" s="348"/>
      <c r="O10" s="227"/>
      <c r="P10" s="348"/>
      <c r="Q10" s="227"/>
      <c r="R10" s="348"/>
      <c r="S10" s="227"/>
      <c r="T10" s="348"/>
      <c r="U10" s="227"/>
      <c r="V10" s="348"/>
      <c r="W10" s="227"/>
      <c r="X10" s="348"/>
      <c r="Y10" s="227"/>
      <c r="Z10" s="348"/>
      <c r="AB10" s="549"/>
      <c r="AC10" s="550"/>
    </row>
    <row r="11" spans="1:30" ht="12" hidden="1" x14ac:dyDescent="0.2">
      <c r="B11" s="52" t="s">
        <v>31</v>
      </c>
      <c r="C11" s="11"/>
      <c r="D11" s="34"/>
      <c r="E11" s="11"/>
      <c r="F11" s="34"/>
      <c r="G11" s="72"/>
      <c r="H11" s="349"/>
      <c r="I11" s="72"/>
      <c r="J11" s="385"/>
      <c r="K11" s="253"/>
      <c r="L11" s="385"/>
      <c r="M11" s="253"/>
      <c r="N11" s="349"/>
      <c r="O11" s="72"/>
      <c r="P11" s="349"/>
      <c r="Q11" s="72"/>
      <c r="R11" s="349"/>
      <c r="S11" s="72"/>
      <c r="T11" s="349"/>
      <c r="U11" s="72"/>
      <c r="V11" s="349"/>
      <c r="W11" s="72"/>
      <c r="X11" s="349"/>
      <c r="Y11" s="72"/>
      <c r="Z11" s="349"/>
      <c r="AA11" s="506"/>
      <c r="AB11" s="209"/>
      <c r="AC11" s="583"/>
    </row>
    <row r="12" spans="1:30" hidden="1" thickBot="1" x14ac:dyDescent="0.25">
      <c r="B12" s="53" t="s">
        <v>122</v>
      </c>
      <c r="C12" s="12">
        <v>7</v>
      </c>
      <c r="D12" s="71">
        <v>6</v>
      </c>
      <c r="E12" s="112">
        <v>6</v>
      </c>
      <c r="F12" s="71">
        <v>4</v>
      </c>
      <c r="G12" s="375">
        <v>15</v>
      </c>
      <c r="H12" s="493">
        <v>1</v>
      </c>
      <c r="I12" s="375">
        <v>8</v>
      </c>
      <c r="J12" s="494">
        <v>5</v>
      </c>
      <c r="K12" s="246">
        <v>3</v>
      </c>
      <c r="L12" s="494">
        <v>9</v>
      </c>
      <c r="M12" s="246">
        <v>3</v>
      </c>
      <c r="N12" s="493">
        <v>2</v>
      </c>
      <c r="O12" s="705"/>
      <c r="P12" s="689"/>
      <c r="Q12" s="705"/>
      <c r="R12" s="689"/>
      <c r="S12" s="705"/>
      <c r="T12" s="689"/>
      <c r="U12" s="705"/>
      <c r="V12" s="689"/>
      <c r="W12" s="705"/>
      <c r="X12" s="689"/>
      <c r="Y12" s="705"/>
      <c r="Z12" s="689"/>
      <c r="AA12" s="506"/>
      <c r="AB12" s="760"/>
      <c r="AC12" s="761"/>
    </row>
    <row r="13" spans="1:30" hidden="1" thickTop="1" x14ac:dyDescent="0.2">
      <c r="B13" s="67" t="s">
        <v>109</v>
      </c>
      <c r="C13" s="26"/>
      <c r="D13" s="70"/>
      <c r="E13" s="26"/>
      <c r="F13" s="70"/>
      <c r="G13" s="228"/>
      <c r="H13" s="249"/>
      <c r="I13" s="228"/>
      <c r="J13" s="249"/>
      <c r="K13" s="228"/>
      <c r="L13" s="249"/>
      <c r="M13" s="228"/>
      <c r="N13" s="249"/>
      <c r="O13" s="228"/>
      <c r="P13" s="249"/>
      <c r="Q13" s="228"/>
      <c r="R13" s="249"/>
      <c r="S13" s="228"/>
      <c r="T13" s="249"/>
      <c r="U13" s="228"/>
      <c r="V13" s="249"/>
      <c r="W13" s="228"/>
      <c r="X13" s="249"/>
      <c r="Y13" s="228"/>
      <c r="Z13" s="249"/>
      <c r="AB13" s="89"/>
      <c r="AC13" s="585"/>
      <c r="AD13" s="26"/>
    </row>
    <row r="14" spans="1:30" ht="12" hidden="1" x14ac:dyDescent="0.2">
      <c r="B14" s="707" t="s">
        <v>136</v>
      </c>
      <c r="C14" s="1"/>
      <c r="D14" s="1"/>
      <c r="E14" s="1"/>
      <c r="F14" s="1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B14" s="26"/>
      <c r="AC14" s="26"/>
      <c r="AD14" s="26"/>
    </row>
    <row r="15" spans="1:30" thickBot="1" x14ac:dyDescent="0.25">
      <c r="C15" s="1"/>
      <c r="D15" s="1"/>
      <c r="E15" s="1"/>
      <c r="F15" s="1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</row>
    <row r="16" spans="1:30" ht="13.5" thickTop="1" thickBot="1" x14ac:dyDescent="0.25">
      <c r="B16" s="24"/>
      <c r="C16" s="811" t="s">
        <v>24</v>
      </c>
      <c r="D16" s="812"/>
      <c r="E16" s="811" t="s">
        <v>25</v>
      </c>
      <c r="F16" s="813"/>
      <c r="G16" s="798" t="s">
        <v>76</v>
      </c>
      <c r="H16" s="793"/>
      <c r="I16" s="792" t="s">
        <v>86</v>
      </c>
      <c r="J16" s="792"/>
      <c r="K16" s="798" t="s">
        <v>87</v>
      </c>
      <c r="L16" s="792"/>
      <c r="M16" s="798" t="s">
        <v>90</v>
      </c>
      <c r="N16" s="793"/>
      <c r="O16" s="792" t="s">
        <v>113</v>
      </c>
      <c r="P16" s="793"/>
      <c r="Q16" s="792" t="s">
        <v>118</v>
      </c>
      <c r="R16" s="793"/>
      <c r="S16" s="792" t="s">
        <v>131</v>
      </c>
      <c r="T16" s="793"/>
      <c r="U16" s="792" t="s">
        <v>139</v>
      </c>
      <c r="V16" s="793"/>
      <c r="W16" s="792" t="s">
        <v>141</v>
      </c>
      <c r="X16" s="793"/>
      <c r="Y16" s="792" t="s">
        <v>143</v>
      </c>
      <c r="Z16" s="793"/>
      <c r="AB16" s="825" t="s">
        <v>105</v>
      </c>
      <c r="AC16" s="826"/>
    </row>
    <row r="17" spans="1:32" ht="12" x14ac:dyDescent="0.2">
      <c r="B17" s="16" t="s">
        <v>8</v>
      </c>
      <c r="C17" s="127"/>
      <c r="D17" s="128"/>
      <c r="E17" s="127"/>
      <c r="F17" s="7"/>
      <c r="G17" s="299"/>
      <c r="H17" s="335"/>
      <c r="I17" s="234"/>
      <c r="J17" s="234"/>
      <c r="K17" s="299"/>
      <c r="L17" s="234"/>
      <c r="M17" s="299"/>
      <c r="N17" s="335"/>
      <c r="O17" s="234"/>
      <c r="P17" s="335"/>
      <c r="Q17" s="234"/>
      <c r="R17" s="335"/>
      <c r="S17" s="234"/>
      <c r="T17" s="335"/>
      <c r="U17" s="234"/>
      <c r="V17" s="335"/>
      <c r="W17" s="234"/>
      <c r="X17" s="335"/>
      <c r="Y17" s="234"/>
      <c r="Z17" s="335"/>
      <c r="AB17" s="555"/>
      <c r="AC17" s="556"/>
    </row>
    <row r="18" spans="1:32" ht="12" x14ac:dyDescent="0.2">
      <c r="B18" s="6" t="s">
        <v>9</v>
      </c>
      <c r="C18" s="129"/>
      <c r="D18" s="130"/>
      <c r="E18" s="129"/>
      <c r="F18" s="4"/>
      <c r="G18" s="258"/>
      <c r="H18" s="344"/>
      <c r="I18" s="235"/>
      <c r="J18" s="235"/>
      <c r="K18" s="258"/>
      <c r="L18" s="235"/>
      <c r="M18" s="258"/>
      <c r="N18" s="344"/>
      <c r="O18" s="235"/>
      <c r="P18" s="344"/>
      <c r="Q18" s="235"/>
      <c r="R18" s="344"/>
      <c r="S18" s="235"/>
      <c r="T18" s="344"/>
      <c r="U18" s="235"/>
      <c r="V18" s="344"/>
      <c r="W18" s="235"/>
      <c r="X18" s="344"/>
      <c r="Y18" s="235"/>
      <c r="Z18" s="344"/>
      <c r="AB18" s="555"/>
      <c r="AC18" s="556"/>
    </row>
    <row r="19" spans="1:32" ht="12" x14ac:dyDescent="0.2">
      <c r="B19" s="6" t="s">
        <v>10</v>
      </c>
      <c r="C19" s="129"/>
      <c r="D19" s="132"/>
      <c r="E19" s="129"/>
      <c r="F19" s="39"/>
      <c r="G19" s="258"/>
      <c r="H19" s="329"/>
      <c r="I19" s="235"/>
      <c r="J19" s="239"/>
      <c r="K19" s="258"/>
      <c r="L19" s="239"/>
      <c r="M19" s="258"/>
      <c r="N19" s="329"/>
      <c r="O19" s="235"/>
      <c r="P19" s="329"/>
      <c r="Q19" s="235"/>
      <c r="R19" s="329"/>
      <c r="S19" s="235"/>
      <c r="T19" s="329"/>
      <c r="U19" s="235"/>
      <c r="V19" s="329"/>
      <c r="W19" s="235"/>
      <c r="X19" s="329"/>
      <c r="Y19" s="235"/>
      <c r="Z19" s="329"/>
      <c r="AB19" s="557"/>
      <c r="AC19" s="558"/>
    </row>
    <row r="20" spans="1:32" ht="12" x14ac:dyDescent="0.2">
      <c r="B20" s="6" t="s">
        <v>11</v>
      </c>
      <c r="C20" s="129"/>
      <c r="D20" s="132"/>
      <c r="E20" s="129"/>
      <c r="F20" s="39"/>
      <c r="G20" s="258"/>
      <c r="H20" s="329"/>
      <c r="I20" s="235"/>
      <c r="J20" s="239"/>
      <c r="K20" s="258"/>
      <c r="L20" s="239"/>
      <c r="M20" s="258"/>
      <c r="N20" s="329"/>
      <c r="O20" s="235"/>
      <c r="P20" s="329">
        <v>44</v>
      </c>
      <c r="Q20" s="235"/>
      <c r="R20" s="329">
        <v>48</v>
      </c>
      <c r="S20" s="235"/>
      <c r="T20" s="329">
        <v>74</v>
      </c>
      <c r="U20" s="235"/>
      <c r="V20" s="329">
        <v>186</v>
      </c>
      <c r="W20" s="235"/>
      <c r="X20" s="329">
        <v>192</v>
      </c>
      <c r="Y20" s="235"/>
      <c r="Z20" s="781"/>
      <c r="AB20" s="559"/>
      <c r="AC20" s="13">
        <f>AVERAGE(X20,V20,T20,R20,Z20)</f>
        <v>125</v>
      </c>
    </row>
    <row r="21" spans="1:32" ht="12" x14ac:dyDescent="0.2">
      <c r="B21" s="6" t="s">
        <v>12</v>
      </c>
      <c r="C21" s="129"/>
      <c r="D21" s="132">
        <v>9420</v>
      </c>
      <c r="E21" s="129"/>
      <c r="F21" s="125">
        <v>9390</v>
      </c>
      <c r="G21" s="258"/>
      <c r="H21" s="328">
        <v>9085</v>
      </c>
      <c r="I21" s="235"/>
      <c r="J21" s="248">
        <v>9217</v>
      </c>
      <c r="K21" s="258"/>
      <c r="L21" s="248">
        <v>9260</v>
      </c>
      <c r="M21" s="258"/>
      <c r="N21" s="328">
        <v>9255</v>
      </c>
      <c r="O21" s="235"/>
      <c r="P21" s="328">
        <v>9779</v>
      </c>
      <c r="Q21" s="235"/>
      <c r="R21" s="328">
        <v>9679</v>
      </c>
      <c r="S21" s="235"/>
      <c r="T21" s="328">
        <v>10048</v>
      </c>
      <c r="U21" s="235"/>
      <c r="V21" s="328">
        <v>10001</v>
      </c>
      <c r="W21" s="235"/>
      <c r="X21" s="328">
        <v>9926</v>
      </c>
      <c r="Y21" s="235"/>
      <c r="Z21" s="779"/>
      <c r="AB21" s="559"/>
      <c r="AC21" s="13">
        <f>AVERAGE(X21,V21,T21,R21,Z21)</f>
        <v>9913.5</v>
      </c>
    </row>
    <row r="22" spans="1:32" ht="12" x14ac:dyDescent="0.2">
      <c r="B22" s="6" t="s">
        <v>13</v>
      </c>
      <c r="C22" s="129"/>
      <c r="D22" s="132"/>
      <c r="E22" s="129"/>
      <c r="F22" s="39"/>
      <c r="G22" s="258"/>
      <c r="H22" s="329"/>
      <c r="I22" s="235"/>
      <c r="J22" s="239"/>
      <c r="K22" s="258"/>
      <c r="L22" s="239"/>
      <c r="M22" s="258"/>
      <c r="N22" s="329"/>
      <c r="O22" s="235"/>
      <c r="P22" s="329"/>
      <c r="Q22" s="235"/>
      <c r="R22" s="329"/>
      <c r="S22" s="235"/>
      <c r="T22" s="329"/>
      <c r="U22" s="235"/>
      <c r="V22" s="329"/>
      <c r="W22" s="235"/>
      <c r="X22" s="329"/>
      <c r="Y22" s="235"/>
      <c r="Z22" s="781"/>
      <c r="AB22" s="559"/>
      <c r="AC22" s="13"/>
    </row>
    <row r="23" spans="1:32" thickBot="1" x14ac:dyDescent="0.25">
      <c r="B23" s="20" t="s">
        <v>14</v>
      </c>
      <c r="C23" s="133"/>
      <c r="D23" s="180">
        <f>SUM(D21:D22)</f>
        <v>9420</v>
      </c>
      <c r="E23" s="675"/>
      <c r="F23" s="59">
        <f>SUM(F21:F22)</f>
        <v>9390</v>
      </c>
      <c r="G23" s="300"/>
      <c r="H23" s="330">
        <f>SUM(H21:H22)</f>
        <v>9085</v>
      </c>
      <c r="I23" s="367"/>
      <c r="J23" s="394">
        <f>SUM(J21:J22)</f>
        <v>9217</v>
      </c>
      <c r="K23" s="300"/>
      <c r="L23" s="394">
        <f>SUM(L21:L22)</f>
        <v>9260</v>
      </c>
      <c r="M23" s="300"/>
      <c r="N23" s="394">
        <f>SUM(N21:N22)</f>
        <v>9255</v>
      </c>
      <c r="O23" s="300"/>
      <c r="P23" s="394">
        <f>SUM(P20:P22)</f>
        <v>9823</v>
      </c>
      <c r="Q23" s="300"/>
      <c r="R23" s="394">
        <f>SUM(R20:R22)</f>
        <v>9727</v>
      </c>
      <c r="S23" s="300"/>
      <c r="T23" s="330">
        <f>SUM(T20:T22)</f>
        <v>10122</v>
      </c>
      <c r="U23" s="300"/>
      <c r="V23" s="330">
        <f>SUM(V19:V22)</f>
        <v>10187</v>
      </c>
      <c r="W23" s="300"/>
      <c r="X23" s="330">
        <f>SUM(X19:X22)</f>
        <v>10118</v>
      </c>
      <c r="Y23" s="300"/>
      <c r="Z23" s="780">
        <f>SUM(Z19:Z22)</f>
        <v>0</v>
      </c>
      <c r="AB23" s="559"/>
      <c r="AC23" s="413">
        <f>AVERAGE(X23,V23,T23,R23,Z23)</f>
        <v>8030.8</v>
      </c>
    </row>
    <row r="24" spans="1:32" ht="14.25" thickTop="1" thickBot="1" x14ac:dyDescent="0.25">
      <c r="A24" s="506"/>
      <c r="B24" s="532" t="s">
        <v>102</v>
      </c>
      <c r="C24" s="802" t="s">
        <v>93</v>
      </c>
      <c r="D24" s="820"/>
      <c r="E24" s="802" t="s">
        <v>94</v>
      </c>
      <c r="F24" s="820"/>
      <c r="G24" s="804" t="s">
        <v>95</v>
      </c>
      <c r="H24" s="795"/>
      <c r="I24" s="804" t="s">
        <v>96</v>
      </c>
      <c r="J24" s="818"/>
      <c r="K24" s="804" t="s">
        <v>97</v>
      </c>
      <c r="L24" s="818"/>
      <c r="M24" s="788" t="s">
        <v>98</v>
      </c>
      <c r="N24" s="795"/>
      <c r="O24" s="794" t="s">
        <v>114</v>
      </c>
      <c r="P24" s="795"/>
      <c r="Q24" s="794" t="s">
        <v>119</v>
      </c>
      <c r="R24" s="795"/>
      <c r="S24" s="794" t="s">
        <v>132</v>
      </c>
      <c r="T24" s="795"/>
      <c r="U24" s="794" t="s">
        <v>140</v>
      </c>
      <c r="V24" s="795"/>
      <c r="W24" s="794" t="s">
        <v>142</v>
      </c>
      <c r="X24" s="795"/>
      <c r="Y24" s="794" t="s">
        <v>144</v>
      </c>
      <c r="Z24" s="795"/>
      <c r="AA24" s="680"/>
      <c r="AB24" s="517"/>
      <c r="AC24" s="518"/>
      <c r="AD24" s="519"/>
      <c r="AE24" s="519"/>
      <c r="AF24" s="25"/>
    </row>
    <row r="25" spans="1:32" x14ac:dyDescent="0.2">
      <c r="A25" s="506"/>
      <c r="B25" s="520" t="s">
        <v>127</v>
      </c>
      <c r="C25" s="806">
        <v>0</v>
      </c>
      <c r="D25" s="807"/>
      <c r="E25" s="808">
        <v>0</v>
      </c>
      <c r="F25" s="809"/>
      <c r="G25" s="808">
        <v>8.0000000000000002E-3</v>
      </c>
      <c r="H25" s="809"/>
      <c r="I25" s="808">
        <v>5.0000000000000001E-3</v>
      </c>
      <c r="J25" s="810"/>
      <c r="K25" s="521"/>
      <c r="L25" s="522">
        <v>1E-3</v>
      </c>
      <c r="M25" s="523"/>
      <c r="N25" s="632">
        <v>2E-3</v>
      </c>
      <c r="O25" s="630"/>
      <c r="P25" s="632">
        <v>1.2E-2</v>
      </c>
      <c r="Q25" s="711"/>
      <c r="R25" s="632">
        <v>0</v>
      </c>
      <c r="S25" s="711"/>
      <c r="T25" s="632">
        <v>0</v>
      </c>
      <c r="U25" s="711"/>
      <c r="V25" s="632">
        <v>0</v>
      </c>
      <c r="W25" s="711"/>
      <c r="X25" s="632">
        <v>0</v>
      </c>
      <c r="Y25" s="711"/>
      <c r="Z25" s="632">
        <v>0</v>
      </c>
      <c r="AA25" s="683"/>
      <c r="AB25" s="524"/>
      <c r="AC25" s="525">
        <f t="shared" ref="AC25:AC26" si="0">AVERAGE(X25,V25,T25,R25,Z25)</f>
        <v>0</v>
      </c>
      <c r="AD25" s="519"/>
      <c r="AE25" s="519"/>
      <c r="AF25" s="25"/>
    </row>
    <row r="26" spans="1:32" x14ac:dyDescent="0.2">
      <c r="A26" s="506"/>
      <c r="B26" s="526" t="s">
        <v>128</v>
      </c>
      <c r="C26" s="814">
        <v>0.998</v>
      </c>
      <c r="D26" s="815"/>
      <c r="E26" s="816">
        <v>1</v>
      </c>
      <c r="F26" s="817"/>
      <c r="G26" s="816">
        <v>0.98599999999999999</v>
      </c>
      <c r="H26" s="817"/>
      <c r="I26" s="816">
        <v>0.99199999999999999</v>
      </c>
      <c r="J26" s="819"/>
      <c r="K26" s="527"/>
      <c r="L26" s="528">
        <v>0.98099999999999998</v>
      </c>
      <c r="M26" s="527"/>
      <c r="N26" s="633">
        <v>0.97599999999999998</v>
      </c>
      <c r="O26" s="631"/>
      <c r="P26" s="633">
        <v>0.97699999999999998</v>
      </c>
      <c r="Q26" s="712"/>
      <c r="R26" s="633">
        <v>0.99</v>
      </c>
      <c r="S26" s="712"/>
      <c r="T26" s="633">
        <v>0.70499999999999996</v>
      </c>
      <c r="U26" s="712"/>
      <c r="V26" s="633">
        <v>0.97</v>
      </c>
      <c r="W26" s="712"/>
      <c r="X26" s="633">
        <v>0.96199999999999997</v>
      </c>
      <c r="Y26" s="712"/>
      <c r="Z26" s="633">
        <v>0.96299999999999997</v>
      </c>
      <c r="AA26" s="683"/>
      <c r="AB26" s="524"/>
      <c r="AC26" s="525">
        <f t="shared" si="0"/>
        <v>0.91799999999999993</v>
      </c>
      <c r="AD26" s="529"/>
      <c r="AE26" s="519"/>
      <c r="AF26" s="25"/>
    </row>
    <row r="27" spans="1:32" ht="13.5" customHeight="1" thickBot="1" x14ac:dyDescent="0.25">
      <c r="B27" s="530" t="s">
        <v>103</v>
      </c>
      <c r="C27" s="800">
        <f>1-SUM(C25:D26)</f>
        <v>2.0000000000000018E-3</v>
      </c>
      <c r="D27" s="801"/>
      <c r="E27" s="800">
        <f>1-SUM(E25:F26)</f>
        <v>0</v>
      </c>
      <c r="F27" s="801"/>
      <c r="G27" s="800">
        <f>1-SUM(G25:H26)</f>
        <v>6.0000000000000053E-3</v>
      </c>
      <c r="H27" s="801"/>
      <c r="I27" s="800">
        <f>1-SUM(I25:J26)</f>
        <v>3.0000000000000027E-3</v>
      </c>
      <c r="J27" s="801"/>
      <c r="K27" s="800">
        <f>1-SUM(K25:L26)</f>
        <v>1.8000000000000016E-2</v>
      </c>
      <c r="L27" s="801"/>
      <c r="M27" s="800">
        <f>1-SUM(M25:N26)</f>
        <v>2.200000000000002E-2</v>
      </c>
      <c r="N27" s="801"/>
      <c r="O27" s="827">
        <f>1-SUM(O25:P26)</f>
        <v>1.100000000000001E-2</v>
      </c>
      <c r="P27" s="801"/>
      <c r="Q27" s="796">
        <v>0.01</v>
      </c>
      <c r="R27" s="797"/>
      <c r="S27" s="796">
        <f>1-T25-T26</f>
        <v>0.29500000000000004</v>
      </c>
      <c r="T27" s="797"/>
      <c r="U27" s="796">
        <f>1-V25-V26</f>
        <v>3.0000000000000027E-2</v>
      </c>
      <c r="V27" s="797"/>
      <c r="W27" s="796">
        <f>1-X25-X26</f>
        <v>3.8000000000000034E-2</v>
      </c>
      <c r="X27" s="797"/>
      <c r="Y27" s="796">
        <f>1-Z25-Z26</f>
        <v>3.7000000000000033E-2</v>
      </c>
      <c r="Z27" s="797"/>
      <c r="AA27" s="683"/>
      <c r="AB27" s="821">
        <f t="shared" ref="AB27" si="1">AVERAGE(W27,U27,S27,Q27,Y27)</f>
        <v>8.2000000000000031E-2</v>
      </c>
      <c r="AC27" s="822" t="e">
        <f t="shared" ref="AC27" si="2">AVERAGE(X27,V27,T27,R27,Z27)</f>
        <v>#DIV/0!</v>
      </c>
      <c r="AD27" s="529"/>
      <c r="AE27" s="519"/>
      <c r="AF27" s="25"/>
    </row>
    <row r="28" spans="1:32" thickTop="1" x14ac:dyDescent="0.2">
      <c r="B28" s="90"/>
      <c r="C28" s="91"/>
      <c r="D28" s="92"/>
      <c r="E28" s="91"/>
      <c r="F28" s="92"/>
      <c r="G28" s="237"/>
      <c r="H28" s="238"/>
      <c r="I28" s="237"/>
      <c r="J28" s="238"/>
      <c r="K28" s="237"/>
      <c r="L28" s="238"/>
      <c r="M28" s="237"/>
      <c r="N28" s="238"/>
      <c r="O28" s="237"/>
      <c r="P28" s="238"/>
      <c r="Q28" s="237"/>
      <c r="R28" s="238"/>
      <c r="S28" s="237"/>
      <c r="T28" s="238"/>
      <c r="U28" s="237"/>
      <c r="V28" s="238"/>
      <c r="W28" s="237"/>
      <c r="X28" s="238"/>
      <c r="Y28" s="237"/>
      <c r="Z28" s="238"/>
    </row>
    <row r="29" spans="1:32" x14ac:dyDescent="0.2">
      <c r="A29" s="93" t="s">
        <v>32</v>
      </c>
      <c r="B29" s="5"/>
      <c r="C29" s="26"/>
      <c r="D29" s="26"/>
      <c r="E29" s="26"/>
      <c r="F29" s="26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</row>
    <row r="30" spans="1:32" ht="13.5" thickBot="1" x14ac:dyDescent="0.25">
      <c r="A30" s="93"/>
      <c r="B30" s="5"/>
      <c r="C30" s="26"/>
      <c r="D30" s="26"/>
      <c r="E30" s="26"/>
      <c r="F30" s="26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</row>
    <row r="31" spans="1:32" ht="14.25" thickTop="1" thickBot="1" x14ac:dyDescent="0.25">
      <c r="A31" s="3"/>
      <c r="B31" s="270" t="s">
        <v>33</v>
      </c>
      <c r="C31" s="813" t="s">
        <v>24</v>
      </c>
      <c r="D31" s="812"/>
      <c r="E31" s="813" t="s">
        <v>25</v>
      </c>
      <c r="F31" s="813"/>
      <c r="G31" s="798" t="s">
        <v>76</v>
      </c>
      <c r="H31" s="793"/>
      <c r="I31" s="792" t="s">
        <v>86</v>
      </c>
      <c r="J31" s="792"/>
      <c r="K31" s="798" t="s">
        <v>87</v>
      </c>
      <c r="L31" s="792"/>
      <c r="M31" s="798" t="s">
        <v>90</v>
      </c>
      <c r="N31" s="793"/>
      <c r="O31" s="792" t="s">
        <v>113</v>
      </c>
      <c r="P31" s="793"/>
      <c r="Q31" s="792" t="s">
        <v>118</v>
      </c>
      <c r="R31" s="793"/>
      <c r="S31" s="792" t="s">
        <v>131</v>
      </c>
      <c r="T31" s="793"/>
      <c r="U31" s="792" t="s">
        <v>139</v>
      </c>
      <c r="V31" s="793"/>
      <c r="W31" s="792" t="s">
        <v>141</v>
      </c>
      <c r="X31" s="793"/>
      <c r="Y31" s="792" t="s">
        <v>143</v>
      </c>
      <c r="Z31" s="793"/>
      <c r="AB31" s="823" t="s">
        <v>105</v>
      </c>
      <c r="AC31" s="824"/>
    </row>
    <row r="32" spans="1:32" x14ac:dyDescent="0.2">
      <c r="A32" s="3"/>
      <c r="B32" s="232" t="s">
        <v>34</v>
      </c>
      <c r="C32" s="4"/>
      <c r="D32" s="130"/>
      <c r="E32" s="4"/>
      <c r="F32" s="4"/>
      <c r="G32" s="258"/>
      <c r="H32" s="344"/>
      <c r="I32" s="235"/>
      <c r="J32" s="235"/>
      <c r="K32" s="258"/>
      <c r="L32" s="235"/>
      <c r="M32" s="258"/>
      <c r="N32" s="344"/>
      <c r="O32" s="235"/>
      <c r="P32" s="344"/>
      <c r="Q32" s="235"/>
      <c r="R32" s="344"/>
      <c r="S32" s="235"/>
      <c r="T32" s="344"/>
      <c r="U32" s="235"/>
      <c r="V32" s="344"/>
      <c r="W32" s="235"/>
      <c r="X32" s="344"/>
      <c r="Y32" s="235"/>
      <c r="Z32" s="344"/>
      <c r="AB32" s="560"/>
      <c r="AC32" s="506"/>
    </row>
    <row r="33" spans="1:29" x14ac:dyDescent="0.2">
      <c r="A33" s="3"/>
      <c r="B33" s="229" t="s">
        <v>35</v>
      </c>
      <c r="C33" s="7"/>
      <c r="D33" s="135"/>
      <c r="E33" s="7"/>
      <c r="F33" s="155"/>
      <c r="G33" s="299"/>
      <c r="H33" s="363"/>
      <c r="I33" s="234"/>
      <c r="J33" s="389"/>
      <c r="K33" s="299"/>
      <c r="L33" s="389"/>
      <c r="M33" s="299"/>
      <c r="N33" s="363"/>
      <c r="O33" s="234"/>
      <c r="P33" s="363"/>
      <c r="Q33" s="234"/>
      <c r="R33" s="363"/>
      <c r="S33" s="234"/>
      <c r="T33" s="363"/>
      <c r="U33" s="234"/>
      <c r="V33" s="363"/>
      <c r="W33" s="234"/>
      <c r="X33" s="363"/>
      <c r="Y33" s="234"/>
      <c r="Z33" s="363"/>
      <c r="AB33" s="211"/>
      <c r="AC33" s="558"/>
    </row>
    <row r="34" spans="1:29" x14ac:dyDescent="0.2">
      <c r="A34" s="3"/>
      <c r="B34" s="229" t="s">
        <v>120</v>
      </c>
      <c r="C34" s="7"/>
      <c r="D34" s="135"/>
      <c r="E34" s="7"/>
      <c r="F34" s="155"/>
      <c r="G34" s="299"/>
      <c r="H34" s="363"/>
      <c r="I34" s="234"/>
      <c r="J34" s="389"/>
      <c r="K34" s="299"/>
      <c r="L34" s="389"/>
      <c r="M34" s="299"/>
      <c r="N34" s="363"/>
      <c r="O34" s="234"/>
      <c r="P34" s="363"/>
      <c r="Q34" s="234"/>
      <c r="R34" s="363"/>
      <c r="S34" s="234"/>
      <c r="T34" s="363"/>
      <c r="U34" s="234"/>
      <c r="V34" s="363"/>
      <c r="W34" s="234"/>
      <c r="X34" s="363"/>
      <c r="Y34" s="234"/>
      <c r="Z34" s="363"/>
      <c r="AB34" s="211"/>
      <c r="AC34" s="558"/>
    </row>
    <row r="35" spans="1:29" ht="36" x14ac:dyDescent="0.2">
      <c r="A35" s="3"/>
      <c r="B35" s="230" t="s">
        <v>121</v>
      </c>
      <c r="C35" s="4"/>
      <c r="D35" s="136"/>
      <c r="E35" s="4"/>
      <c r="F35" s="156">
        <v>200000</v>
      </c>
      <c r="G35" s="258"/>
      <c r="H35" s="366">
        <v>200000</v>
      </c>
      <c r="I35" s="235"/>
      <c r="J35" s="390">
        <v>200000</v>
      </c>
      <c r="K35" s="258"/>
      <c r="L35" s="390">
        <v>200000</v>
      </c>
      <c r="M35" s="258"/>
      <c r="N35" s="366">
        <v>200000</v>
      </c>
      <c r="O35" s="235"/>
      <c r="P35" s="366">
        <v>200000</v>
      </c>
      <c r="Q35" s="235"/>
      <c r="R35" s="366">
        <v>200000</v>
      </c>
      <c r="S35" s="235"/>
      <c r="T35" s="366">
        <v>200000</v>
      </c>
      <c r="U35" s="235"/>
      <c r="V35" s="366">
        <v>200000</v>
      </c>
      <c r="W35" s="235"/>
      <c r="X35" s="366">
        <v>200000</v>
      </c>
      <c r="Y35" s="235"/>
      <c r="Z35" s="366">
        <v>200000</v>
      </c>
      <c r="AB35" s="209"/>
      <c r="AC35" s="558">
        <f t="shared" ref="AC35:AC36" si="3">AVERAGE(X35,V35,T35,R35,Z35)</f>
        <v>200000</v>
      </c>
    </row>
    <row r="36" spans="1:29" x14ac:dyDescent="0.2">
      <c r="A36" s="3"/>
      <c r="B36" s="231" t="s">
        <v>36</v>
      </c>
      <c r="C36" s="97"/>
      <c r="D36" s="138">
        <f>SUM(D33:D35)</f>
        <v>0</v>
      </c>
      <c r="E36" s="97"/>
      <c r="F36" s="157">
        <f>SUM(F33:F35)</f>
        <v>200000</v>
      </c>
      <c r="G36" s="259"/>
      <c r="H36" s="364">
        <f>SUM(H35)</f>
        <v>200000</v>
      </c>
      <c r="I36" s="331"/>
      <c r="J36" s="391">
        <f>SUM(J35)</f>
        <v>200000</v>
      </c>
      <c r="K36" s="259"/>
      <c r="L36" s="391">
        <f>SUM(L35)</f>
        <v>200000</v>
      </c>
      <c r="M36" s="259"/>
      <c r="N36" s="364">
        <f>SUM(N35)</f>
        <v>200000</v>
      </c>
      <c r="O36" s="331"/>
      <c r="P36" s="364">
        <f>SUM(P35)</f>
        <v>200000</v>
      </c>
      <c r="Q36" s="331"/>
      <c r="R36" s="364">
        <f>SUM(R35)</f>
        <v>200000</v>
      </c>
      <c r="S36" s="331"/>
      <c r="T36" s="364">
        <f>SUM(T35)</f>
        <v>200000</v>
      </c>
      <c r="U36" s="331"/>
      <c r="V36" s="364">
        <f>SUM(V35)</f>
        <v>200000</v>
      </c>
      <c r="W36" s="331"/>
      <c r="X36" s="364">
        <f>SUM(X35)</f>
        <v>200000</v>
      </c>
      <c r="Y36" s="331"/>
      <c r="Z36" s="364">
        <f>SUM(Z35)</f>
        <v>200000</v>
      </c>
      <c r="AB36" s="209"/>
      <c r="AC36" s="573">
        <f t="shared" si="3"/>
        <v>200000</v>
      </c>
    </row>
    <row r="37" spans="1:29" x14ac:dyDescent="0.2">
      <c r="A37" s="3"/>
      <c r="B37" s="232" t="s">
        <v>37</v>
      </c>
      <c r="C37" s="4"/>
      <c r="D37" s="136"/>
      <c r="E37" s="4"/>
      <c r="F37" s="156"/>
      <c r="G37" s="258"/>
      <c r="H37" s="366"/>
      <c r="I37" s="235"/>
      <c r="J37" s="390"/>
      <c r="K37" s="258"/>
      <c r="L37" s="390"/>
      <c r="M37" s="258"/>
      <c r="N37" s="366"/>
      <c r="O37" s="235"/>
      <c r="P37" s="366"/>
      <c r="Q37" s="235"/>
      <c r="R37" s="366"/>
      <c r="S37" s="235"/>
      <c r="T37" s="366"/>
      <c r="U37" s="235"/>
      <c r="V37" s="366"/>
      <c r="W37" s="235"/>
      <c r="X37" s="366"/>
      <c r="Y37" s="235"/>
      <c r="Z37" s="366"/>
      <c r="AB37" s="209"/>
      <c r="AC37" s="558"/>
    </row>
    <row r="38" spans="1:29" x14ac:dyDescent="0.2">
      <c r="A38" s="3"/>
      <c r="B38" s="229" t="s">
        <v>35</v>
      </c>
      <c r="C38" s="4"/>
      <c r="D38" s="136">
        <v>29904</v>
      </c>
      <c r="E38" s="4"/>
      <c r="F38" s="156">
        <v>30516</v>
      </c>
      <c r="G38" s="258"/>
      <c r="H38" s="366">
        <v>33309</v>
      </c>
      <c r="I38" s="235"/>
      <c r="J38" s="390">
        <v>37053</v>
      </c>
      <c r="K38" s="258"/>
      <c r="L38" s="390">
        <v>110835</v>
      </c>
      <c r="M38" s="258"/>
      <c r="N38" s="366">
        <v>121202</v>
      </c>
      <c r="O38" s="235"/>
      <c r="P38" s="366">
        <v>66635</v>
      </c>
      <c r="Q38" s="235"/>
      <c r="R38" s="366">
        <v>67186</v>
      </c>
      <c r="S38" s="235"/>
      <c r="T38" s="366">
        <v>67761</v>
      </c>
      <c r="U38" s="235"/>
      <c r="V38" s="366">
        <v>72721</v>
      </c>
      <c r="W38" s="235"/>
      <c r="X38" s="366">
        <v>74296</v>
      </c>
      <c r="Y38" s="235"/>
      <c r="Z38" s="366">
        <v>4212</v>
      </c>
      <c r="AB38" s="209"/>
      <c r="AC38" s="558">
        <f>AVERAGE(X38,V38,T38,R38,Z38)</f>
        <v>57235.199999999997</v>
      </c>
    </row>
    <row r="39" spans="1:29" x14ac:dyDescent="0.2">
      <c r="A39" s="3"/>
      <c r="B39" s="229" t="s">
        <v>120</v>
      </c>
      <c r="C39" s="4"/>
      <c r="D39" s="136"/>
      <c r="E39" s="4"/>
      <c r="F39" s="156"/>
      <c r="G39" s="258"/>
      <c r="H39" s="366"/>
      <c r="I39" s="235"/>
      <c r="J39" s="390"/>
      <c r="K39" s="258"/>
      <c r="L39" s="390"/>
      <c r="M39" s="258"/>
      <c r="N39" s="366"/>
      <c r="O39" s="235"/>
      <c r="P39" s="366"/>
      <c r="Q39" s="235"/>
      <c r="R39" s="366"/>
      <c r="S39" s="235"/>
      <c r="T39" s="366"/>
      <c r="U39" s="235"/>
      <c r="V39" s="366"/>
      <c r="W39" s="235"/>
      <c r="X39" s="366"/>
      <c r="Y39" s="235"/>
      <c r="Z39" s="366"/>
      <c r="AB39" s="209"/>
      <c r="AC39" s="558"/>
    </row>
    <row r="40" spans="1:29" ht="36" x14ac:dyDescent="0.2">
      <c r="A40" s="3"/>
      <c r="B40" s="230" t="s">
        <v>121</v>
      </c>
      <c r="C40" s="4"/>
      <c r="D40" s="136">
        <v>25000</v>
      </c>
      <c r="E40" s="4"/>
      <c r="F40" s="156"/>
      <c r="G40" s="258"/>
      <c r="H40" s="366"/>
      <c r="I40" s="235"/>
      <c r="J40" s="390"/>
      <c r="K40" s="258"/>
      <c r="L40" s="390"/>
      <c r="M40" s="258"/>
      <c r="N40" s="366"/>
      <c r="O40" s="235"/>
      <c r="P40" s="366"/>
      <c r="Q40" s="235"/>
      <c r="R40" s="366"/>
      <c r="S40" s="235"/>
      <c r="T40" s="366"/>
      <c r="U40" s="235"/>
      <c r="V40" s="366"/>
      <c r="W40" s="235"/>
      <c r="X40" s="366"/>
      <c r="Y40" s="235"/>
      <c r="Z40" s="366"/>
      <c r="AB40" s="209"/>
      <c r="AC40" s="558"/>
    </row>
    <row r="41" spans="1:29" x14ac:dyDescent="0.2">
      <c r="A41" s="3"/>
      <c r="B41" s="231" t="s">
        <v>38</v>
      </c>
      <c r="C41" s="97"/>
      <c r="D41" s="138">
        <f>SUM(D38:D40)</f>
        <v>54904</v>
      </c>
      <c r="E41" s="97"/>
      <c r="F41" s="157">
        <f>SUM(F38:F40)</f>
        <v>30516</v>
      </c>
      <c r="G41" s="259"/>
      <c r="H41" s="364">
        <f>SUM(H38:H40)</f>
        <v>33309</v>
      </c>
      <c r="I41" s="331"/>
      <c r="J41" s="391">
        <f>SUM(J38:J40)</f>
        <v>37053</v>
      </c>
      <c r="K41" s="259"/>
      <c r="L41" s="391">
        <f>SUM(L38:L40)</f>
        <v>110835</v>
      </c>
      <c r="M41" s="259"/>
      <c r="N41" s="364">
        <f>SUM(N38:N40)</f>
        <v>121202</v>
      </c>
      <c r="O41" s="331"/>
      <c r="P41" s="364">
        <f>SUM(P38:P40)</f>
        <v>66635</v>
      </c>
      <c r="Q41" s="331"/>
      <c r="R41" s="364">
        <f>SUM(R38:R40)</f>
        <v>67186</v>
      </c>
      <c r="S41" s="331"/>
      <c r="T41" s="364">
        <f>SUM(T38:T40)</f>
        <v>67761</v>
      </c>
      <c r="U41" s="331"/>
      <c r="V41" s="364">
        <f>SUM(V38:V40)</f>
        <v>72721</v>
      </c>
      <c r="W41" s="331"/>
      <c r="X41" s="364">
        <f>SUM(X38:X40)</f>
        <v>74296</v>
      </c>
      <c r="Y41" s="331"/>
      <c r="Z41" s="364">
        <f>SUM(Z38:Z40)</f>
        <v>4212</v>
      </c>
      <c r="AB41" s="209"/>
      <c r="AC41" s="573">
        <f>AVERAGE(X41,V41,T41,R41,Z41)</f>
        <v>57235.199999999997</v>
      </c>
    </row>
    <row r="42" spans="1:29" x14ac:dyDescent="0.2">
      <c r="A42" s="3"/>
      <c r="B42" s="232" t="s">
        <v>45</v>
      </c>
      <c r="C42" s="4"/>
      <c r="D42" s="136"/>
      <c r="E42" s="4"/>
      <c r="F42" s="156"/>
      <c r="G42" s="258"/>
      <c r="H42" s="366"/>
      <c r="I42" s="235"/>
      <c r="J42" s="390"/>
      <c r="K42" s="258"/>
      <c r="L42" s="390"/>
      <c r="M42" s="258"/>
      <c r="N42" s="366"/>
      <c r="O42" s="235"/>
      <c r="P42" s="366"/>
      <c r="Q42" s="235"/>
      <c r="R42" s="366"/>
      <c r="S42" s="235"/>
      <c r="T42" s="366"/>
      <c r="U42" s="235"/>
      <c r="V42" s="366"/>
      <c r="W42" s="235"/>
      <c r="X42" s="366"/>
      <c r="Y42" s="235"/>
      <c r="Z42" s="366"/>
      <c r="AB42" s="209"/>
      <c r="AC42" s="558"/>
    </row>
    <row r="43" spans="1:29" x14ac:dyDescent="0.2">
      <c r="A43" s="3"/>
      <c r="B43" s="229" t="s">
        <v>35</v>
      </c>
      <c r="C43" s="4"/>
      <c r="D43" s="136">
        <v>3329458</v>
      </c>
      <c r="E43" s="4"/>
      <c r="F43" s="156">
        <v>3373926</v>
      </c>
      <c r="G43" s="258"/>
      <c r="H43" s="366">
        <v>3428119</v>
      </c>
      <c r="I43" s="235"/>
      <c r="J43" s="390">
        <v>4027996</v>
      </c>
      <c r="K43" s="258"/>
      <c r="L43" s="390">
        <v>4674834</v>
      </c>
      <c r="M43" s="258"/>
      <c r="N43" s="366">
        <v>4968950</v>
      </c>
      <c r="O43" s="235"/>
      <c r="P43" s="366">
        <v>5109136</v>
      </c>
      <c r="Q43" s="235"/>
      <c r="R43" s="366">
        <v>5667329</v>
      </c>
      <c r="S43" s="235"/>
      <c r="T43" s="366">
        <v>6061600</v>
      </c>
      <c r="U43" s="235"/>
      <c r="V43" s="366">
        <v>6280488</v>
      </c>
      <c r="W43" s="235"/>
      <c r="X43" s="366">
        <v>6459799</v>
      </c>
      <c r="Y43" s="235"/>
      <c r="Z43" s="366">
        <v>6581431</v>
      </c>
      <c r="AB43" s="209"/>
      <c r="AC43" s="558">
        <f>AVERAGE(X43,V43,T43,R43,Z43)</f>
        <v>6210129.4000000004</v>
      </c>
    </row>
    <row r="44" spans="1:29" x14ac:dyDescent="0.2">
      <c r="A44" s="3"/>
      <c r="B44" s="229" t="s">
        <v>120</v>
      </c>
      <c r="C44" s="4"/>
      <c r="D44" s="136"/>
      <c r="E44" s="4"/>
      <c r="F44" s="156"/>
      <c r="G44" s="258"/>
      <c r="H44" s="366"/>
      <c r="I44" s="235"/>
      <c r="J44" s="390"/>
      <c r="K44" s="258"/>
      <c r="L44" s="390"/>
      <c r="M44" s="258"/>
      <c r="N44" s="366"/>
      <c r="O44" s="235"/>
      <c r="P44" s="366"/>
      <c r="Q44" s="235"/>
      <c r="R44" s="366"/>
      <c r="S44" s="235"/>
      <c r="T44" s="366"/>
      <c r="U44" s="235"/>
      <c r="V44" s="366"/>
      <c r="W44" s="235"/>
      <c r="X44" s="366"/>
      <c r="Y44" s="235"/>
      <c r="Z44" s="366"/>
      <c r="AB44" s="211"/>
      <c r="AC44" s="558"/>
    </row>
    <row r="45" spans="1:29" ht="36" x14ac:dyDescent="0.2">
      <c r="A45" s="3"/>
      <c r="B45" s="230" t="s">
        <v>121</v>
      </c>
      <c r="C45" s="4"/>
      <c r="D45" s="136">
        <v>601752</v>
      </c>
      <c r="E45" s="4"/>
      <c r="F45" s="156">
        <v>230634</v>
      </c>
      <c r="G45" s="258"/>
      <c r="H45" s="366">
        <v>231232</v>
      </c>
      <c r="I45" s="235"/>
      <c r="J45" s="390">
        <v>459981</v>
      </c>
      <c r="K45" s="258"/>
      <c r="L45" s="390">
        <v>345417</v>
      </c>
      <c r="M45" s="258"/>
      <c r="N45" s="366">
        <v>321321</v>
      </c>
      <c r="O45" s="235"/>
      <c r="P45" s="366">
        <v>448282</v>
      </c>
      <c r="Q45" s="235"/>
      <c r="R45" s="366">
        <v>453423</v>
      </c>
      <c r="S45" s="235"/>
      <c r="T45" s="366">
        <v>457231</v>
      </c>
      <c r="U45" s="235"/>
      <c r="V45" s="366">
        <v>467564</v>
      </c>
      <c r="W45" s="235"/>
      <c r="X45" s="366">
        <v>476756</v>
      </c>
      <c r="Y45" s="235"/>
      <c r="Z45" s="366">
        <v>490433</v>
      </c>
      <c r="AB45" s="211"/>
      <c r="AC45" s="558">
        <f t="shared" ref="AC45:AC47" si="4">AVERAGE(X45,V45,T45,R45,Z45)</f>
        <v>469081.4</v>
      </c>
    </row>
    <row r="46" spans="1:29" x14ac:dyDescent="0.2">
      <c r="A46" s="3"/>
      <c r="B46" s="231" t="s">
        <v>44</v>
      </c>
      <c r="C46" s="97"/>
      <c r="D46" s="138">
        <f>SUM(D43:D45)</f>
        <v>3931210</v>
      </c>
      <c r="E46" s="97"/>
      <c r="F46" s="157">
        <f>SUM(F43:F45)</f>
        <v>3604560</v>
      </c>
      <c r="G46" s="259"/>
      <c r="H46" s="364">
        <f>SUM(H43:H45)</f>
        <v>3659351</v>
      </c>
      <c r="I46" s="331"/>
      <c r="J46" s="391">
        <f>SUM(J43:J45)</f>
        <v>4487977</v>
      </c>
      <c r="K46" s="259"/>
      <c r="L46" s="391">
        <f>SUM(L43:L45)</f>
        <v>5020251</v>
      </c>
      <c r="M46" s="259"/>
      <c r="N46" s="364">
        <f>SUM(N43:N45)</f>
        <v>5290271</v>
      </c>
      <c r="O46" s="331"/>
      <c r="P46" s="364">
        <f>SUM(P43:P45)</f>
        <v>5557418</v>
      </c>
      <c r="Q46" s="331"/>
      <c r="R46" s="364">
        <f>SUM(R43:R45)</f>
        <v>6120752</v>
      </c>
      <c r="S46" s="331"/>
      <c r="T46" s="364">
        <f>SUM(T43:T45)</f>
        <v>6518831</v>
      </c>
      <c r="U46" s="331"/>
      <c r="V46" s="364">
        <f>SUM(V43:V45)</f>
        <v>6748052</v>
      </c>
      <c r="W46" s="331"/>
      <c r="X46" s="364">
        <f>SUM(X43:X45)</f>
        <v>6936555</v>
      </c>
      <c r="Y46" s="331"/>
      <c r="Z46" s="364">
        <f>SUM(Z43:Z45)</f>
        <v>7071864</v>
      </c>
      <c r="AB46" s="209"/>
      <c r="AC46" s="573">
        <f t="shared" si="4"/>
        <v>6679210.7999999998</v>
      </c>
    </row>
    <row r="47" spans="1:29" ht="13.5" thickBot="1" x14ac:dyDescent="0.25">
      <c r="A47" s="3"/>
      <c r="B47" s="272" t="s">
        <v>39</v>
      </c>
      <c r="C47" s="4"/>
      <c r="D47" s="138">
        <f>SUM(D36,D41,D46)</f>
        <v>3986114</v>
      </c>
      <c r="E47" s="4"/>
      <c r="F47" s="157">
        <f>SUM(F36,F41,F46)</f>
        <v>3835076</v>
      </c>
      <c r="G47" s="258"/>
      <c r="H47" s="369">
        <f>H36+H41+H46</f>
        <v>3892660</v>
      </c>
      <c r="I47" s="235"/>
      <c r="J47" s="391">
        <f>J36+J41+J46</f>
        <v>4725030</v>
      </c>
      <c r="K47" s="258"/>
      <c r="L47" s="391">
        <f>L36+L41+L46</f>
        <v>5331086</v>
      </c>
      <c r="M47" s="258"/>
      <c r="N47" s="364">
        <f>N36+N41+N46</f>
        <v>5611473</v>
      </c>
      <c r="O47" s="235"/>
      <c r="P47" s="364">
        <f>P36+P41+P46</f>
        <v>5824053</v>
      </c>
      <c r="Q47" s="235"/>
      <c r="R47" s="364">
        <f>R36+R41+R46</f>
        <v>6387938</v>
      </c>
      <c r="S47" s="235"/>
      <c r="T47" s="364">
        <f>T36+T41+T46</f>
        <v>6786592</v>
      </c>
      <c r="U47" s="235"/>
      <c r="V47" s="364">
        <f>V36+V41+V46</f>
        <v>7020773</v>
      </c>
      <c r="W47" s="235"/>
      <c r="X47" s="364">
        <f>X36+X41+X46</f>
        <v>7210851</v>
      </c>
      <c r="Y47" s="235"/>
      <c r="Z47" s="364">
        <f>Z36+Z41+Z46</f>
        <v>7276076</v>
      </c>
      <c r="AB47" s="567"/>
      <c r="AC47" s="573">
        <f t="shared" si="4"/>
        <v>6936446</v>
      </c>
    </row>
    <row r="48" spans="1:29" ht="12" x14ac:dyDescent="0.2">
      <c r="B48" s="273" t="s">
        <v>40</v>
      </c>
      <c r="C48" s="101"/>
      <c r="D48" s="140"/>
      <c r="E48" s="101"/>
      <c r="F48" s="101"/>
      <c r="G48" s="261"/>
      <c r="H48" s="341"/>
      <c r="I48" s="332"/>
      <c r="J48" s="332"/>
      <c r="K48" s="261"/>
      <c r="L48" s="332"/>
      <c r="M48" s="261"/>
      <c r="N48" s="341"/>
      <c r="O48" s="332"/>
      <c r="P48" s="341"/>
      <c r="Q48" s="332"/>
      <c r="R48" s="341"/>
      <c r="S48" s="332"/>
      <c r="T48" s="341"/>
      <c r="U48" s="332"/>
      <c r="V48" s="341"/>
      <c r="W48" s="332"/>
      <c r="X48" s="341"/>
      <c r="Y48" s="332"/>
      <c r="Z48" s="341"/>
      <c r="AB48" s="549"/>
      <c r="AC48" s="569"/>
    </row>
    <row r="49" spans="1:29" ht="12" x14ac:dyDescent="0.2">
      <c r="B49" s="55" t="s">
        <v>15</v>
      </c>
      <c r="C49" s="61"/>
      <c r="D49" s="142">
        <v>3147957</v>
      </c>
      <c r="E49" s="61"/>
      <c r="F49" s="86">
        <v>3785512</v>
      </c>
      <c r="G49" s="301"/>
      <c r="H49" s="317">
        <v>3744539.09</v>
      </c>
      <c r="I49" s="339"/>
      <c r="J49" s="339">
        <v>4181612</v>
      </c>
      <c r="K49" s="262"/>
      <c r="L49" s="339">
        <f>1919096+11356+2350592+64804</f>
        <v>4345848</v>
      </c>
      <c r="M49" s="262"/>
      <c r="N49" s="421">
        <v>4649866</v>
      </c>
      <c r="O49" s="339"/>
      <c r="P49" s="736">
        <v>5147041</v>
      </c>
      <c r="Q49" s="718"/>
      <c r="R49" s="736">
        <v>5923577</v>
      </c>
      <c r="S49" s="718"/>
      <c r="T49" s="736">
        <v>5532215</v>
      </c>
      <c r="U49" s="718"/>
      <c r="V49" s="736">
        <v>5610003</v>
      </c>
      <c r="W49" s="718"/>
      <c r="X49" s="736">
        <v>6644519</v>
      </c>
      <c r="Y49" s="718"/>
      <c r="Z49" s="737"/>
      <c r="AB49" s="211"/>
      <c r="AC49" s="562">
        <f>AVERAGE(X49,V49,T49,R49,P49)</f>
        <v>5771471</v>
      </c>
    </row>
    <row r="50" spans="1:29" ht="12" x14ac:dyDescent="0.2">
      <c r="B50" s="274" t="s">
        <v>16</v>
      </c>
      <c r="C50" s="62"/>
      <c r="D50" s="144">
        <f>46642+382</f>
        <v>47024</v>
      </c>
      <c r="E50" s="62"/>
      <c r="F50" s="196">
        <v>43799</v>
      </c>
      <c r="G50" s="265"/>
      <c r="H50" s="454">
        <f>159265+1534+1212+6434</f>
        <v>168445</v>
      </c>
      <c r="I50" s="417"/>
      <c r="J50" s="738">
        <v>124622.38</v>
      </c>
      <c r="K50" s="414"/>
      <c r="L50" s="417">
        <f>110369+97135+197004+7080</f>
        <v>411588</v>
      </c>
      <c r="M50" s="414"/>
      <c r="N50" s="421">
        <f>276312+67924+119007+59722</f>
        <v>522965</v>
      </c>
      <c r="O50" s="417"/>
      <c r="P50" s="739">
        <f>153615+62719+115970</f>
        <v>332304</v>
      </c>
      <c r="Q50" s="740"/>
      <c r="R50" s="739">
        <f>62095.61+1500+43320.71</f>
        <v>106916.32</v>
      </c>
      <c r="S50" s="740"/>
      <c r="T50" s="739">
        <f>75717.32+66382.07</f>
        <v>142099.39000000001</v>
      </c>
      <c r="U50" s="740"/>
      <c r="V50" s="739">
        <v>133623</v>
      </c>
      <c r="W50" s="740"/>
      <c r="X50" s="739">
        <v>134904.25</v>
      </c>
      <c r="Y50" s="740"/>
      <c r="Z50" s="741"/>
      <c r="AB50" s="209"/>
      <c r="AC50" s="562">
        <f>AVERAGE(X50,V50,T50,R50,P50)</f>
        <v>169969.39199999999</v>
      </c>
    </row>
    <row r="51" spans="1:29" thickBot="1" x14ac:dyDescent="0.25">
      <c r="B51" s="275"/>
      <c r="C51" s="63"/>
      <c r="D51" s="146"/>
      <c r="E51" s="63"/>
      <c r="F51" s="58"/>
      <c r="G51" s="263"/>
      <c r="H51" s="342"/>
      <c r="I51" s="326"/>
      <c r="J51" s="340"/>
      <c r="K51" s="263"/>
      <c r="L51" s="340"/>
      <c r="M51" s="263"/>
      <c r="N51" s="342"/>
      <c r="O51" s="326"/>
      <c r="P51" s="342"/>
      <c r="Q51" s="326"/>
      <c r="R51" s="342"/>
      <c r="S51" s="326"/>
      <c r="T51" s="342"/>
      <c r="U51" s="326"/>
      <c r="V51" s="342"/>
      <c r="W51" s="326"/>
      <c r="X51" s="342"/>
      <c r="Y51" s="326"/>
      <c r="Z51" s="342"/>
      <c r="AB51" s="567"/>
      <c r="AC51" s="568"/>
    </row>
    <row r="52" spans="1:29" ht="12" x14ac:dyDescent="0.2">
      <c r="B52" s="54"/>
      <c r="C52" s="75" t="s">
        <v>69</v>
      </c>
      <c r="D52" s="148" t="s">
        <v>75</v>
      </c>
      <c r="E52" s="75" t="s">
        <v>69</v>
      </c>
      <c r="F52" s="158" t="s">
        <v>75</v>
      </c>
      <c r="G52" s="264" t="s">
        <v>69</v>
      </c>
      <c r="H52" s="343" t="s">
        <v>75</v>
      </c>
      <c r="I52" s="240" t="s">
        <v>69</v>
      </c>
      <c r="J52" s="378" t="s">
        <v>75</v>
      </c>
      <c r="K52" s="264" t="s">
        <v>69</v>
      </c>
      <c r="L52" s="378" t="s">
        <v>75</v>
      </c>
      <c r="M52" s="264" t="s">
        <v>69</v>
      </c>
      <c r="N52" s="343" t="s">
        <v>75</v>
      </c>
      <c r="O52" s="240" t="s">
        <v>69</v>
      </c>
      <c r="P52" s="343" t="s">
        <v>75</v>
      </c>
      <c r="Q52" s="240" t="s">
        <v>69</v>
      </c>
      <c r="R52" s="343" t="s">
        <v>75</v>
      </c>
      <c r="S52" s="240" t="s">
        <v>69</v>
      </c>
      <c r="T52" s="343" t="s">
        <v>75</v>
      </c>
      <c r="U52" s="240" t="s">
        <v>69</v>
      </c>
      <c r="V52" s="343" t="s">
        <v>75</v>
      </c>
      <c r="W52" s="240" t="s">
        <v>69</v>
      </c>
      <c r="X52" s="343" t="s">
        <v>75</v>
      </c>
      <c r="Y52" s="240" t="s">
        <v>69</v>
      </c>
      <c r="Z52" s="343" t="s">
        <v>75</v>
      </c>
      <c r="AB52" s="561" t="s">
        <v>69</v>
      </c>
      <c r="AC52" s="241" t="s">
        <v>75</v>
      </c>
    </row>
    <row r="53" spans="1:29" ht="11.45" customHeight="1" x14ac:dyDescent="0.2">
      <c r="B53" s="276" t="s">
        <v>30</v>
      </c>
      <c r="C53" s="402">
        <v>18</v>
      </c>
      <c r="D53" s="457">
        <v>1040987</v>
      </c>
      <c r="E53" s="402">
        <v>17</v>
      </c>
      <c r="F53" s="458">
        <v>1116348</v>
      </c>
      <c r="G53" s="452">
        <v>21</v>
      </c>
      <c r="H53" s="421">
        <v>1988982</v>
      </c>
      <c r="I53" s="320">
        <v>38</v>
      </c>
      <c r="J53" s="421">
        <v>2033266</v>
      </c>
      <c r="K53" s="320">
        <v>32</v>
      </c>
      <c r="L53" s="424">
        <v>2017021</v>
      </c>
      <c r="M53" s="452">
        <v>39</v>
      </c>
      <c r="N53" s="646">
        <v>4398226</v>
      </c>
      <c r="O53" s="452">
        <v>35</v>
      </c>
      <c r="P53" s="646">
        <v>2128520</v>
      </c>
      <c r="Q53" s="452">
        <v>30</v>
      </c>
      <c r="R53" s="646">
        <v>3201561</v>
      </c>
      <c r="S53" s="452">
        <v>22</v>
      </c>
      <c r="T53" s="646">
        <v>1246687</v>
      </c>
      <c r="U53" s="452">
        <v>32</v>
      </c>
      <c r="V53" s="646">
        <v>1093158</v>
      </c>
      <c r="W53" s="452">
        <v>21</v>
      </c>
      <c r="X53" s="646">
        <v>381852</v>
      </c>
      <c r="Y53" s="635"/>
      <c r="Z53" s="690"/>
      <c r="AB53" s="586">
        <f t="shared" ref="AB53:AC53" si="5">AVERAGE(W53,U53,S53,Q53,Y53)</f>
        <v>26.25</v>
      </c>
      <c r="AC53" s="564">
        <f t="shared" si="5"/>
        <v>1480814.5</v>
      </c>
    </row>
    <row r="54" spans="1:29" ht="11.45" customHeight="1" x14ac:dyDescent="0.2">
      <c r="B54" s="276"/>
      <c r="C54" s="196"/>
      <c r="D54" s="149"/>
      <c r="E54" s="196"/>
      <c r="F54" s="293"/>
      <c r="G54" s="325"/>
      <c r="H54" s="422"/>
      <c r="I54" s="428"/>
      <c r="J54" s="422"/>
      <c r="K54" s="428"/>
      <c r="L54" s="425"/>
      <c r="M54" s="325"/>
      <c r="N54" s="647"/>
      <c r="O54" s="325"/>
      <c r="P54" s="647"/>
      <c r="Q54" s="325"/>
      <c r="R54" s="647"/>
      <c r="S54" s="325"/>
      <c r="T54" s="647"/>
      <c r="U54" s="325"/>
      <c r="V54" s="647"/>
      <c r="W54" s="325"/>
      <c r="X54" s="647"/>
      <c r="Y54" s="359"/>
      <c r="Z54" s="691"/>
      <c r="AB54" s="587"/>
      <c r="AC54" s="562"/>
    </row>
    <row r="55" spans="1:29" thickBot="1" x14ac:dyDescent="0.25">
      <c r="B55" s="277" t="s">
        <v>17</v>
      </c>
      <c r="C55" s="677">
        <v>10</v>
      </c>
      <c r="D55" s="160">
        <v>446741</v>
      </c>
      <c r="E55" s="451">
        <v>11</v>
      </c>
      <c r="F55" s="456">
        <v>802701</v>
      </c>
      <c r="G55" s="453">
        <v>17</v>
      </c>
      <c r="H55" s="423">
        <v>1385468</v>
      </c>
      <c r="I55" s="429">
        <v>27</v>
      </c>
      <c r="J55" s="423">
        <v>1921910</v>
      </c>
      <c r="K55" s="429">
        <v>17</v>
      </c>
      <c r="L55" s="426">
        <v>1452056</v>
      </c>
      <c r="M55" s="453">
        <v>19</v>
      </c>
      <c r="N55" s="648">
        <v>1225367</v>
      </c>
      <c r="O55" s="453">
        <v>15</v>
      </c>
      <c r="P55" s="648">
        <v>1640051</v>
      </c>
      <c r="Q55" s="453">
        <v>20</v>
      </c>
      <c r="R55" s="648">
        <v>2019718</v>
      </c>
      <c r="S55" s="453">
        <v>16</v>
      </c>
      <c r="T55" s="648">
        <v>1219405</v>
      </c>
      <c r="U55" s="453">
        <v>16</v>
      </c>
      <c r="V55" s="648">
        <v>1164922</v>
      </c>
      <c r="W55" s="453">
        <v>13</v>
      </c>
      <c r="X55" s="648">
        <v>771662</v>
      </c>
      <c r="Y55" s="636"/>
      <c r="Z55" s="692"/>
      <c r="AB55" s="586">
        <f t="shared" ref="AB55:AC55" si="6">AVERAGE(W55,U55,S55,Q55,Y55)</f>
        <v>16.25</v>
      </c>
      <c r="AC55" s="562">
        <f t="shared" si="6"/>
        <v>1293926.75</v>
      </c>
    </row>
    <row r="56" spans="1:29" ht="12" x14ac:dyDescent="0.2">
      <c r="B56" s="273" t="s">
        <v>46</v>
      </c>
      <c r="C56" s="106"/>
      <c r="D56" s="161"/>
      <c r="E56" s="106"/>
      <c r="F56" s="294"/>
      <c r="G56" s="266"/>
      <c r="H56" s="337"/>
      <c r="I56" s="323"/>
      <c r="J56" s="392"/>
      <c r="K56" s="266"/>
      <c r="L56" s="392"/>
      <c r="M56" s="266"/>
      <c r="N56" s="337"/>
      <c r="O56" s="323"/>
      <c r="P56" s="337"/>
      <c r="Q56" s="323"/>
      <c r="R56" s="337"/>
      <c r="S56" s="323"/>
      <c r="T56" s="337"/>
      <c r="U56" s="323"/>
      <c r="V56" s="337"/>
      <c r="W56" s="323"/>
      <c r="X56" s="337"/>
      <c r="Y56" s="323"/>
      <c r="Z56" s="337"/>
      <c r="AB56" s="560"/>
      <c r="AC56" s="563"/>
    </row>
    <row r="57" spans="1:29" ht="12" x14ac:dyDescent="0.2">
      <c r="B57" s="278" t="s">
        <v>47</v>
      </c>
      <c r="C57" s="73"/>
      <c r="D57" s="162"/>
      <c r="E57" s="73"/>
      <c r="F57" s="27"/>
      <c r="G57" s="267"/>
      <c r="H57" s="338"/>
      <c r="I57" s="242"/>
      <c r="J57" s="233"/>
      <c r="K57" s="267"/>
      <c r="L57" s="233"/>
      <c r="M57" s="267"/>
      <c r="N57" s="338"/>
      <c r="O57" s="242"/>
      <c r="P57" s="338"/>
      <c r="Q57" s="242"/>
      <c r="R57" s="338"/>
      <c r="S57" s="242"/>
      <c r="T57" s="338"/>
      <c r="U57" s="242"/>
      <c r="V57" s="338"/>
      <c r="W57" s="242"/>
      <c r="X57" s="338"/>
      <c r="Y57" s="242"/>
      <c r="Z57" s="338"/>
      <c r="AB57" s="560"/>
      <c r="AC57" s="563"/>
    </row>
    <row r="58" spans="1:29" ht="12" x14ac:dyDescent="0.2">
      <c r="B58" s="287" t="s">
        <v>48</v>
      </c>
      <c r="C58" s="64"/>
      <c r="D58" s="163">
        <v>2000000</v>
      </c>
      <c r="E58" s="64"/>
      <c r="F58" s="295">
        <v>0</v>
      </c>
      <c r="G58" s="302"/>
      <c r="H58" s="371">
        <v>0</v>
      </c>
      <c r="I58" s="360"/>
      <c r="J58" s="395">
        <v>28000</v>
      </c>
      <c r="K58" s="302"/>
      <c r="L58" s="395">
        <v>8961</v>
      </c>
      <c r="M58" s="302"/>
      <c r="N58" s="371">
        <v>83711</v>
      </c>
      <c r="O58" s="360"/>
      <c r="P58" s="371">
        <v>50961</v>
      </c>
      <c r="Q58" s="360"/>
      <c r="R58" s="371">
        <v>131525.75</v>
      </c>
      <c r="S58" s="360"/>
      <c r="T58" s="371">
        <v>112117.73</v>
      </c>
      <c r="U58" s="360"/>
      <c r="V58" s="371">
        <v>138211</v>
      </c>
      <c r="W58" s="360"/>
      <c r="X58" s="371">
        <f>12981</f>
        <v>12981</v>
      </c>
      <c r="Y58" s="360"/>
      <c r="Z58" s="744"/>
      <c r="AB58" s="211"/>
      <c r="AC58" s="562">
        <f t="shared" ref="AC58:AC59" si="7">AVERAGE(X58,V58,T58,R58,P58)</f>
        <v>89159.296000000002</v>
      </c>
    </row>
    <row r="59" spans="1:29" thickBot="1" x14ac:dyDescent="0.25">
      <c r="B59" s="288" t="s">
        <v>49</v>
      </c>
      <c r="C59" s="65"/>
      <c r="D59" s="164">
        <v>2000189.05</v>
      </c>
      <c r="E59" s="65"/>
      <c r="F59" s="296">
        <v>1936653.52</v>
      </c>
      <c r="G59" s="303"/>
      <c r="H59" s="432">
        <v>2037237.37</v>
      </c>
      <c r="I59" s="370"/>
      <c r="J59" s="430">
        <v>2318625.67</v>
      </c>
      <c r="K59" s="303"/>
      <c r="L59" s="430">
        <v>2246141.66</v>
      </c>
      <c r="M59" s="303"/>
      <c r="N59" s="432">
        <v>1672267.14</v>
      </c>
      <c r="O59" s="370"/>
      <c r="P59" s="432">
        <v>1800319</v>
      </c>
      <c r="Q59" s="370"/>
      <c r="R59" s="432">
        <v>2051385.11</v>
      </c>
      <c r="S59" s="370"/>
      <c r="T59" s="432">
        <v>1907317.76</v>
      </c>
      <c r="U59" s="370"/>
      <c r="V59" s="432">
        <v>2012771.92</v>
      </c>
      <c r="W59" s="370"/>
      <c r="X59" s="432">
        <f>2271705.54+21991.02</f>
        <v>2293696.56</v>
      </c>
      <c r="Y59" s="370"/>
      <c r="Z59" s="745"/>
      <c r="AB59" s="565"/>
      <c r="AC59" s="584">
        <f t="shared" si="7"/>
        <v>2013098.0700000003</v>
      </c>
    </row>
    <row r="60" spans="1:29" thickTop="1" x14ac:dyDescent="0.2">
      <c r="B60" s="91"/>
      <c r="C60" s="73"/>
      <c r="D60" s="74"/>
      <c r="E60" s="73"/>
      <c r="F60" s="75"/>
      <c r="G60" s="242"/>
      <c r="H60" s="240"/>
      <c r="I60" s="242"/>
      <c r="J60" s="240"/>
      <c r="K60" s="242"/>
      <c r="L60" s="240"/>
      <c r="M60" s="242"/>
      <c r="N60" s="240"/>
      <c r="O60" s="242"/>
      <c r="P60" s="240"/>
      <c r="Q60" s="242"/>
      <c r="R60" s="240"/>
      <c r="S60" s="242"/>
      <c r="T60" s="240"/>
      <c r="U60" s="242"/>
      <c r="V60" s="240"/>
      <c r="W60" s="242"/>
      <c r="X60" s="240"/>
      <c r="Y60" s="242"/>
      <c r="Z60" s="240"/>
    </row>
    <row r="61" spans="1:29" x14ac:dyDescent="0.2">
      <c r="A61" s="3" t="s">
        <v>42</v>
      </c>
      <c r="B61" s="5"/>
      <c r="C61" s="73"/>
      <c r="D61" s="74"/>
      <c r="E61" s="73"/>
      <c r="F61" s="75"/>
      <c r="G61" s="242"/>
      <c r="H61" s="240"/>
      <c r="I61" s="242"/>
      <c r="J61" s="240"/>
      <c r="K61" s="242"/>
      <c r="L61" s="240"/>
      <c r="M61" s="242"/>
      <c r="N61" s="240"/>
      <c r="O61" s="242"/>
      <c r="P61" s="240"/>
      <c r="Q61" s="242"/>
      <c r="R61" s="240"/>
      <c r="S61" s="242"/>
      <c r="T61" s="240"/>
      <c r="U61" s="242"/>
      <c r="V61" s="240"/>
      <c r="W61" s="242"/>
      <c r="X61" s="240"/>
      <c r="Y61" s="242"/>
      <c r="Z61" s="240"/>
    </row>
    <row r="62" spans="1:29" thickBot="1" x14ac:dyDescent="0.25">
      <c r="B62" s="5"/>
      <c r="C62" s="73"/>
      <c r="D62" s="74"/>
      <c r="E62" s="73"/>
      <c r="F62" s="75"/>
      <c r="G62" s="242"/>
      <c r="H62" s="240"/>
      <c r="I62" s="242"/>
      <c r="J62" s="240"/>
      <c r="K62" s="242"/>
      <c r="L62" s="240"/>
      <c r="M62" s="242"/>
      <c r="N62" s="240"/>
      <c r="O62" s="242"/>
      <c r="P62" s="240"/>
      <c r="Q62" s="242"/>
      <c r="R62" s="240"/>
      <c r="S62" s="242"/>
      <c r="T62" s="240"/>
      <c r="U62" s="242"/>
      <c r="V62" s="240"/>
      <c r="W62" s="242"/>
      <c r="X62" s="240"/>
      <c r="Y62" s="242"/>
      <c r="Z62" s="240"/>
    </row>
    <row r="63" spans="1:29" ht="13.5" thickTop="1" thickBot="1" x14ac:dyDescent="0.25">
      <c r="B63" s="281"/>
      <c r="C63" s="811" t="s">
        <v>24</v>
      </c>
      <c r="D63" s="812"/>
      <c r="E63" s="813" t="s">
        <v>25</v>
      </c>
      <c r="F63" s="813"/>
      <c r="G63" s="798" t="s">
        <v>76</v>
      </c>
      <c r="H63" s="793"/>
      <c r="I63" s="792" t="s">
        <v>86</v>
      </c>
      <c r="J63" s="792"/>
      <c r="K63" s="798" t="s">
        <v>87</v>
      </c>
      <c r="L63" s="792"/>
      <c r="M63" s="798" t="s">
        <v>90</v>
      </c>
      <c r="N63" s="793"/>
      <c r="O63" s="798" t="s">
        <v>113</v>
      </c>
      <c r="P63" s="793"/>
      <c r="Q63" s="798" t="s">
        <v>118</v>
      </c>
      <c r="R63" s="793"/>
      <c r="S63" s="798" t="s">
        <v>131</v>
      </c>
      <c r="T63" s="793"/>
      <c r="U63" s="798" t="s">
        <v>139</v>
      </c>
      <c r="V63" s="793"/>
      <c r="W63" s="798" t="s">
        <v>141</v>
      </c>
      <c r="X63" s="793"/>
      <c r="Y63" s="798" t="s">
        <v>143</v>
      </c>
      <c r="Z63" s="793"/>
      <c r="AB63" s="823" t="s">
        <v>105</v>
      </c>
      <c r="AC63" s="824"/>
    </row>
    <row r="64" spans="1:29" ht="12" x14ac:dyDescent="0.2">
      <c r="B64" s="51" t="s">
        <v>26</v>
      </c>
      <c r="C64" s="127"/>
      <c r="D64" s="128"/>
      <c r="E64" s="7"/>
      <c r="F64" s="7"/>
      <c r="G64" s="299"/>
      <c r="H64" s="335"/>
      <c r="I64" s="234"/>
      <c r="J64" s="234"/>
      <c r="K64" s="299"/>
      <c r="L64" s="234"/>
      <c r="M64" s="299"/>
      <c r="N64" s="335"/>
      <c r="O64" s="299"/>
      <c r="P64" s="335"/>
      <c r="Q64" s="299"/>
      <c r="R64" s="335"/>
      <c r="S64" s="299"/>
      <c r="T64" s="335"/>
      <c r="U64" s="299"/>
      <c r="V64" s="335"/>
      <c r="W64" s="299"/>
      <c r="X64" s="335"/>
      <c r="Y64" s="299"/>
      <c r="Z64" s="335"/>
      <c r="AB64" s="560"/>
      <c r="AC64" s="506"/>
    </row>
    <row r="65" spans="2:29" ht="12" x14ac:dyDescent="0.2">
      <c r="B65" s="52" t="s">
        <v>27</v>
      </c>
      <c r="C65" s="129"/>
      <c r="D65" s="166"/>
      <c r="E65" s="4"/>
      <c r="F65" s="125"/>
      <c r="G65" s="258"/>
      <c r="H65" s="328"/>
      <c r="I65" s="235"/>
      <c r="J65" s="248"/>
      <c r="K65" s="258"/>
      <c r="L65" s="248"/>
      <c r="M65" s="258"/>
      <c r="N65" s="328"/>
      <c r="O65" s="258"/>
      <c r="P65" s="328"/>
      <c r="Q65" s="258"/>
      <c r="R65" s="328"/>
      <c r="S65" s="258"/>
      <c r="T65" s="328"/>
      <c r="U65" s="258"/>
      <c r="V65" s="328"/>
      <c r="W65" s="258"/>
      <c r="X65" s="328"/>
      <c r="Y65" s="258"/>
      <c r="Z65" s="328"/>
      <c r="AB65" s="211"/>
      <c r="AC65" s="575"/>
    </row>
    <row r="66" spans="2:29" ht="12" x14ac:dyDescent="0.2">
      <c r="B66" s="57" t="s">
        <v>28</v>
      </c>
      <c r="C66" s="129"/>
      <c r="D66" s="166">
        <f>14+10</f>
        <v>24</v>
      </c>
      <c r="E66" s="4"/>
      <c r="F66" s="125">
        <v>24</v>
      </c>
      <c r="G66" s="258"/>
      <c r="H66" s="328">
        <v>19</v>
      </c>
      <c r="I66" s="235"/>
      <c r="J66" s="248">
        <v>25</v>
      </c>
      <c r="K66" s="258"/>
      <c r="L66" s="248">
        <v>28</v>
      </c>
      <c r="M66" s="258"/>
      <c r="N66" s="328">
        <v>30</v>
      </c>
      <c r="O66" s="258"/>
      <c r="P66" s="328">
        <v>30</v>
      </c>
      <c r="Q66" s="258"/>
      <c r="R66" s="328">
        <v>33</v>
      </c>
      <c r="S66" s="258"/>
      <c r="T66" s="328">
        <v>32</v>
      </c>
      <c r="U66" s="258"/>
      <c r="V66" s="328">
        <v>31</v>
      </c>
      <c r="W66" s="258"/>
      <c r="X66" s="328">
        <v>27</v>
      </c>
      <c r="Y66" s="258"/>
      <c r="Z66" s="328">
        <v>26</v>
      </c>
      <c r="AB66" s="209"/>
      <c r="AC66" s="13">
        <f t="shared" ref="AC66:AC67" si="8">AVERAGE(X66,V66,T66,R66,Z66)</f>
        <v>29.8</v>
      </c>
    </row>
    <row r="67" spans="2:29" ht="12" x14ac:dyDescent="0.2">
      <c r="B67" s="57" t="s">
        <v>104</v>
      </c>
      <c r="C67" s="129"/>
      <c r="D67" s="166">
        <v>0</v>
      </c>
      <c r="E67" s="4"/>
      <c r="F67" s="125">
        <v>1</v>
      </c>
      <c r="G67" s="258"/>
      <c r="H67" s="328">
        <v>1</v>
      </c>
      <c r="I67" s="235"/>
      <c r="J67" s="248">
        <v>2</v>
      </c>
      <c r="K67" s="258"/>
      <c r="L67" s="248">
        <v>2</v>
      </c>
      <c r="M67" s="258"/>
      <c r="N67" s="328">
        <v>1</v>
      </c>
      <c r="O67" s="258"/>
      <c r="P67" s="328">
        <v>0</v>
      </c>
      <c r="Q67" s="258"/>
      <c r="R67" s="328">
        <v>5</v>
      </c>
      <c r="S67" s="258"/>
      <c r="T67" s="328">
        <v>4</v>
      </c>
      <c r="U67" s="258"/>
      <c r="V67" s="328">
        <v>4</v>
      </c>
      <c r="W67" s="258"/>
      <c r="X67" s="328">
        <v>5</v>
      </c>
      <c r="Y67" s="258"/>
      <c r="Z67" s="328">
        <v>5</v>
      </c>
      <c r="AB67" s="209"/>
      <c r="AC67" s="13">
        <f t="shared" si="8"/>
        <v>4.5999999999999996</v>
      </c>
    </row>
    <row r="68" spans="2:29" ht="12" x14ac:dyDescent="0.2">
      <c r="B68" s="52" t="s">
        <v>29</v>
      </c>
      <c r="C68" s="129"/>
      <c r="D68" s="132"/>
      <c r="E68" s="4"/>
      <c r="F68" s="39"/>
      <c r="G68" s="258"/>
      <c r="H68" s="329"/>
      <c r="I68" s="235"/>
      <c r="J68" s="239"/>
      <c r="K68" s="258"/>
      <c r="L68" s="239"/>
      <c r="M68" s="258"/>
      <c r="N68" s="329"/>
      <c r="O68" s="258"/>
      <c r="P68" s="329"/>
      <c r="Q68" s="258"/>
      <c r="R68" s="329"/>
      <c r="S68" s="258"/>
      <c r="T68" s="329"/>
      <c r="U68" s="258"/>
      <c r="V68" s="329"/>
      <c r="W68" s="258"/>
      <c r="X68" s="329"/>
      <c r="Y68" s="258"/>
      <c r="Z68" s="329"/>
      <c r="AB68" s="209"/>
      <c r="AC68" s="13"/>
    </row>
    <row r="69" spans="2:29" ht="12" x14ac:dyDescent="0.2">
      <c r="B69" s="57" t="s">
        <v>28</v>
      </c>
      <c r="C69" s="129"/>
      <c r="D69" s="132">
        <f>1+1</f>
        <v>2</v>
      </c>
      <c r="E69" s="4"/>
      <c r="F69" s="39">
        <v>2</v>
      </c>
      <c r="G69" s="258"/>
      <c r="H69" s="329">
        <v>7</v>
      </c>
      <c r="I69" s="235"/>
      <c r="J69" s="239">
        <v>3</v>
      </c>
      <c r="K69" s="258"/>
      <c r="L69" s="239">
        <v>3</v>
      </c>
      <c r="M69" s="258"/>
      <c r="N69" s="329">
        <v>3</v>
      </c>
      <c r="O69" s="258"/>
      <c r="P69" s="329">
        <v>4</v>
      </c>
      <c r="Q69" s="258"/>
      <c r="R69" s="329">
        <v>4</v>
      </c>
      <c r="S69" s="258"/>
      <c r="T69" s="329">
        <v>2</v>
      </c>
      <c r="U69" s="258"/>
      <c r="V69" s="329">
        <v>2</v>
      </c>
      <c r="W69" s="258"/>
      <c r="X69" s="329">
        <v>10</v>
      </c>
      <c r="Y69" s="258"/>
      <c r="Z69" s="329">
        <v>8</v>
      </c>
      <c r="AB69" s="209"/>
      <c r="AC69" s="13">
        <f t="shared" ref="AC69:AC71" si="9">AVERAGE(X69,V69,T69,R69,Z69)</f>
        <v>5.2</v>
      </c>
    </row>
    <row r="70" spans="2:29" ht="12" x14ac:dyDescent="0.2">
      <c r="B70" s="282" t="s">
        <v>104</v>
      </c>
      <c r="C70" s="129"/>
      <c r="D70" s="132">
        <v>1</v>
      </c>
      <c r="E70" s="4"/>
      <c r="F70" s="39">
        <v>0</v>
      </c>
      <c r="G70" s="258"/>
      <c r="H70" s="329">
        <v>0</v>
      </c>
      <c r="I70" s="235"/>
      <c r="J70" s="239">
        <v>0</v>
      </c>
      <c r="K70" s="258"/>
      <c r="L70" s="239">
        <v>1</v>
      </c>
      <c r="M70" s="258"/>
      <c r="N70" s="329">
        <v>1</v>
      </c>
      <c r="O70" s="258"/>
      <c r="P70" s="329">
        <v>1</v>
      </c>
      <c r="Q70" s="258"/>
      <c r="R70" s="329">
        <v>1</v>
      </c>
      <c r="S70" s="258"/>
      <c r="T70" s="329">
        <v>1</v>
      </c>
      <c r="U70" s="258"/>
      <c r="V70" s="329">
        <v>0</v>
      </c>
      <c r="W70" s="258"/>
      <c r="X70" s="329">
        <v>1</v>
      </c>
      <c r="Y70" s="258"/>
      <c r="Z70" s="329">
        <v>1</v>
      </c>
      <c r="AB70" s="209"/>
      <c r="AC70" s="13">
        <f t="shared" si="9"/>
        <v>0.8</v>
      </c>
    </row>
    <row r="71" spans="2:29" thickBot="1" x14ac:dyDescent="0.25">
      <c r="B71" s="56" t="s">
        <v>14</v>
      </c>
      <c r="C71" s="167"/>
      <c r="D71" s="180">
        <f>SUM(D66:D70)</f>
        <v>27</v>
      </c>
      <c r="E71" s="83"/>
      <c r="F71" s="82">
        <f>SUM(F66:F70)</f>
        <v>27</v>
      </c>
      <c r="G71" s="304"/>
      <c r="H71" s="330">
        <v>27</v>
      </c>
      <c r="I71" s="327"/>
      <c r="J71" s="82">
        <f>SUM(J66:J70)</f>
        <v>30</v>
      </c>
      <c r="K71" s="304"/>
      <c r="L71" s="82">
        <f>SUM(L66:L70)</f>
        <v>34</v>
      </c>
      <c r="M71" s="304"/>
      <c r="N71" s="180">
        <f>SUM(N66:N70)</f>
        <v>35</v>
      </c>
      <c r="O71" s="304"/>
      <c r="P71" s="180">
        <f>SUM(P66:P70)</f>
        <v>35</v>
      </c>
      <c r="Q71" s="304"/>
      <c r="R71" s="330">
        <f>SUM(R66:R70)</f>
        <v>43</v>
      </c>
      <c r="S71" s="304"/>
      <c r="T71" s="330">
        <f>SUM(T66:T70)</f>
        <v>39</v>
      </c>
      <c r="U71" s="304"/>
      <c r="V71" s="330">
        <f>SUM(V66:V70)</f>
        <v>37</v>
      </c>
      <c r="W71" s="304"/>
      <c r="X71" s="330">
        <f>SUM(X66:X70)</f>
        <v>43</v>
      </c>
      <c r="Y71" s="304"/>
      <c r="Z71" s="330">
        <f>SUM(Z66:Z70)</f>
        <v>40</v>
      </c>
      <c r="AB71" s="560"/>
      <c r="AC71" s="413">
        <f t="shared" si="9"/>
        <v>40.4</v>
      </c>
    </row>
    <row r="72" spans="2:29" thickTop="1" x14ac:dyDescent="0.2">
      <c r="B72" s="289" t="s">
        <v>71</v>
      </c>
      <c r="C72" s="168"/>
      <c r="D72" s="169"/>
      <c r="E72" s="122"/>
      <c r="F72" s="165"/>
      <c r="G72" s="305" t="s">
        <v>69</v>
      </c>
      <c r="H72" s="372" t="s">
        <v>70</v>
      </c>
      <c r="I72" s="305" t="s">
        <v>69</v>
      </c>
      <c r="J72" s="372" t="s">
        <v>70</v>
      </c>
      <c r="K72" s="305" t="s">
        <v>69</v>
      </c>
      <c r="L72" s="372" t="s">
        <v>70</v>
      </c>
      <c r="M72" s="305" t="s">
        <v>69</v>
      </c>
      <c r="N72" s="372" t="s">
        <v>70</v>
      </c>
      <c r="O72" s="305" t="s">
        <v>69</v>
      </c>
      <c r="P72" s="372" t="s">
        <v>70</v>
      </c>
      <c r="Q72" s="305" t="s">
        <v>69</v>
      </c>
      <c r="R72" s="372" t="s">
        <v>70</v>
      </c>
      <c r="S72" s="305" t="s">
        <v>69</v>
      </c>
      <c r="T72" s="372" t="s">
        <v>70</v>
      </c>
      <c r="U72" s="305" t="s">
        <v>69</v>
      </c>
      <c r="V72" s="372" t="s">
        <v>70</v>
      </c>
      <c r="W72" s="305" t="s">
        <v>69</v>
      </c>
      <c r="X72" s="372" t="s">
        <v>70</v>
      </c>
      <c r="Y72" s="305" t="s">
        <v>69</v>
      </c>
      <c r="Z72" s="372" t="s">
        <v>70</v>
      </c>
      <c r="AB72" s="576" t="s">
        <v>69</v>
      </c>
      <c r="AC72" s="577" t="s">
        <v>70</v>
      </c>
    </row>
    <row r="73" spans="2:29" ht="12" x14ac:dyDescent="0.2">
      <c r="B73" s="57" t="s">
        <v>53</v>
      </c>
      <c r="C73" s="170">
        <v>25</v>
      </c>
      <c r="D73" s="171">
        <f>C73/D$71</f>
        <v>0.92592592592592593</v>
      </c>
      <c r="E73" s="123">
        <v>26</v>
      </c>
      <c r="F73" s="177">
        <f t="shared" ref="F73:H80" si="10">E73/F$71</f>
        <v>0.96296296296296291</v>
      </c>
      <c r="G73" s="170">
        <v>26</v>
      </c>
      <c r="H73" s="188">
        <f t="shared" si="10"/>
        <v>0.96296296296296291</v>
      </c>
      <c r="I73" s="123">
        <v>28</v>
      </c>
      <c r="J73" s="177">
        <f t="shared" ref="J73:L80" si="11">I73/J$71</f>
        <v>0.93333333333333335</v>
      </c>
      <c r="K73" s="170">
        <v>28</v>
      </c>
      <c r="L73" s="177">
        <f t="shared" si="11"/>
        <v>0.82352941176470584</v>
      </c>
      <c r="M73" s="170">
        <v>31</v>
      </c>
      <c r="N73" s="188">
        <f t="shared" ref="N73:P80" si="12">M73/N$71</f>
        <v>0.88571428571428568</v>
      </c>
      <c r="O73" s="170">
        <v>34</v>
      </c>
      <c r="P73" s="188">
        <f t="shared" si="12"/>
        <v>0.97142857142857142</v>
      </c>
      <c r="Q73" s="170">
        <v>42</v>
      </c>
      <c r="R73" s="188">
        <f t="shared" ref="R73:T80" si="13">Q73/R$71</f>
        <v>0.97674418604651159</v>
      </c>
      <c r="S73" s="170">
        <f>5+34</f>
        <v>39</v>
      </c>
      <c r="T73" s="188">
        <f t="shared" si="13"/>
        <v>1</v>
      </c>
      <c r="U73" s="170">
        <v>36</v>
      </c>
      <c r="V73" s="188">
        <f t="shared" ref="V73:V80" si="14">U73/V$71</f>
        <v>0.97297297297297303</v>
      </c>
      <c r="W73" s="170">
        <v>42</v>
      </c>
      <c r="X73" s="188">
        <f t="shared" ref="X73:X80" si="15">W73/X$71</f>
        <v>0.97674418604651159</v>
      </c>
      <c r="Y73" s="170">
        <v>38</v>
      </c>
      <c r="Z73" s="188">
        <f t="shared" ref="Z73:Z80" si="16">Y73/Z$71</f>
        <v>0.95</v>
      </c>
      <c r="AA73" s="506"/>
      <c r="AB73" s="578">
        <f t="shared" ref="AB73:AB80" si="17">AVERAGE(W73,U73,S73,Q73,Y73)</f>
        <v>39.4</v>
      </c>
      <c r="AC73" s="580">
        <f t="shared" ref="AC73:AC80" si="18">AVERAGE(X73,V73,T73,R73,Z73)</f>
        <v>0.97529226901319921</v>
      </c>
    </row>
    <row r="74" spans="2:29" ht="12" x14ac:dyDescent="0.2">
      <c r="B74" s="102" t="s">
        <v>54</v>
      </c>
      <c r="C74" s="170">
        <v>0</v>
      </c>
      <c r="D74" s="171">
        <f t="shared" ref="D74:D92" si="19">C74/$D$71</f>
        <v>0</v>
      </c>
      <c r="E74" s="123">
        <v>0</v>
      </c>
      <c r="F74" s="177">
        <f t="shared" si="10"/>
        <v>0</v>
      </c>
      <c r="G74" s="170">
        <v>0</v>
      </c>
      <c r="H74" s="188">
        <f t="shared" si="10"/>
        <v>0</v>
      </c>
      <c r="I74" s="123">
        <v>0</v>
      </c>
      <c r="J74" s="177">
        <f t="shared" si="11"/>
        <v>0</v>
      </c>
      <c r="K74" s="170">
        <v>0</v>
      </c>
      <c r="L74" s="177">
        <f t="shared" si="11"/>
        <v>0</v>
      </c>
      <c r="M74" s="170">
        <v>0</v>
      </c>
      <c r="N74" s="188">
        <f t="shared" si="12"/>
        <v>0</v>
      </c>
      <c r="O74" s="170">
        <v>0</v>
      </c>
      <c r="P74" s="188">
        <f t="shared" si="12"/>
        <v>0</v>
      </c>
      <c r="Q74" s="170">
        <v>0</v>
      </c>
      <c r="R74" s="188">
        <f t="shared" si="13"/>
        <v>0</v>
      </c>
      <c r="S74" s="170">
        <f>0</f>
        <v>0</v>
      </c>
      <c r="T74" s="188">
        <f t="shared" si="13"/>
        <v>0</v>
      </c>
      <c r="U74" s="170">
        <v>0</v>
      </c>
      <c r="V74" s="188">
        <f t="shared" si="14"/>
        <v>0</v>
      </c>
      <c r="W74" s="170">
        <v>0</v>
      </c>
      <c r="X74" s="188">
        <f t="shared" si="15"/>
        <v>0</v>
      </c>
      <c r="Y74" s="170">
        <v>0</v>
      </c>
      <c r="Z74" s="188">
        <f t="shared" si="16"/>
        <v>0</v>
      </c>
      <c r="AA74" s="506"/>
      <c r="AB74" s="578">
        <f t="shared" si="17"/>
        <v>0</v>
      </c>
      <c r="AC74" s="580">
        <f t="shared" si="18"/>
        <v>0</v>
      </c>
    </row>
    <row r="75" spans="2:29" ht="12" x14ac:dyDescent="0.2">
      <c r="B75" s="102" t="s">
        <v>55</v>
      </c>
      <c r="C75" s="170">
        <v>0</v>
      </c>
      <c r="D75" s="171">
        <f t="shared" si="19"/>
        <v>0</v>
      </c>
      <c r="E75" s="123">
        <v>0</v>
      </c>
      <c r="F75" s="177">
        <f t="shared" si="10"/>
        <v>0</v>
      </c>
      <c r="G75" s="170">
        <v>0</v>
      </c>
      <c r="H75" s="188">
        <f t="shared" si="10"/>
        <v>0</v>
      </c>
      <c r="I75" s="123">
        <v>0</v>
      </c>
      <c r="J75" s="177">
        <f t="shared" si="11"/>
        <v>0</v>
      </c>
      <c r="K75" s="170">
        <v>0</v>
      </c>
      <c r="L75" s="177">
        <f t="shared" si="11"/>
        <v>0</v>
      </c>
      <c r="M75" s="170">
        <v>0</v>
      </c>
      <c r="N75" s="188">
        <f t="shared" si="12"/>
        <v>0</v>
      </c>
      <c r="O75" s="170">
        <v>0</v>
      </c>
      <c r="P75" s="188">
        <f t="shared" si="12"/>
        <v>0</v>
      </c>
      <c r="Q75" s="170">
        <v>0</v>
      </c>
      <c r="R75" s="188">
        <f t="shared" si="13"/>
        <v>0</v>
      </c>
      <c r="S75" s="170">
        <f>0</f>
        <v>0</v>
      </c>
      <c r="T75" s="188">
        <f t="shared" si="13"/>
        <v>0</v>
      </c>
      <c r="U75" s="170">
        <v>0</v>
      </c>
      <c r="V75" s="188">
        <f t="shared" si="14"/>
        <v>0</v>
      </c>
      <c r="W75" s="170">
        <v>0</v>
      </c>
      <c r="X75" s="188">
        <f t="shared" si="15"/>
        <v>0</v>
      </c>
      <c r="Y75" s="170">
        <v>0</v>
      </c>
      <c r="Z75" s="188">
        <f t="shared" si="16"/>
        <v>0</v>
      </c>
      <c r="AA75" s="506"/>
      <c r="AB75" s="578">
        <f t="shared" si="17"/>
        <v>0</v>
      </c>
      <c r="AC75" s="580">
        <f t="shared" si="18"/>
        <v>0</v>
      </c>
    </row>
    <row r="76" spans="2:29" ht="12" x14ac:dyDescent="0.2">
      <c r="B76" s="102" t="s">
        <v>56</v>
      </c>
      <c r="C76" s="170">
        <v>1</v>
      </c>
      <c r="D76" s="171">
        <f t="shared" si="19"/>
        <v>3.7037037037037035E-2</v>
      </c>
      <c r="E76" s="123">
        <v>0</v>
      </c>
      <c r="F76" s="177">
        <f t="shared" si="10"/>
        <v>0</v>
      </c>
      <c r="G76" s="170">
        <v>0</v>
      </c>
      <c r="H76" s="188">
        <f t="shared" si="10"/>
        <v>0</v>
      </c>
      <c r="I76" s="123">
        <v>0</v>
      </c>
      <c r="J76" s="177">
        <f t="shared" si="11"/>
        <v>0</v>
      </c>
      <c r="K76" s="170">
        <v>0</v>
      </c>
      <c r="L76" s="177">
        <f t="shared" si="11"/>
        <v>0</v>
      </c>
      <c r="M76" s="170">
        <v>0</v>
      </c>
      <c r="N76" s="188">
        <f t="shared" si="12"/>
        <v>0</v>
      </c>
      <c r="O76" s="170">
        <v>0</v>
      </c>
      <c r="P76" s="188">
        <f t="shared" si="12"/>
        <v>0</v>
      </c>
      <c r="Q76" s="170">
        <v>0</v>
      </c>
      <c r="R76" s="188">
        <f t="shared" si="13"/>
        <v>0</v>
      </c>
      <c r="S76" s="170">
        <f>0</f>
        <v>0</v>
      </c>
      <c r="T76" s="188">
        <f t="shared" si="13"/>
        <v>0</v>
      </c>
      <c r="U76" s="170">
        <v>0</v>
      </c>
      <c r="V76" s="188">
        <f t="shared" si="14"/>
        <v>0</v>
      </c>
      <c r="W76" s="170">
        <v>0</v>
      </c>
      <c r="X76" s="188">
        <f t="shared" si="15"/>
        <v>0</v>
      </c>
      <c r="Y76" s="170">
        <v>0</v>
      </c>
      <c r="Z76" s="188">
        <f t="shared" si="16"/>
        <v>0</v>
      </c>
      <c r="AA76" s="506"/>
      <c r="AB76" s="578">
        <f t="shared" si="17"/>
        <v>0</v>
      </c>
      <c r="AC76" s="580">
        <f t="shared" si="18"/>
        <v>0</v>
      </c>
    </row>
    <row r="77" spans="2:29" ht="12" x14ac:dyDescent="0.2">
      <c r="B77" s="102" t="s">
        <v>57</v>
      </c>
      <c r="C77" s="170">
        <v>1</v>
      </c>
      <c r="D77" s="171">
        <f t="shared" si="19"/>
        <v>3.7037037037037035E-2</v>
      </c>
      <c r="E77" s="123">
        <v>1</v>
      </c>
      <c r="F77" s="177">
        <f t="shared" si="10"/>
        <v>3.7037037037037035E-2</v>
      </c>
      <c r="G77" s="170">
        <v>0</v>
      </c>
      <c r="H77" s="188">
        <f t="shared" si="10"/>
        <v>0</v>
      </c>
      <c r="I77" s="123">
        <v>0</v>
      </c>
      <c r="J77" s="177">
        <f t="shared" si="11"/>
        <v>0</v>
      </c>
      <c r="K77" s="170">
        <v>0</v>
      </c>
      <c r="L77" s="177">
        <f t="shared" si="11"/>
        <v>0</v>
      </c>
      <c r="M77" s="170">
        <v>0</v>
      </c>
      <c r="N77" s="188">
        <f t="shared" si="12"/>
        <v>0</v>
      </c>
      <c r="O77" s="170">
        <v>0</v>
      </c>
      <c r="P77" s="188">
        <f t="shared" si="12"/>
        <v>0</v>
      </c>
      <c r="Q77" s="170">
        <v>0</v>
      </c>
      <c r="R77" s="188">
        <f t="shared" si="13"/>
        <v>0</v>
      </c>
      <c r="S77" s="170">
        <f>0</f>
        <v>0</v>
      </c>
      <c r="T77" s="188">
        <f t="shared" si="13"/>
        <v>0</v>
      </c>
      <c r="U77" s="170">
        <v>0</v>
      </c>
      <c r="V77" s="188">
        <f t="shared" si="14"/>
        <v>0</v>
      </c>
      <c r="W77" s="170">
        <v>0</v>
      </c>
      <c r="X77" s="188">
        <f t="shared" si="15"/>
        <v>0</v>
      </c>
      <c r="Y77" s="170">
        <v>0</v>
      </c>
      <c r="Z77" s="188">
        <f t="shared" si="16"/>
        <v>0</v>
      </c>
      <c r="AA77" s="506"/>
      <c r="AB77" s="578">
        <f t="shared" si="17"/>
        <v>0</v>
      </c>
      <c r="AC77" s="580">
        <f t="shared" si="18"/>
        <v>0</v>
      </c>
    </row>
    <row r="78" spans="2:29" ht="12" x14ac:dyDescent="0.2">
      <c r="B78" s="102" t="s">
        <v>58</v>
      </c>
      <c r="C78" s="170">
        <v>0</v>
      </c>
      <c r="D78" s="171">
        <f t="shared" si="19"/>
        <v>0</v>
      </c>
      <c r="E78" s="123">
        <v>0</v>
      </c>
      <c r="F78" s="177">
        <f t="shared" si="10"/>
        <v>0</v>
      </c>
      <c r="G78" s="170">
        <v>1</v>
      </c>
      <c r="H78" s="188">
        <f t="shared" si="10"/>
        <v>3.7037037037037035E-2</v>
      </c>
      <c r="I78" s="123">
        <v>2</v>
      </c>
      <c r="J78" s="177">
        <f t="shared" si="11"/>
        <v>6.6666666666666666E-2</v>
      </c>
      <c r="K78" s="170">
        <v>6</v>
      </c>
      <c r="L78" s="177">
        <f t="shared" si="11"/>
        <v>0.17647058823529413</v>
      </c>
      <c r="M78" s="170">
        <v>4</v>
      </c>
      <c r="N78" s="188">
        <f t="shared" si="12"/>
        <v>0.11428571428571428</v>
      </c>
      <c r="O78" s="170">
        <v>1</v>
      </c>
      <c r="P78" s="188">
        <f t="shared" si="12"/>
        <v>2.8571428571428571E-2</v>
      </c>
      <c r="Q78" s="170">
        <v>1</v>
      </c>
      <c r="R78" s="188">
        <f t="shared" si="13"/>
        <v>2.3255813953488372E-2</v>
      </c>
      <c r="S78" s="170">
        <f>0</f>
        <v>0</v>
      </c>
      <c r="T78" s="188">
        <f t="shared" si="13"/>
        <v>0</v>
      </c>
      <c r="U78" s="170">
        <v>1</v>
      </c>
      <c r="V78" s="188">
        <f t="shared" si="14"/>
        <v>2.7027027027027029E-2</v>
      </c>
      <c r="W78" s="170">
        <v>1</v>
      </c>
      <c r="X78" s="188">
        <f t="shared" si="15"/>
        <v>2.3255813953488372E-2</v>
      </c>
      <c r="Y78" s="170">
        <v>2</v>
      </c>
      <c r="Z78" s="188">
        <f t="shared" si="16"/>
        <v>0.05</v>
      </c>
      <c r="AA78" s="506"/>
      <c r="AB78" s="578">
        <f t="shared" si="17"/>
        <v>1</v>
      </c>
      <c r="AC78" s="580">
        <f t="shared" si="18"/>
        <v>2.4707730986800756E-2</v>
      </c>
    </row>
    <row r="79" spans="2:29" ht="12" x14ac:dyDescent="0.2">
      <c r="B79" s="102" t="s">
        <v>126</v>
      </c>
      <c r="C79" s="172"/>
      <c r="D79" s="171"/>
      <c r="E79" s="124"/>
      <c r="F79" s="177"/>
      <c r="G79" s="722"/>
      <c r="H79" s="723"/>
      <c r="I79" s="724"/>
      <c r="J79" s="725"/>
      <c r="K79" s="722"/>
      <c r="L79" s="725"/>
      <c r="M79" s="722"/>
      <c r="N79" s="723"/>
      <c r="O79" s="722"/>
      <c r="P79" s="723"/>
      <c r="Q79" s="172">
        <v>0</v>
      </c>
      <c r="R79" s="188">
        <f t="shared" si="13"/>
        <v>0</v>
      </c>
      <c r="S79" s="172">
        <f>0</f>
        <v>0</v>
      </c>
      <c r="T79" s="188">
        <f t="shared" si="13"/>
        <v>0</v>
      </c>
      <c r="U79" s="172">
        <v>0</v>
      </c>
      <c r="V79" s="188">
        <f t="shared" si="14"/>
        <v>0</v>
      </c>
      <c r="W79" s="172">
        <v>0</v>
      </c>
      <c r="X79" s="188">
        <f t="shared" si="15"/>
        <v>0</v>
      </c>
      <c r="Y79" s="172">
        <v>0</v>
      </c>
      <c r="Z79" s="188">
        <f t="shared" si="16"/>
        <v>0</v>
      </c>
      <c r="AA79" s="506"/>
      <c r="AB79" s="578">
        <f t="shared" si="17"/>
        <v>0</v>
      </c>
      <c r="AC79" s="580">
        <f t="shared" si="18"/>
        <v>0</v>
      </c>
    </row>
    <row r="80" spans="2:29" ht="12" x14ac:dyDescent="0.2">
      <c r="B80" s="102" t="s">
        <v>59</v>
      </c>
      <c r="C80" s="172">
        <v>0</v>
      </c>
      <c r="D80" s="171">
        <f t="shared" si="19"/>
        <v>0</v>
      </c>
      <c r="E80" s="124">
        <v>0</v>
      </c>
      <c r="F80" s="177">
        <f t="shared" si="10"/>
        <v>0</v>
      </c>
      <c r="G80" s="172">
        <v>0</v>
      </c>
      <c r="H80" s="188">
        <f t="shared" si="10"/>
        <v>0</v>
      </c>
      <c r="I80" s="124">
        <v>0</v>
      </c>
      <c r="J80" s="177">
        <f t="shared" si="11"/>
        <v>0</v>
      </c>
      <c r="K80" s="172">
        <v>0</v>
      </c>
      <c r="L80" s="177">
        <f t="shared" si="11"/>
        <v>0</v>
      </c>
      <c r="M80" s="172">
        <v>0</v>
      </c>
      <c r="N80" s="188">
        <f t="shared" si="12"/>
        <v>0</v>
      </c>
      <c r="O80" s="172">
        <v>0</v>
      </c>
      <c r="P80" s="188">
        <f t="shared" si="12"/>
        <v>0</v>
      </c>
      <c r="Q80" s="172">
        <v>0</v>
      </c>
      <c r="R80" s="188">
        <f t="shared" si="13"/>
        <v>0</v>
      </c>
      <c r="S80" s="172">
        <f>0</f>
        <v>0</v>
      </c>
      <c r="T80" s="188">
        <f t="shared" si="13"/>
        <v>0</v>
      </c>
      <c r="U80" s="172">
        <v>0</v>
      </c>
      <c r="V80" s="188">
        <f t="shared" si="14"/>
        <v>0</v>
      </c>
      <c r="W80" s="172">
        <v>0</v>
      </c>
      <c r="X80" s="188">
        <f t="shared" si="15"/>
        <v>0</v>
      </c>
      <c r="Y80" s="172">
        <v>0</v>
      </c>
      <c r="Z80" s="188">
        <f t="shared" si="16"/>
        <v>0</v>
      </c>
      <c r="AA80" s="506"/>
      <c r="AB80" s="578">
        <f t="shared" si="17"/>
        <v>0</v>
      </c>
      <c r="AC80" s="580">
        <f t="shared" si="18"/>
        <v>0</v>
      </c>
    </row>
    <row r="81" spans="1:29" ht="12" x14ac:dyDescent="0.2">
      <c r="B81" s="286" t="s">
        <v>72</v>
      </c>
      <c r="C81" s="173"/>
      <c r="D81" s="171"/>
      <c r="E81" s="182"/>
      <c r="F81" s="291"/>
      <c r="G81" s="309"/>
      <c r="H81" s="356"/>
      <c r="I81" s="182"/>
      <c r="J81" s="291"/>
      <c r="K81" s="309"/>
      <c r="L81" s="291"/>
      <c r="M81" s="309"/>
      <c r="N81" s="356"/>
      <c r="O81" s="309"/>
      <c r="P81" s="356"/>
      <c r="Q81" s="309"/>
      <c r="R81" s="356"/>
      <c r="S81" s="309"/>
      <c r="T81" s="356"/>
      <c r="U81" s="309"/>
      <c r="V81" s="356"/>
      <c r="W81" s="309"/>
      <c r="X81" s="356"/>
      <c r="Y81" s="309"/>
      <c r="Z81" s="356"/>
      <c r="AA81" s="506"/>
      <c r="AB81" s="578"/>
      <c r="AC81" s="580"/>
    </row>
    <row r="82" spans="1:29" ht="12" x14ac:dyDescent="0.2">
      <c r="B82" s="57" t="s">
        <v>60</v>
      </c>
      <c r="C82" s="185">
        <v>18</v>
      </c>
      <c r="D82" s="171">
        <f t="shared" si="19"/>
        <v>0.66666666666666663</v>
      </c>
      <c r="E82" s="125">
        <v>18</v>
      </c>
      <c r="F82" s="297">
        <f>E82/F$71</f>
        <v>0.66666666666666663</v>
      </c>
      <c r="G82" s="185">
        <v>21</v>
      </c>
      <c r="H82" s="357">
        <f>G82/H$71</f>
        <v>0.77777777777777779</v>
      </c>
      <c r="I82" s="248">
        <v>22</v>
      </c>
      <c r="J82" s="177">
        <f>I82/J$71</f>
        <v>0.73333333333333328</v>
      </c>
      <c r="K82" s="185">
        <v>25</v>
      </c>
      <c r="L82" s="177">
        <f>K82/L$71</f>
        <v>0.73529411764705888</v>
      </c>
      <c r="M82" s="185">
        <v>23</v>
      </c>
      <c r="N82" s="188">
        <f>M82/N$71</f>
        <v>0.65714285714285714</v>
      </c>
      <c r="O82" s="185">
        <v>23</v>
      </c>
      <c r="P82" s="188">
        <f>O82/P$71</f>
        <v>0.65714285714285714</v>
      </c>
      <c r="Q82" s="185">
        <v>23</v>
      </c>
      <c r="R82" s="188">
        <f>Q82/R$71</f>
        <v>0.53488372093023251</v>
      </c>
      <c r="S82" s="185">
        <f>20</f>
        <v>20</v>
      </c>
      <c r="T82" s="188">
        <f>S82/T$71</f>
        <v>0.51282051282051277</v>
      </c>
      <c r="U82" s="185">
        <v>19</v>
      </c>
      <c r="V82" s="188">
        <f>U82/V$71</f>
        <v>0.51351351351351349</v>
      </c>
      <c r="W82" s="185">
        <v>23</v>
      </c>
      <c r="X82" s="188">
        <f>W82/X$71</f>
        <v>0.53488372093023251</v>
      </c>
      <c r="Y82" s="185">
        <v>19</v>
      </c>
      <c r="Z82" s="188">
        <f>Y82/Z$71</f>
        <v>0.47499999999999998</v>
      </c>
      <c r="AA82" s="506"/>
      <c r="AB82" s="578">
        <f t="shared" ref="AB82:AB83" si="20">AVERAGE(W82,U82,S82,Q82,Y82)</f>
        <v>20.8</v>
      </c>
      <c r="AC82" s="580">
        <f t="shared" ref="AC82:AC83" si="21">AVERAGE(X82,V82,T82,R82,Z82)</f>
        <v>0.51422029363889821</v>
      </c>
    </row>
    <row r="83" spans="1:29" ht="12" x14ac:dyDescent="0.2">
      <c r="B83" s="57" t="s">
        <v>61</v>
      </c>
      <c r="C83" s="185">
        <v>9</v>
      </c>
      <c r="D83" s="171">
        <f t="shared" si="19"/>
        <v>0.33333333333333331</v>
      </c>
      <c r="E83" s="179">
        <v>9</v>
      </c>
      <c r="F83" s="297">
        <f>E83/F$71</f>
        <v>0.33333333333333331</v>
      </c>
      <c r="G83" s="190">
        <v>6</v>
      </c>
      <c r="H83" s="357">
        <f>G83/H$71</f>
        <v>0.22222222222222221</v>
      </c>
      <c r="I83" s="352">
        <v>8</v>
      </c>
      <c r="J83" s="177">
        <f>I83/J$71</f>
        <v>0.26666666666666666</v>
      </c>
      <c r="K83" s="190">
        <v>9</v>
      </c>
      <c r="L83" s="177">
        <f>K83/L$71</f>
        <v>0.26470588235294118</v>
      </c>
      <c r="M83" s="190">
        <v>12</v>
      </c>
      <c r="N83" s="188">
        <f>M83/N$71</f>
        <v>0.34285714285714286</v>
      </c>
      <c r="O83" s="190">
        <v>12</v>
      </c>
      <c r="P83" s="188">
        <f>O83/P$71</f>
        <v>0.34285714285714286</v>
      </c>
      <c r="Q83" s="190">
        <v>20</v>
      </c>
      <c r="R83" s="188">
        <f>Q83/R$71</f>
        <v>0.46511627906976744</v>
      </c>
      <c r="S83" s="190">
        <f>5+14</f>
        <v>19</v>
      </c>
      <c r="T83" s="188">
        <f>S83/T$71</f>
        <v>0.48717948717948717</v>
      </c>
      <c r="U83" s="190">
        <v>18</v>
      </c>
      <c r="V83" s="188">
        <f>U83/V$71</f>
        <v>0.48648648648648651</v>
      </c>
      <c r="W83" s="190">
        <v>20</v>
      </c>
      <c r="X83" s="188">
        <f>W83/X$71</f>
        <v>0.46511627906976744</v>
      </c>
      <c r="Y83" s="190">
        <v>21</v>
      </c>
      <c r="Z83" s="188">
        <f>Y83/Z$71</f>
        <v>0.52500000000000002</v>
      </c>
      <c r="AA83" s="506"/>
      <c r="AB83" s="578">
        <f t="shared" si="20"/>
        <v>19.600000000000001</v>
      </c>
      <c r="AC83" s="580">
        <f t="shared" si="21"/>
        <v>0.48577970636110174</v>
      </c>
    </row>
    <row r="84" spans="1:29" ht="12" x14ac:dyDescent="0.2">
      <c r="B84" s="286" t="s">
        <v>73</v>
      </c>
      <c r="C84" s="174"/>
      <c r="D84" s="171"/>
      <c r="E84" s="183"/>
      <c r="F84" s="297"/>
      <c r="G84" s="307"/>
      <c r="H84" s="357"/>
      <c r="I84" s="353"/>
      <c r="J84" s="177"/>
      <c r="K84" s="307"/>
      <c r="L84" s="177"/>
      <c r="M84" s="307"/>
      <c r="N84" s="188"/>
      <c r="O84" s="307"/>
      <c r="P84" s="188"/>
      <c r="Q84" s="307"/>
      <c r="R84" s="188"/>
      <c r="S84" s="307"/>
      <c r="T84" s="188"/>
      <c r="U84" s="307"/>
      <c r="V84" s="188"/>
      <c r="W84" s="307"/>
      <c r="X84" s="188"/>
      <c r="Y84" s="307"/>
      <c r="Z84" s="188"/>
      <c r="AA84" s="506"/>
      <c r="AB84" s="578"/>
      <c r="AC84" s="580"/>
    </row>
    <row r="85" spans="1:29" ht="12" x14ac:dyDescent="0.2">
      <c r="B85" s="57" t="s">
        <v>62</v>
      </c>
      <c r="C85" s="181">
        <v>16</v>
      </c>
      <c r="D85" s="171">
        <f t="shared" si="19"/>
        <v>0.59259259259259256</v>
      </c>
      <c r="E85" s="179">
        <v>17</v>
      </c>
      <c r="F85" s="297">
        <f>E85/F$71</f>
        <v>0.62962962962962965</v>
      </c>
      <c r="G85" s="190">
        <v>14</v>
      </c>
      <c r="H85" s="357">
        <f>G85/H$71</f>
        <v>0.51851851851851849</v>
      </c>
      <c r="I85" s="352">
        <v>17</v>
      </c>
      <c r="J85" s="177">
        <f>I85/J$71</f>
        <v>0.56666666666666665</v>
      </c>
      <c r="K85" s="190">
        <v>18</v>
      </c>
      <c r="L85" s="177">
        <f>K85/L$71</f>
        <v>0.52941176470588236</v>
      </c>
      <c r="M85" s="190">
        <v>21</v>
      </c>
      <c r="N85" s="188">
        <f>M85/N$71</f>
        <v>0.6</v>
      </c>
      <c r="O85" s="190">
        <v>20</v>
      </c>
      <c r="P85" s="188">
        <f>O85/P$71</f>
        <v>0.5714285714285714</v>
      </c>
      <c r="Q85" s="190">
        <v>22</v>
      </c>
      <c r="R85" s="188">
        <f>Q85/R$71</f>
        <v>0.51162790697674421</v>
      </c>
      <c r="S85" s="190">
        <f>20</f>
        <v>20</v>
      </c>
      <c r="T85" s="188">
        <f>S85/T$71</f>
        <v>0.51282051282051277</v>
      </c>
      <c r="U85" s="190">
        <v>20</v>
      </c>
      <c r="V85" s="188">
        <f>U85/V$71</f>
        <v>0.54054054054054057</v>
      </c>
      <c r="W85" s="190">
        <v>21</v>
      </c>
      <c r="X85" s="188">
        <f>W85/X$71</f>
        <v>0.48837209302325579</v>
      </c>
      <c r="Y85" s="190">
        <v>19</v>
      </c>
      <c r="Z85" s="188">
        <f>Y85/Z$71</f>
        <v>0.47499999999999998</v>
      </c>
      <c r="AA85" s="506"/>
      <c r="AB85" s="578">
        <f t="shared" ref="AB85:AB87" si="22">AVERAGE(W85,U85,S85,Q85,Y85)</f>
        <v>20.399999999999999</v>
      </c>
      <c r="AC85" s="580">
        <f t="shared" ref="AC85:AC87" si="23">AVERAGE(X85,V85,T85,R85,Z85)</f>
        <v>0.50567221067221069</v>
      </c>
    </row>
    <row r="86" spans="1:29" ht="12" x14ac:dyDescent="0.2">
      <c r="B86" s="57" t="s">
        <v>63</v>
      </c>
      <c r="C86" s="181">
        <v>11</v>
      </c>
      <c r="D86" s="171">
        <f t="shared" si="19"/>
        <v>0.40740740740740738</v>
      </c>
      <c r="E86" s="179">
        <v>8</v>
      </c>
      <c r="F86" s="297">
        <f>E86/F$71</f>
        <v>0.29629629629629628</v>
      </c>
      <c r="G86" s="190">
        <v>9</v>
      </c>
      <c r="H86" s="357">
        <f>G86/H$71</f>
        <v>0.33333333333333331</v>
      </c>
      <c r="I86" s="352">
        <v>9</v>
      </c>
      <c r="J86" s="177">
        <f>I86/J$71</f>
        <v>0.3</v>
      </c>
      <c r="K86" s="190">
        <v>11</v>
      </c>
      <c r="L86" s="177">
        <f>K86/L$71</f>
        <v>0.3235294117647059</v>
      </c>
      <c r="M86" s="190">
        <v>8</v>
      </c>
      <c r="N86" s="188">
        <f>M86/N$71</f>
        <v>0.22857142857142856</v>
      </c>
      <c r="O86" s="190">
        <v>8</v>
      </c>
      <c r="P86" s="188">
        <f>O86/P$71</f>
        <v>0.22857142857142856</v>
      </c>
      <c r="Q86" s="190">
        <v>6</v>
      </c>
      <c r="R86" s="188">
        <f>Q86/R$71</f>
        <v>0.13953488372093023</v>
      </c>
      <c r="S86" s="190">
        <f>5</f>
        <v>5</v>
      </c>
      <c r="T86" s="188">
        <f>S86/T$71</f>
        <v>0.12820512820512819</v>
      </c>
      <c r="U86" s="190">
        <v>5</v>
      </c>
      <c r="V86" s="188">
        <f>U86/V$71</f>
        <v>0.13513513513513514</v>
      </c>
      <c r="W86" s="190">
        <v>5</v>
      </c>
      <c r="X86" s="188">
        <f>W86/X$71</f>
        <v>0.11627906976744186</v>
      </c>
      <c r="Y86" s="190">
        <v>7</v>
      </c>
      <c r="Z86" s="188">
        <f>Y86/Z$71</f>
        <v>0.17499999999999999</v>
      </c>
      <c r="AA86" s="506"/>
      <c r="AB86" s="578">
        <f t="shared" si="22"/>
        <v>5.6</v>
      </c>
      <c r="AC86" s="580">
        <f t="shared" si="23"/>
        <v>0.1388308433657271</v>
      </c>
    </row>
    <row r="87" spans="1:29" ht="12" x14ac:dyDescent="0.2">
      <c r="B87" s="57" t="s">
        <v>64</v>
      </c>
      <c r="C87" s="181">
        <v>0</v>
      </c>
      <c r="D87" s="171">
        <f t="shared" si="19"/>
        <v>0</v>
      </c>
      <c r="E87" s="179">
        <v>2</v>
      </c>
      <c r="F87" s="297">
        <f>E87/F$71</f>
        <v>7.407407407407407E-2</v>
      </c>
      <c r="G87" s="190">
        <v>4</v>
      </c>
      <c r="H87" s="357">
        <f>G87/H$71</f>
        <v>0.14814814814814814</v>
      </c>
      <c r="I87" s="352">
        <v>4</v>
      </c>
      <c r="J87" s="177">
        <f>I87/J$71</f>
        <v>0.13333333333333333</v>
      </c>
      <c r="K87" s="190">
        <v>5</v>
      </c>
      <c r="L87" s="177">
        <f>K87/L$71</f>
        <v>0.14705882352941177</v>
      </c>
      <c r="M87" s="190">
        <v>6</v>
      </c>
      <c r="N87" s="188">
        <f>M87/N$71</f>
        <v>0.17142857142857143</v>
      </c>
      <c r="O87" s="190">
        <v>7</v>
      </c>
      <c r="P87" s="188">
        <f>O87/P$71</f>
        <v>0.2</v>
      </c>
      <c r="Q87" s="190">
        <v>15</v>
      </c>
      <c r="R87" s="188">
        <f>Q87/R$71</f>
        <v>0.34883720930232559</v>
      </c>
      <c r="S87" s="190">
        <f>5+9</f>
        <v>14</v>
      </c>
      <c r="T87" s="188">
        <f>S87/T$71</f>
        <v>0.35897435897435898</v>
      </c>
      <c r="U87" s="190">
        <v>12</v>
      </c>
      <c r="V87" s="188">
        <f>U87/V$71</f>
        <v>0.32432432432432434</v>
      </c>
      <c r="W87" s="190">
        <v>17</v>
      </c>
      <c r="X87" s="188">
        <f>W87/X$71</f>
        <v>0.39534883720930231</v>
      </c>
      <c r="Y87" s="190">
        <v>14</v>
      </c>
      <c r="Z87" s="188">
        <f>Y87/Z$71</f>
        <v>0.35</v>
      </c>
      <c r="AA87" s="506"/>
      <c r="AB87" s="578">
        <f t="shared" si="22"/>
        <v>14.4</v>
      </c>
      <c r="AC87" s="580">
        <f t="shared" si="23"/>
        <v>0.35549694596206222</v>
      </c>
    </row>
    <row r="88" spans="1:29" ht="12" x14ac:dyDescent="0.2">
      <c r="B88" s="286" t="s">
        <v>74</v>
      </c>
      <c r="C88" s="174"/>
      <c r="D88" s="171"/>
      <c r="E88" s="183"/>
      <c r="F88" s="297"/>
      <c r="G88" s="307"/>
      <c r="H88" s="357"/>
      <c r="I88" s="353"/>
      <c r="J88" s="177"/>
      <c r="K88" s="307"/>
      <c r="L88" s="177"/>
      <c r="M88" s="307"/>
      <c r="N88" s="188"/>
      <c r="O88" s="307"/>
      <c r="P88" s="188"/>
      <c r="Q88" s="307"/>
      <c r="R88" s="188"/>
      <c r="S88" s="307"/>
      <c r="T88" s="188"/>
      <c r="U88" s="307"/>
      <c r="V88" s="188"/>
      <c r="W88" s="307"/>
      <c r="X88" s="188"/>
      <c r="Y88" s="307"/>
      <c r="Z88" s="188"/>
      <c r="AA88" s="506"/>
      <c r="AB88" s="578"/>
      <c r="AC88" s="580"/>
    </row>
    <row r="89" spans="1:29" ht="12" x14ac:dyDescent="0.2">
      <c r="B89" s="57" t="s">
        <v>65</v>
      </c>
      <c r="C89" s="181">
        <v>26</v>
      </c>
      <c r="D89" s="171">
        <f t="shared" si="19"/>
        <v>0.96296296296296291</v>
      </c>
      <c r="E89" s="179">
        <v>26</v>
      </c>
      <c r="F89" s="297">
        <f>E89/F$71</f>
        <v>0.96296296296296291</v>
      </c>
      <c r="G89" s="190">
        <v>26</v>
      </c>
      <c r="H89" s="357">
        <f>G89/H$71</f>
        <v>0.96296296296296291</v>
      </c>
      <c r="I89" s="352">
        <v>27</v>
      </c>
      <c r="J89" s="177">
        <f>I89/J$71</f>
        <v>0.9</v>
      </c>
      <c r="K89" s="190">
        <v>33</v>
      </c>
      <c r="L89" s="177">
        <f>K89/L$71</f>
        <v>0.97058823529411764</v>
      </c>
      <c r="M89" s="190">
        <v>33</v>
      </c>
      <c r="N89" s="188">
        <f>M89/N$71</f>
        <v>0.94285714285714284</v>
      </c>
      <c r="O89" s="190">
        <v>33</v>
      </c>
      <c r="P89" s="188">
        <f>O89/P$71</f>
        <v>0.94285714285714284</v>
      </c>
      <c r="Q89" s="190">
        <v>41</v>
      </c>
      <c r="R89" s="188">
        <f>Q89/R$71</f>
        <v>0.95348837209302328</v>
      </c>
      <c r="S89" s="190">
        <f>5+32</f>
        <v>37</v>
      </c>
      <c r="T89" s="188">
        <f>S89/T$71</f>
        <v>0.94871794871794868</v>
      </c>
      <c r="U89" s="190">
        <v>36</v>
      </c>
      <c r="V89" s="188">
        <f>U89/V$71</f>
        <v>0.97297297297297303</v>
      </c>
      <c r="W89" s="190">
        <v>41</v>
      </c>
      <c r="X89" s="188">
        <f>W89/X$71</f>
        <v>0.95348837209302328</v>
      </c>
      <c r="Y89" s="190">
        <v>40</v>
      </c>
      <c r="Z89" s="188">
        <f>Y89/Z$71</f>
        <v>1</v>
      </c>
      <c r="AA89" s="506"/>
      <c r="AB89" s="578">
        <f t="shared" ref="AB89:AB92" si="24">AVERAGE(W89,U89,S89,Q89,Y89)</f>
        <v>39</v>
      </c>
      <c r="AC89" s="580">
        <f t="shared" ref="AC89:AC92" si="25">AVERAGE(X89,V89,T89,R89,Z89)</f>
        <v>0.96573353317539357</v>
      </c>
    </row>
    <row r="90" spans="1:29" ht="12" x14ac:dyDescent="0.2">
      <c r="B90" s="57" t="s">
        <v>66</v>
      </c>
      <c r="C90" s="181">
        <v>1</v>
      </c>
      <c r="D90" s="171">
        <f t="shared" si="19"/>
        <v>3.7037037037037035E-2</v>
      </c>
      <c r="E90" s="179">
        <v>1</v>
      </c>
      <c r="F90" s="297">
        <f>E90/F$71</f>
        <v>3.7037037037037035E-2</v>
      </c>
      <c r="G90" s="190">
        <v>1</v>
      </c>
      <c r="H90" s="357">
        <f>G90/H$71</f>
        <v>3.7037037037037035E-2</v>
      </c>
      <c r="I90" s="352">
        <v>3</v>
      </c>
      <c r="J90" s="177">
        <f>I90/J$71</f>
        <v>0.1</v>
      </c>
      <c r="K90" s="190">
        <v>1</v>
      </c>
      <c r="L90" s="177">
        <f>K90/L$71</f>
        <v>2.9411764705882353E-2</v>
      </c>
      <c r="M90" s="190">
        <v>2</v>
      </c>
      <c r="N90" s="188">
        <f>M90/N$71</f>
        <v>5.7142857142857141E-2</v>
      </c>
      <c r="O90" s="190">
        <v>2</v>
      </c>
      <c r="P90" s="188">
        <f>O90/P$71</f>
        <v>5.7142857142857141E-2</v>
      </c>
      <c r="Q90" s="190">
        <v>2</v>
      </c>
      <c r="R90" s="188">
        <f>Q90/R$71</f>
        <v>4.6511627906976744E-2</v>
      </c>
      <c r="S90" s="190">
        <f>2</f>
        <v>2</v>
      </c>
      <c r="T90" s="188">
        <f>S90/T$71</f>
        <v>5.128205128205128E-2</v>
      </c>
      <c r="U90" s="190">
        <v>1</v>
      </c>
      <c r="V90" s="188">
        <f>U90/V$71</f>
        <v>2.7027027027027029E-2</v>
      </c>
      <c r="W90" s="190">
        <v>2</v>
      </c>
      <c r="X90" s="188">
        <f>W90/X$71</f>
        <v>4.6511627906976744E-2</v>
      </c>
      <c r="Y90" s="190">
        <v>0</v>
      </c>
      <c r="Z90" s="188">
        <f>Y90/Z$71</f>
        <v>0</v>
      </c>
      <c r="AA90" s="506"/>
      <c r="AB90" s="578">
        <f t="shared" si="24"/>
        <v>1.4</v>
      </c>
      <c r="AC90" s="580">
        <f t="shared" si="25"/>
        <v>3.4266466824606358E-2</v>
      </c>
    </row>
    <row r="91" spans="1:29" ht="12" x14ac:dyDescent="0.2">
      <c r="B91" s="57" t="s">
        <v>67</v>
      </c>
      <c r="C91" s="181">
        <v>0</v>
      </c>
      <c r="D91" s="171">
        <f t="shared" si="19"/>
        <v>0</v>
      </c>
      <c r="E91" s="179">
        <v>0</v>
      </c>
      <c r="F91" s="297">
        <f>E91/F$71</f>
        <v>0</v>
      </c>
      <c r="G91" s="190">
        <v>0</v>
      </c>
      <c r="H91" s="357">
        <f>G91/H$71</f>
        <v>0</v>
      </c>
      <c r="I91" s="352">
        <v>0</v>
      </c>
      <c r="J91" s="177">
        <f>I91/J$71</f>
        <v>0</v>
      </c>
      <c r="K91" s="190">
        <v>0</v>
      </c>
      <c r="L91" s="177">
        <f>K91/L$71</f>
        <v>0</v>
      </c>
      <c r="M91" s="190">
        <v>0</v>
      </c>
      <c r="N91" s="188">
        <f>M91/N$71</f>
        <v>0</v>
      </c>
      <c r="O91" s="190">
        <v>0</v>
      </c>
      <c r="P91" s="188">
        <f>O91/P$71</f>
        <v>0</v>
      </c>
      <c r="Q91" s="190">
        <v>0</v>
      </c>
      <c r="R91" s="188">
        <f>Q91/R$71</f>
        <v>0</v>
      </c>
      <c r="S91" s="190">
        <f>0</f>
        <v>0</v>
      </c>
      <c r="T91" s="188">
        <f>S91/T$71</f>
        <v>0</v>
      </c>
      <c r="U91" s="190">
        <v>0</v>
      </c>
      <c r="V91" s="188">
        <f>U91/V$71</f>
        <v>0</v>
      </c>
      <c r="W91" s="190">
        <v>0</v>
      </c>
      <c r="X91" s="188">
        <f>W91/X$71</f>
        <v>0</v>
      </c>
      <c r="Y91" s="190">
        <v>0</v>
      </c>
      <c r="Z91" s="188">
        <f>Y91/Z$71</f>
        <v>0</v>
      </c>
      <c r="AA91" s="506"/>
      <c r="AB91" s="578">
        <f t="shared" si="24"/>
        <v>0</v>
      </c>
      <c r="AC91" s="580">
        <f t="shared" si="25"/>
        <v>0</v>
      </c>
    </row>
    <row r="92" spans="1:29" thickBot="1" x14ac:dyDescent="0.25">
      <c r="B92" s="290" t="s">
        <v>68</v>
      </c>
      <c r="C92" s="175">
        <v>0</v>
      </c>
      <c r="D92" s="176">
        <f t="shared" si="19"/>
        <v>0</v>
      </c>
      <c r="E92" s="184">
        <v>0</v>
      </c>
      <c r="F92" s="298">
        <f>E92/F$71</f>
        <v>0</v>
      </c>
      <c r="G92" s="310">
        <v>0</v>
      </c>
      <c r="H92" s="358">
        <f>G92/H$71</f>
        <v>0</v>
      </c>
      <c r="I92" s="354">
        <v>0</v>
      </c>
      <c r="J92" s="178">
        <f>I92/J$71</f>
        <v>0</v>
      </c>
      <c r="K92" s="310">
        <v>0</v>
      </c>
      <c r="L92" s="178">
        <f>K92/L$71</f>
        <v>0</v>
      </c>
      <c r="M92" s="310">
        <v>0</v>
      </c>
      <c r="N92" s="193">
        <f>M92/N$71</f>
        <v>0</v>
      </c>
      <c r="O92" s="310">
        <v>0</v>
      </c>
      <c r="P92" s="193">
        <f>O92/P$71</f>
        <v>0</v>
      </c>
      <c r="Q92" s="310">
        <v>0</v>
      </c>
      <c r="R92" s="193">
        <f>Q92/R$71</f>
        <v>0</v>
      </c>
      <c r="S92" s="310">
        <f>0</f>
        <v>0</v>
      </c>
      <c r="T92" s="193">
        <f>S92/T$71</f>
        <v>0</v>
      </c>
      <c r="U92" s="310">
        <v>0</v>
      </c>
      <c r="V92" s="193">
        <f>U92/V$71</f>
        <v>0</v>
      </c>
      <c r="W92" s="310">
        <v>0</v>
      </c>
      <c r="X92" s="193">
        <f>W92/X$71</f>
        <v>0</v>
      </c>
      <c r="Y92" s="310">
        <v>0</v>
      </c>
      <c r="Z92" s="193">
        <f>Y92/Z$71</f>
        <v>0</v>
      </c>
      <c r="AA92" s="506"/>
      <c r="AB92" s="581">
        <f t="shared" si="24"/>
        <v>0</v>
      </c>
      <c r="AC92" s="580">
        <f t="shared" si="25"/>
        <v>0</v>
      </c>
    </row>
    <row r="93" spans="1:29" ht="13.5" thickTop="1" thickBot="1" x14ac:dyDescent="0.25">
      <c r="A93" s="506"/>
      <c r="B93" s="507" t="s">
        <v>92</v>
      </c>
      <c r="C93" s="802" t="s">
        <v>93</v>
      </c>
      <c r="D93" s="803"/>
      <c r="E93" s="802" t="s">
        <v>94</v>
      </c>
      <c r="F93" s="803"/>
      <c r="G93" s="804" t="s">
        <v>95</v>
      </c>
      <c r="H93" s="805"/>
      <c r="I93" s="804" t="s">
        <v>96</v>
      </c>
      <c r="J93" s="805"/>
      <c r="K93" s="804" t="s">
        <v>97</v>
      </c>
      <c r="L93" s="805"/>
      <c r="M93" s="788" t="s">
        <v>98</v>
      </c>
      <c r="N93" s="789"/>
      <c r="O93" s="788" t="s">
        <v>114</v>
      </c>
      <c r="P93" s="789"/>
      <c r="Q93" s="788" t="s">
        <v>119</v>
      </c>
      <c r="R93" s="789"/>
      <c r="S93" s="788" t="s">
        <v>132</v>
      </c>
      <c r="T93" s="789"/>
      <c r="U93" s="788" t="s">
        <v>140</v>
      </c>
      <c r="V93" s="789"/>
      <c r="W93" s="788" t="s">
        <v>142</v>
      </c>
      <c r="X93" s="789"/>
      <c r="Y93" s="788" t="s">
        <v>144</v>
      </c>
      <c r="Z93" s="789"/>
      <c r="AA93" s="506"/>
      <c r="AB93" s="823" t="s">
        <v>105</v>
      </c>
      <c r="AC93" s="824"/>
    </row>
    <row r="94" spans="1:29" ht="12" x14ac:dyDescent="0.2">
      <c r="A94" s="506"/>
      <c r="B94" s="508"/>
      <c r="C94" s="509" t="s">
        <v>69</v>
      </c>
      <c r="D94" s="510" t="s">
        <v>18</v>
      </c>
      <c r="E94" s="509" t="s">
        <v>69</v>
      </c>
      <c r="F94" s="510" t="s">
        <v>18</v>
      </c>
      <c r="G94" s="509" t="s">
        <v>69</v>
      </c>
      <c r="H94" s="510" t="s">
        <v>18</v>
      </c>
      <c r="I94" s="509" t="s">
        <v>69</v>
      </c>
      <c r="J94" s="510" t="s">
        <v>18</v>
      </c>
      <c r="K94" s="509" t="s">
        <v>69</v>
      </c>
      <c r="L94" s="510" t="s">
        <v>18</v>
      </c>
      <c r="M94" s="509" t="s">
        <v>69</v>
      </c>
      <c r="N94" s="510" t="s">
        <v>18</v>
      </c>
      <c r="O94" s="509" t="s">
        <v>69</v>
      </c>
      <c r="P94" s="510" t="s">
        <v>18</v>
      </c>
      <c r="Q94" s="509" t="s">
        <v>69</v>
      </c>
      <c r="R94" s="510" t="s">
        <v>18</v>
      </c>
      <c r="S94" s="509" t="s">
        <v>69</v>
      </c>
      <c r="T94" s="510" t="s">
        <v>18</v>
      </c>
      <c r="U94" s="509" t="s">
        <v>69</v>
      </c>
      <c r="V94" s="510" t="s">
        <v>18</v>
      </c>
      <c r="W94" s="509" t="s">
        <v>69</v>
      </c>
      <c r="X94" s="510" t="s">
        <v>18</v>
      </c>
      <c r="Y94" s="509" t="s">
        <v>69</v>
      </c>
      <c r="Z94" s="510" t="s">
        <v>18</v>
      </c>
      <c r="AA94" s="506"/>
      <c r="AB94" s="579" t="s">
        <v>69</v>
      </c>
      <c r="AC94" s="511" t="s">
        <v>18</v>
      </c>
    </row>
    <row r="95" spans="1:29" ht="12" x14ac:dyDescent="0.2">
      <c r="A95" s="506"/>
      <c r="B95" s="282" t="s">
        <v>99</v>
      </c>
      <c r="C95" s="509">
        <v>0</v>
      </c>
      <c r="D95" s="621">
        <v>0</v>
      </c>
      <c r="E95" s="509">
        <v>0</v>
      </c>
      <c r="F95" s="621">
        <v>0</v>
      </c>
      <c r="G95" s="509">
        <v>4</v>
      </c>
      <c r="H95" s="621">
        <v>1.6</v>
      </c>
      <c r="I95" s="509">
        <v>8</v>
      </c>
      <c r="J95" s="621">
        <v>3.9</v>
      </c>
      <c r="K95" s="509">
        <v>9</v>
      </c>
      <c r="L95" s="621">
        <v>4.25</v>
      </c>
      <c r="M95" s="509">
        <v>11</v>
      </c>
      <c r="N95" s="621">
        <v>5.4</v>
      </c>
      <c r="O95" s="509">
        <v>9</v>
      </c>
      <c r="P95" s="621">
        <v>4.4000000000000004</v>
      </c>
      <c r="Q95" s="622">
        <v>5</v>
      </c>
      <c r="R95" s="512">
        <v>2.5</v>
      </c>
      <c r="S95" s="622">
        <v>11</v>
      </c>
      <c r="T95" s="512">
        <v>5.3</v>
      </c>
      <c r="U95" s="622">
        <v>7</v>
      </c>
      <c r="V95" s="512">
        <v>3.5</v>
      </c>
      <c r="W95" s="622">
        <v>4</v>
      </c>
      <c r="X95" s="512">
        <v>2</v>
      </c>
      <c r="Y95" s="622">
        <v>3</v>
      </c>
      <c r="Z95" s="512">
        <v>1.5</v>
      </c>
      <c r="AA95" s="627"/>
      <c r="AB95" s="85">
        <f t="shared" ref="AB95:AB97" si="26">AVERAGE(W95,U95,S95,Q95,Y95)</f>
        <v>6</v>
      </c>
      <c r="AC95" s="610">
        <f t="shared" ref="AC95:AC97" si="27">AVERAGE(X95,V95,T95,R95,Z95)</f>
        <v>2.96</v>
      </c>
    </row>
    <row r="96" spans="1:29" ht="12" x14ac:dyDescent="0.2">
      <c r="A96" s="506"/>
      <c r="B96" s="282" t="s">
        <v>100</v>
      </c>
      <c r="C96" s="509">
        <v>0</v>
      </c>
      <c r="D96" s="621">
        <v>0</v>
      </c>
      <c r="E96" s="509">
        <v>0</v>
      </c>
      <c r="F96" s="621">
        <v>0</v>
      </c>
      <c r="G96" s="509">
        <v>0</v>
      </c>
      <c r="H96" s="621">
        <v>0</v>
      </c>
      <c r="I96" s="509">
        <v>0</v>
      </c>
      <c r="J96" s="621">
        <v>0</v>
      </c>
      <c r="K96" s="509">
        <v>0</v>
      </c>
      <c r="L96" s="621">
        <v>0</v>
      </c>
      <c r="M96" s="509">
        <v>0</v>
      </c>
      <c r="N96" s="621">
        <v>0</v>
      </c>
      <c r="O96" s="509">
        <v>0</v>
      </c>
      <c r="P96" s="621">
        <v>0</v>
      </c>
      <c r="Q96" s="622">
        <v>0</v>
      </c>
      <c r="R96" s="512">
        <v>0</v>
      </c>
      <c r="S96" s="622">
        <v>0</v>
      </c>
      <c r="T96" s="512">
        <v>0</v>
      </c>
      <c r="U96" s="622">
        <v>1</v>
      </c>
      <c r="V96" s="512">
        <v>0.5</v>
      </c>
      <c r="W96" s="622">
        <v>1</v>
      </c>
      <c r="X96" s="512">
        <v>0.5</v>
      </c>
      <c r="Y96" s="622">
        <v>0</v>
      </c>
      <c r="Z96" s="512">
        <v>0</v>
      </c>
      <c r="AA96" s="627"/>
      <c r="AB96" s="85">
        <f t="shared" si="26"/>
        <v>0.4</v>
      </c>
      <c r="AC96" s="610">
        <f t="shared" si="27"/>
        <v>0.2</v>
      </c>
    </row>
    <row r="97" spans="1:32" thickBot="1" x14ac:dyDescent="0.25">
      <c r="A97" s="506"/>
      <c r="B97" s="290" t="s">
        <v>101</v>
      </c>
      <c r="C97" s="514">
        <v>0</v>
      </c>
      <c r="D97" s="623">
        <v>0</v>
      </c>
      <c r="E97" s="514">
        <v>0</v>
      </c>
      <c r="F97" s="623">
        <v>0</v>
      </c>
      <c r="G97" s="514">
        <v>0</v>
      </c>
      <c r="H97" s="623">
        <v>0</v>
      </c>
      <c r="I97" s="514">
        <v>0</v>
      </c>
      <c r="J97" s="623">
        <v>0</v>
      </c>
      <c r="K97" s="514">
        <v>0</v>
      </c>
      <c r="L97" s="623">
        <v>0</v>
      </c>
      <c r="M97" s="514">
        <v>0</v>
      </c>
      <c r="N97" s="623">
        <v>0</v>
      </c>
      <c r="O97" s="514">
        <v>0</v>
      </c>
      <c r="P97" s="623">
        <v>0</v>
      </c>
      <c r="Q97" s="624">
        <v>0</v>
      </c>
      <c r="R97" s="515">
        <v>0</v>
      </c>
      <c r="S97" s="624">
        <v>0</v>
      </c>
      <c r="T97" s="515">
        <v>0</v>
      </c>
      <c r="U97" s="624">
        <v>0</v>
      </c>
      <c r="V97" s="515">
        <v>0</v>
      </c>
      <c r="W97" s="624">
        <v>0</v>
      </c>
      <c r="X97" s="515">
        <v>0</v>
      </c>
      <c r="Y97" s="624">
        <v>0</v>
      </c>
      <c r="Z97" s="515">
        <v>0</v>
      </c>
      <c r="AA97" s="627"/>
      <c r="AB97" s="582">
        <f t="shared" si="26"/>
        <v>0</v>
      </c>
      <c r="AC97" s="611">
        <f t="shared" si="27"/>
        <v>0</v>
      </c>
      <c r="AF97" s="26"/>
    </row>
    <row r="98" spans="1:32" thickTop="1" x14ac:dyDescent="0.2">
      <c r="C98" s="1"/>
      <c r="D98" s="1"/>
      <c r="E98" s="1"/>
      <c r="F98" s="1"/>
      <c r="G98" s="215"/>
      <c r="H98" s="215"/>
      <c r="I98" s="215"/>
      <c r="J98" s="215"/>
    </row>
    <row r="99" spans="1:32" ht="12" x14ac:dyDescent="0.2">
      <c r="C99" s="1"/>
      <c r="D99" s="1"/>
      <c r="E99" s="1"/>
      <c r="F99" s="1"/>
      <c r="G99" s="215"/>
      <c r="H99" s="215"/>
      <c r="I99" s="215"/>
      <c r="J99" s="215"/>
    </row>
    <row r="100" spans="1:32" ht="12" x14ac:dyDescent="0.2">
      <c r="C100" s="1"/>
      <c r="D100" s="1"/>
      <c r="E100" s="1"/>
      <c r="F100" s="1"/>
      <c r="G100" s="215"/>
      <c r="H100" s="215"/>
      <c r="I100" s="215"/>
      <c r="J100" s="215"/>
    </row>
    <row r="101" spans="1:32" ht="12" x14ac:dyDescent="0.2">
      <c r="C101" s="1"/>
      <c r="D101" s="1"/>
      <c r="E101" s="1"/>
      <c r="F101" s="1"/>
      <c r="G101" s="215"/>
      <c r="H101" s="215"/>
      <c r="I101" s="215"/>
      <c r="J101" s="215"/>
    </row>
    <row r="102" spans="1:32" ht="12" x14ac:dyDescent="0.2">
      <c r="C102" s="1"/>
      <c r="D102" s="1"/>
      <c r="E102" s="1"/>
      <c r="F102" s="1"/>
      <c r="G102" s="215"/>
      <c r="H102" s="215"/>
      <c r="I102" s="215"/>
      <c r="J102" s="215"/>
      <c r="AB102" s="1" t="s">
        <v>20</v>
      </c>
    </row>
    <row r="103" spans="1:32" ht="12" x14ac:dyDescent="0.2">
      <c r="C103" s="1"/>
      <c r="D103" s="1"/>
      <c r="E103" s="1"/>
      <c r="F103" s="1"/>
      <c r="G103" s="215"/>
      <c r="H103" s="215"/>
      <c r="I103" s="215"/>
      <c r="J103" s="215"/>
    </row>
  </sheetData>
  <mergeCells count="94">
    <mergeCell ref="Y63:Z63"/>
    <mergeCell ref="Y93:Z93"/>
    <mergeCell ref="AB27:AC27"/>
    <mergeCell ref="Y7:Z7"/>
    <mergeCell ref="Y16:Z16"/>
    <mergeCell ref="Y24:Z24"/>
    <mergeCell ref="Y27:Z27"/>
    <mergeCell ref="Y31:Z31"/>
    <mergeCell ref="AB93:AC93"/>
    <mergeCell ref="AB7:AC7"/>
    <mergeCell ref="AB16:AC16"/>
    <mergeCell ref="AB31:AC31"/>
    <mergeCell ref="AB63:AC63"/>
    <mergeCell ref="U93:V93"/>
    <mergeCell ref="U7:V7"/>
    <mergeCell ref="U16:V16"/>
    <mergeCell ref="U24:V24"/>
    <mergeCell ref="U27:V27"/>
    <mergeCell ref="U31:V31"/>
    <mergeCell ref="U63:V63"/>
    <mergeCell ref="M16:N16"/>
    <mergeCell ref="M31:N31"/>
    <mergeCell ref="O63:P63"/>
    <mergeCell ref="O93:P93"/>
    <mergeCell ref="Q27:R27"/>
    <mergeCell ref="Q31:R31"/>
    <mergeCell ref="Q63:R63"/>
    <mergeCell ref="Q24:R24"/>
    <mergeCell ref="Q93:R93"/>
    <mergeCell ref="I16:J16"/>
    <mergeCell ref="K93:L93"/>
    <mergeCell ref="I93:J93"/>
    <mergeCell ref="I63:J63"/>
    <mergeCell ref="K31:L31"/>
    <mergeCell ref="K63:L63"/>
    <mergeCell ref="I31:J31"/>
    <mergeCell ref="I27:J27"/>
    <mergeCell ref="K7:L7"/>
    <mergeCell ref="K16:L16"/>
    <mergeCell ref="M27:N27"/>
    <mergeCell ref="S93:T93"/>
    <mergeCell ref="S7:T7"/>
    <mergeCell ref="M63:N63"/>
    <mergeCell ref="Q7:R7"/>
    <mergeCell ref="Q16:R16"/>
    <mergeCell ref="S63:T63"/>
    <mergeCell ref="S16:T16"/>
    <mergeCell ref="M93:N93"/>
    <mergeCell ref="M7:N7"/>
    <mergeCell ref="O7:P7"/>
    <mergeCell ref="O16:P16"/>
    <mergeCell ref="O24:P24"/>
    <mergeCell ref="O27:P27"/>
    <mergeCell ref="C25:D25"/>
    <mergeCell ref="E25:F25"/>
    <mergeCell ref="G24:H24"/>
    <mergeCell ref="C26:D26"/>
    <mergeCell ref="E27:F27"/>
    <mergeCell ref="G27:H27"/>
    <mergeCell ref="E26:F26"/>
    <mergeCell ref="G26:H26"/>
    <mergeCell ref="C16:D16"/>
    <mergeCell ref="E16:F16"/>
    <mergeCell ref="G16:H16"/>
    <mergeCell ref="C24:D24"/>
    <mergeCell ref="E24:F24"/>
    <mergeCell ref="C93:D93"/>
    <mergeCell ref="E93:F93"/>
    <mergeCell ref="G93:H93"/>
    <mergeCell ref="C27:D27"/>
    <mergeCell ref="G31:H31"/>
    <mergeCell ref="G63:H63"/>
    <mergeCell ref="C63:D63"/>
    <mergeCell ref="E63:F63"/>
    <mergeCell ref="C31:D31"/>
    <mergeCell ref="E31:F31"/>
    <mergeCell ref="S24:T24"/>
    <mergeCell ref="S27:T27"/>
    <mergeCell ref="S31:T31"/>
    <mergeCell ref="G25:H25"/>
    <mergeCell ref="K24:L24"/>
    <mergeCell ref="K27:L27"/>
    <mergeCell ref="M24:N24"/>
    <mergeCell ref="I24:J24"/>
    <mergeCell ref="I25:J25"/>
    <mergeCell ref="I26:J26"/>
    <mergeCell ref="O31:P31"/>
    <mergeCell ref="W93:X93"/>
    <mergeCell ref="W7:X7"/>
    <mergeCell ref="W16:X16"/>
    <mergeCell ref="W24:X24"/>
    <mergeCell ref="W27:X27"/>
    <mergeCell ref="W31:X31"/>
    <mergeCell ref="W63:X63"/>
  </mergeCells>
  <phoneticPr fontId="0" type="noConversion"/>
  <printOptions horizontalCentered="1"/>
  <pageMargins left="0.5" right="0.5" top="0.5" bottom="0.5" header="0.5" footer="0.5"/>
  <pageSetup scale="65" orientation="landscape" r:id="rId1"/>
  <headerFooter alignWithMargins="0">
    <oddFooter>&amp;R&amp;P of &amp;N
&amp;D</oddFooter>
  </headerFooter>
  <rowBreaks count="1" manualBreakCount="1">
    <brk id="60" max="18" man="1"/>
  </rowBreaks>
  <ignoredErrors>
    <ignoredError sqref="S73:S9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7"/>
  <sheetViews>
    <sheetView zoomScaleNormal="100" zoomScaleSheetLayoutView="100" workbookViewId="0">
      <pane xSplit="2" ySplit="1" topLeftCell="C23" activePane="bottomRight" state="frozen"/>
      <selection activeCell="Z47" sqref="Z47"/>
      <selection pane="topRight" activeCell="Z47" sqref="Z47"/>
      <selection pane="bottomLeft" activeCell="Z47" sqref="Z47"/>
      <selection pane="bottomRight" activeCell="Z47" sqref="Z47"/>
    </sheetView>
  </sheetViews>
  <sheetFormatPr defaultColWidth="10.28515625" defaultRowHeight="12.75" x14ac:dyDescent="0.2"/>
  <cols>
    <col min="1" max="1" width="3.7109375" style="1" customWidth="1"/>
    <col min="2" max="2" width="29.7109375" style="1" customWidth="1"/>
    <col min="3" max="3" width="10.140625" hidden="1" customWidth="1"/>
    <col min="4" max="4" width="11.7109375" hidden="1" customWidth="1"/>
    <col min="5" max="5" width="10.28515625" hidden="1" customWidth="1"/>
    <col min="6" max="6" width="11.85546875" hidden="1" customWidth="1"/>
    <col min="7" max="7" width="10.28515625" hidden="1" customWidth="1"/>
    <col min="8" max="8" width="11.85546875" hidden="1" customWidth="1"/>
    <col min="9" max="9" width="10.28515625" style="216" hidden="1" customWidth="1"/>
    <col min="10" max="10" width="11.85546875" style="216" hidden="1" customWidth="1"/>
    <col min="11" max="11" width="10.28515625" style="216" hidden="1" customWidth="1"/>
    <col min="12" max="12" width="11.85546875" style="216" hidden="1" customWidth="1"/>
    <col min="13" max="14" width="10.28515625" style="1" hidden="1" customWidth="1"/>
    <col min="15" max="24" width="10.28515625" style="1" customWidth="1"/>
    <col min="25" max="25" width="9.140625" style="1" customWidth="1"/>
    <col min="26" max="26" width="11.42578125" style="1" customWidth="1"/>
    <col min="27" max="27" width="3" style="1" customWidth="1"/>
    <col min="28" max="16384" width="10.28515625" style="1"/>
  </cols>
  <sheetData>
    <row r="1" spans="1:36" ht="18" x14ac:dyDescent="0.25">
      <c r="A1" s="533" t="str">
        <f>Dean_VM!A1</f>
        <v>Department Profile Report - FY 2015</v>
      </c>
      <c r="B1" s="533"/>
      <c r="C1" s="533"/>
      <c r="D1" s="533"/>
      <c r="E1" s="533"/>
      <c r="F1" s="533"/>
      <c r="G1" s="533"/>
      <c r="H1" s="533"/>
      <c r="I1" s="534"/>
      <c r="J1" s="534"/>
      <c r="K1" s="534"/>
      <c r="L1" s="534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</row>
    <row r="2" spans="1:36" ht="12" x14ac:dyDescent="0.2">
      <c r="C2" s="1"/>
      <c r="D2" s="1"/>
      <c r="E2" s="1"/>
      <c r="F2" s="1"/>
      <c r="G2" s="1"/>
      <c r="H2" s="1"/>
      <c r="I2" s="215"/>
      <c r="J2" s="215"/>
      <c r="K2" s="215"/>
      <c r="L2" s="215"/>
    </row>
    <row r="3" spans="1:36" x14ac:dyDescent="0.2">
      <c r="A3" s="3" t="s">
        <v>138</v>
      </c>
      <c r="C3" s="1"/>
      <c r="D3" s="1"/>
      <c r="E3" s="1"/>
      <c r="F3" s="1"/>
      <c r="G3" s="1"/>
      <c r="H3" s="1"/>
      <c r="I3" s="215"/>
      <c r="J3" s="215"/>
      <c r="K3" s="215"/>
      <c r="L3" s="215"/>
    </row>
    <row r="4" spans="1:36" ht="12" x14ac:dyDescent="0.2">
      <c r="C4" s="1"/>
      <c r="D4" s="1"/>
      <c r="E4" s="1"/>
      <c r="F4" s="1"/>
      <c r="G4" s="1"/>
      <c r="H4" s="1"/>
      <c r="I4" s="215"/>
      <c r="J4" s="215"/>
      <c r="K4" s="215"/>
      <c r="L4" s="215"/>
    </row>
    <row r="5" spans="1:36" x14ac:dyDescent="0.2">
      <c r="A5" s="93" t="s">
        <v>32</v>
      </c>
      <c r="B5" s="5"/>
      <c r="C5" s="26"/>
      <c r="D5" s="26"/>
      <c r="E5" s="26"/>
      <c r="F5" s="26"/>
      <c r="G5" s="26"/>
      <c r="H5" s="26"/>
      <c r="I5" s="228"/>
      <c r="J5" s="228"/>
      <c r="K5" s="228"/>
      <c r="L5" s="228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</row>
    <row r="6" spans="1:36" ht="13.5" thickBot="1" x14ac:dyDescent="0.25">
      <c r="A6" s="93"/>
      <c r="B6" s="5"/>
      <c r="C6" s="26"/>
      <c r="D6" s="26"/>
      <c r="E6" s="26"/>
      <c r="F6" s="26"/>
      <c r="G6" s="26"/>
      <c r="H6" s="26"/>
      <c r="I6" s="228"/>
      <c r="J6" s="228"/>
      <c r="K6" s="228"/>
      <c r="L6" s="228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14.25" thickTop="1" thickBot="1" x14ac:dyDescent="0.25">
      <c r="A7" s="3"/>
      <c r="B7" s="270" t="s">
        <v>33</v>
      </c>
      <c r="C7" s="811" t="s">
        <v>24</v>
      </c>
      <c r="D7" s="812"/>
      <c r="E7" s="811" t="s">
        <v>25</v>
      </c>
      <c r="F7" s="813"/>
      <c r="G7" s="811" t="s">
        <v>76</v>
      </c>
      <c r="H7" s="812"/>
      <c r="I7" s="792" t="s">
        <v>86</v>
      </c>
      <c r="J7" s="793"/>
      <c r="K7" s="792" t="s">
        <v>87</v>
      </c>
      <c r="L7" s="792"/>
      <c r="M7" s="798" t="s">
        <v>90</v>
      </c>
      <c r="N7" s="793"/>
      <c r="O7" s="792" t="s">
        <v>113</v>
      </c>
      <c r="P7" s="793"/>
      <c r="Q7" s="792" t="s">
        <v>118</v>
      </c>
      <c r="R7" s="793"/>
      <c r="S7" s="792" t="s">
        <v>131</v>
      </c>
      <c r="T7" s="793"/>
      <c r="U7" s="792" t="s">
        <v>139</v>
      </c>
      <c r="V7" s="793"/>
      <c r="W7" s="792" t="s">
        <v>141</v>
      </c>
      <c r="X7" s="793"/>
      <c r="Y7" s="792" t="s">
        <v>143</v>
      </c>
      <c r="Z7" s="793"/>
      <c r="AB7" s="823" t="s">
        <v>105</v>
      </c>
      <c r="AC7" s="824"/>
    </row>
    <row r="8" spans="1:36" x14ac:dyDescent="0.2">
      <c r="A8" s="3"/>
      <c r="B8" s="271" t="s">
        <v>34</v>
      </c>
      <c r="C8" s="129"/>
      <c r="D8" s="130"/>
      <c r="E8" s="129"/>
      <c r="F8" s="4"/>
      <c r="G8" s="129"/>
      <c r="H8" s="130"/>
      <c r="I8" s="235"/>
      <c r="J8" s="344"/>
      <c r="K8" s="235"/>
      <c r="L8" s="235"/>
      <c r="M8" s="258"/>
      <c r="N8" s="344"/>
      <c r="O8" s="235"/>
      <c r="P8" s="344"/>
      <c r="Q8" s="235"/>
      <c r="R8" s="344"/>
      <c r="S8" s="235"/>
      <c r="T8" s="344"/>
      <c r="U8" s="235"/>
      <c r="V8" s="344"/>
      <c r="W8" s="235"/>
      <c r="X8" s="344"/>
      <c r="Y8" s="235"/>
      <c r="Z8" s="344"/>
      <c r="AB8" s="560"/>
      <c r="AC8" s="506"/>
    </row>
    <row r="9" spans="1:36" x14ac:dyDescent="0.2">
      <c r="A9" s="3"/>
      <c r="B9" s="229" t="s">
        <v>35</v>
      </c>
      <c r="C9" s="127"/>
      <c r="D9" s="135"/>
      <c r="E9" s="127"/>
      <c r="F9" s="155"/>
      <c r="G9" s="127"/>
      <c r="H9" s="135"/>
      <c r="I9" s="234"/>
      <c r="J9" s="363"/>
      <c r="K9" s="234"/>
      <c r="L9" s="389"/>
      <c r="M9" s="299"/>
      <c r="N9" s="363"/>
      <c r="O9" s="234"/>
      <c r="P9" s="363"/>
      <c r="Q9" s="234"/>
      <c r="R9" s="363"/>
      <c r="S9" s="234"/>
      <c r="T9" s="363"/>
      <c r="U9" s="234"/>
      <c r="V9" s="363"/>
      <c r="W9" s="234"/>
      <c r="X9" s="363"/>
      <c r="Y9" s="234"/>
      <c r="Z9" s="363"/>
      <c r="AB9" s="211"/>
      <c r="AC9" s="558"/>
    </row>
    <row r="10" spans="1:36" x14ac:dyDescent="0.2">
      <c r="A10" s="3"/>
      <c r="B10" s="229" t="s">
        <v>120</v>
      </c>
      <c r="C10" s="127"/>
      <c r="D10" s="135"/>
      <c r="E10" s="127"/>
      <c r="F10" s="155"/>
      <c r="G10" s="127"/>
      <c r="H10" s="135"/>
      <c r="I10" s="234"/>
      <c r="J10" s="363"/>
      <c r="K10" s="234"/>
      <c r="L10" s="389"/>
      <c r="M10" s="299"/>
      <c r="N10" s="363"/>
      <c r="O10" s="234"/>
      <c r="P10" s="363"/>
      <c r="Q10" s="234"/>
      <c r="R10" s="363"/>
      <c r="S10" s="234"/>
      <c r="T10" s="363"/>
      <c r="U10" s="234"/>
      <c r="V10" s="363"/>
      <c r="W10" s="234"/>
      <c r="X10" s="363"/>
      <c r="Y10" s="234"/>
      <c r="Z10" s="363"/>
      <c r="AB10" s="211"/>
      <c r="AC10" s="558"/>
    </row>
    <row r="11" spans="1:36" ht="36" x14ac:dyDescent="0.2">
      <c r="A11" s="3"/>
      <c r="B11" s="230" t="s">
        <v>121</v>
      </c>
      <c r="C11" s="129"/>
      <c r="D11" s="136"/>
      <c r="E11" s="129"/>
      <c r="F11" s="156"/>
      <c r="G11" s="129"/>
      <c r="H11" s="136"/>
      <c r="I11" s="235"/>
      <c r="J11" s="366"/>
      <c r="K11" s="235"/>
      <c r="L11" s="390"/>
      <c r="M11" s="258"/>
      <c r="N11" s="366"/>
      <c r="O11" s="235"/>
      <c r="P11" s="366"/>
      <c r="Q11" s="235"/>
      <c r="R11" s="366"/>
      <c r="S11" s="235"/>
      <c r="T11" s="366"/>
      <c r="U11" s="235"/>
      <c r="V11" s="366"/>
      <c r="W11" s="235"/>
      <c r="X11" s="366"/>
      <c r="Y11" s="235"/>
      <c r="Z11" s="366"/>
      <c r="AB11" s="209"/>
      <c r="AC11" s="558"/>
    </row>
    <row r="12" spans="1:36" x14ac:dyDescent="0.2">
      <c r="A12" s="3"/>
      <c r="B12" s="231" t="s">
        <v>36</v>
      </c>
      <c r="C12" s="137"/>
      <c r="D12" s="138">
        <f>SUM(D9:D11)</f>
        <v>0</v>
      </c>
      <c r="E12" s="137"/>
      <c r="F12" s="157">
        <f>SUM(F9:F11)</f>
        <v>0</v>
      </c>
      <c r="G12" s="137"/>
      <c r="H12" s="138">
        <f>SUM(H9:H11)</f>
        <v>0</v>
      </c>
      <c r="I12" s="331"/>
      <c r="J12" s="364">
        <f>SUM(J9:J11)</f>
        <v>0</v>
      </c>
      <c r="K12" s="331"/>
      <c r="L12" s="391">
        <f>SUM(L9:L11)</f>
        <v>0</v>
      </c>
      <c r="M12" s="259"/>
      <c r="N12" s="364">
        <f>SUM(N9:N11)</f>
        <v>0</v>
      </c>
      <c r="O12" s="331"/>
      <c r="P12" s="364">
        <f>SUM(P9:P11)</f>
        <v>0</v>
      </c>
      <c r="Q12" s="331"/>
      <c r="R12" s="364">
        <f>SUM(R9:R11)</f>
        <v>0</v>
      </c>
      <c r="S12" s="331"/>
      <c r="T12" s="364">
        <f>SUM(T9:T11)</f>
        <v>0</v>
      </c>
      <c r="U12" s="331"/>
      <c r="V12" s="364">
        <f>SUM(V9:V11)</f>
        <v>0</v>
      </c>
      <c r="W12" s="331"/>
      <c r="X12" s="364">
        <f>SUM(X9:X11)</f>
        <v>0</v>
      </c>
      <c r="Y12" s="331"/>
      <c r="Z12" s="364">
        <f>SUM(Z9:Z11)</f>
        <v>0</v>
      </c>
      <c r="AB12" s="209"/>
      <c r="AC12" s="573"/>
    </row>
    <row r="13" spans="1:36" x14ac:dyDescent="0.2">
      <c r="A13" s="3"/>
      <c r="B13" s="232" t="s">
        <v>37</v>
      </c>
      <c r="C13" s="129"/>
      <c r="D13" s="136"/>
      <c r="E13" s="129"/>
      <c r="F13" s="156"/>
      <c r="G13" s="129"/>
      <c r="H13" s="136"/>
      <c r="I13" s="235"/>
      <c r="J13" s="366"/>
      <c r="K13" s="235"/>
      <c r="L13" s="390"/>
      <c r="M13" s="258"/>
      <c r="N13" s="366"/>
      <c r="O13" s="235"/>
      <c r="P13" s="366"/>
      <c r="Q13" s="235"/>
      <c r="R13" s="366"/>
      <c r="S13" s="235"/>
      <c r="T13" s="366"/>
      <c r="U13" s="235"/>
      <c r="V13" s="366"/>
      <c r="W13" s="235"/>
      <c r="X13" s="366"/>
      <c r="Y13" s="235"/>
      <c r="Z13" s="366"/>
      <c r="AB13" s="209"/>
      <c r="AC13" s="558"/>
    </row>
    <row r="14" spans="1:36" x14ac:dyDescent="0.2">
      <c r="A14" s="3"/>
      <c r="B14" s="229" t="s">
        <v>35</v>
      </c>
      <c r="C14" s="129"/>
      <c r="D14" s="136"/>
      <c r="E14" s="129"/>
      <c r="F14" s="156"/>
      <c r="G14" s="129"/>
      <c r="H14" s="136"/>
      <c r="I14" s="235"/>
      <c r="J14" s="366"/>
      <c r="K14" s="235"/>
      <c r="L14" s="390"/>
      <c r="M14" s="258"/>
      <c r="N14" s="366"/>
      <c r="O14" s="235"/>
      <c r="P14" s="366"/>
      <c r="Q14" s="235"/>
      <c r="R14" s="366"/>
      <c r="S14" s="235"/>
      <c r="T14" s="366"/>
      <c r="U14" s="235"/>
      <c r="V14" s="366"/>
      <c r="W14" s="235"/>
      <c r="X14" s="366"/>
      <c r="Y14" s="235"/>
      <c r="Z14" s="366"/>
      <c r="AB14" s="209"/>
      <c r="AC14" s="558"/>
    </row>
    <row r="15" spans="1:36" x14ac:dyDescent="0.2">
      <c r="A15" s="3"/>
      <c r="B15" s="229" t="s">
        <v>120</v>
      </c>
      <c r="C15" s="129"/>
      <c r="D15" s="136"/>
      <c r="E15" s="129"/>
      <c r="F15" s="156"/>
      <c r="G15" s="129"/>
      <c r="H15" s="136"/>
      <c r="I15" s="235"/>
      <c r="J15" s="366"/>
      <c r="K15" s="235"/>
      <c r="L15" s="390"/>
      <c r="M15" s="258"/>
      <c r="N15" s="366"/>
      <c r="O15" s="235"/>
      <c r="P15" s="366"/>
      <c r="Q15" s="235"/>
      <c r="R15" s="366"/>
      <c r="S15" s="235"/>
      <c r="T15" s="366"/>
      <c r="U15" s="235"/>
      <c r="V15" s="366"/>
      <c r="W15" s="235"/>
      <c r="X15" s="366"/>
      <c r="Y15" s="235"/>
      <c r="Z15" s="366"/>
      <c r="AB15" s="209"/>
      <c r="AC15" s="558"/>
    </row>
    <row r="16" spans="1:36" ht="36" x14ac:dyDescent="0.2">
      <c r="A16" s="3"/>
      <c r="B16" s="230" t="s">
        <v>121</v>
      </c>
      <c r="C16" s="129"/>
      <c r="D16" s="136">
        <v>3411</v>
      </c>
      <c r="E16" s="129"/>
      <c r="F16" s="156">
        <v>3624</v>
      </c>
      <c r="G16" s="129"/>
      <c r="H16" s="136">
        <v>3691</v>
      </c>
      <c r="I16" s="235"/>
      <c r="J16" s="366">
        <v>3850</v>
      </c>
      <c r="K16" s="235"/>
      <c r="L16" s="390">
        <v>3950</v>
      </c>
      <c r="M16" s="258"/>
      <c r="N16" s="366">
        <v>4052</v>
      </c>
      <c r="O16" s="235"/>
      <c r="P16" s="366">
        <v>4086</v>
      </c>
      <c r="Q16" s="235"/>
      <c r="R16" s="366">
        <v>4179</v>
      </c>
      <c r="S16" s="235"/>
      <c r="T16" s="366">
        <v>4280</v>
      </c>
      <c r="U16" s="235"/>
      <c r="V16" s="366">
        <v>4344</v>
      </c>
      <c r="W16" s="235"/>
      <c r="X16" s="366">
        <v>4733</v>
      </c>
      <c r="Y16" s="235"/>
      <c r="Z16" s="366">
        <v>4833</v>
      </c>
      <c r="AB16" s="209"/>
      <c r="AC16" s="558">
        <f>AVERAGE(X16,V16,T16,R16,Z16)</f>
        <v>4473.8</v>
      </c>
    </row>
    <row r="17" spans="1:32" x14ac:dyDescent="0.2">
      <c r="A17" s="3"/>
      <c r="B17" s="231" t="s">
        <v>38</v>
      </c>
      <c r="C17" s="137"/>
      <c r="D17" s="138">
        <f>SUM(D14:D16)</f>
        <v>3411</v>
      </c>
      <c r="E17" s="137"/>
      <c r="F17" s="157">
        <f>SUM(F14:F16)</f>
        <v>3624</v>
      </c>
      <c r="G17" s="137"/>
      <c r="H17" s="138">
        <f>SUM(H16)</f>
        <v>3691</v>
      </c>
      <c r="I17" s="331"/>
      <c r="J17" s="364">
        <f>SUM(J16)</f>
        <v>3850</v>
      </c>
      <c r="K17" s="331"/>
      <c r="L17" s="391">
        <f>SUM(L16)</f>
        <v>3950</v>
      </c>
      <c r="M17" s="259"/>
      <c r="N17" s="364">
        <f>SUM(N16)</f>
        <v>4052</v>
      </c>
      <c r="O17" s="331"/>
      <c r="P17" s="364">
        <f>SUM(P16)</f>
        <v>4086</v>
      </c>
      <c r="Q17" s="331"/>
      <c r="R17" s="364">
        <f>SUM(R16)</f>
        <v>4179</v>
      </c>
      <c r="S17" s="331"/>
      <c r="T17" s="364">
        <f>SUM(T16)</f>
        <v>4280</v>
      </c>
      <c r="U17" s="331"/>
      <c r="V17" s="364">
        <f>SUM(V16)</f>
        <v>4344</v>
      </c>
      <c r="W17" s="331"/>
      <c r="X17" s="364">
        <f>SUM(X14:X16)</f>
        <v>4733</v>
      </c>
      <c r="Y17" s="331"/>
      <c r="Z17" s="364">
        <f>SUM(Z14:Z16)</f>
        <v>4833</v>
      </c>
      <c r="AB17" s="209"/>
      <c r="AC17" s="573">
        <f>AVERAGE(X17,V17,T17,R17,Z17)</f>
        <v>4473.8</v>
      </c>
    </row>
    <row r="18" spans="1:32" x14ac:dyDescent="0.2">
      <c r="A18" s="3"/>
      <c r="B18" s="232" t="s">
        <v>45</v>
      </c>
      <c r="C18" s="129"/>
      <c r="D18" s="136"/>
      <c r="E18" s="129"/>
      <c r="F18" s="156"/>
      <c r="G18" s="129"/>
      <c r="H18" s="136"/>
      <c r="I18" s="235"/>
      <c r="J18" s="366"/>
      <c r="K18" s="235"/>
      <c r="L18" s="390"/>
      <c r="M18" s="258"/>
      <c r="N18" s="366"/>
      <c r="O18" s="235"/>
      <c r="P18" s="366"/>
      <c r="Q18" s="235"/>
      <c r="R18" s="366"/>
      <c r="S18" s="235"/>
      <c r="T18" s="366"/>
      <c r="U18" s="235"/>
      <c r="V18" s="366"/>
      <c r="W18" s="235"/>
      <c r="X18" s="366"/>
      <c r="Y18" s="235"/>
      <c r="Z18" s="366"/>
      <c r="AB18" s="209"/>
      <c r="AC18" s="558"/>
    </row>
    <row r="19" spans="1:32" x14ac:dyDescent="0.2">
      <c r="A19" s="3"/>
      <c r="B19" s="229" t="s">
        <v>35</v>
      </c>
      <c r="C19" s="129"/>
      <c r="D19" s="136">
        <v>7549300</v>
      </c>
      <c r="E19" s="129"/>
      <c r="F19" s="156">
        <v>7964618</v>
      </c>
      <c r="G19" s="129"/>
      <c r="H19" s="136">
        <v>8401106</v>
      </c>
      <c r="I19" s="235"/>
      <c r="J19" s="366">
        <v>8843524</v>
      </c>
      <c r="K19" s="235"/>
      <c r="L19" s="390">
        <v>9121589</v>
      </c>
      <c r="M19" s="258"/>
      <c r="N19" s="366">
        <v>8870205</v>
      </c>
      <c r="O19" s="235"/>
      <c r="P19" s="366">
        <v>8378852</v>
      </c>
      <c r="Q19" s="235"/>
      <c r="R19" s="366">
        <v>8426128</v>
      </c>
      <c r="S19" s="235"/>
      <c r="T19" s="366">
        <v>8605689</v>
      </c>
      <c r="U19" s="235"/>
      <c r="V19" s="366">
        <v>8804987</v>
      </c>
      <c r="W19" s="235"/>
      <c r="X19" s="366">
        <v>9104878</v>
      </c>
      <c r="Y19" s="235"/>
      <c r="Z19" s="366">
        <v>9726713</v>
      </c>
      <c r="AB19" s="209"/>
      <c r="AC19" s="558">
        <f>AVERAGE(X19,V19,T19,R19,Z19)</f>
        <v>8933679</v>
      </c>
    </row>
    <row r="20" spans="1:32" x14ac:dyDescent="0.2">
      <c r="A20" s="3"/>
      <c r="B20" s="229" t="s">
        <v>120</v>
      </c>
      <c r="C20" s="129"/>
      <c r="D20" s="136"/>
      <c r="E20" s="129"/>
      <c r="F20" s="156"/>
      <c r="G20" s="129"/>
      <c r="H20" s="136"/>
      <c r="I20" s="235"/>
      <c r="J20" s="366"/>
      <c r="K20" s="235"/>
      <c r="L20" s="390"/>
      <c r="M20" s="258"/>
      <c r="N20" s="366"/>
      <c r="O20" s="235"/>
      <c r="P20" s="366"/>
      <c r="Q20" s="235"/>
      <c r="R20" s="366"/>
      <c r="S20" s="235"/>
      <c r="T20" s="366"/>
      <c r="U20" s="235"/>
      <c r="V20" s="366"/>
      <c r="W20" s="235"/>
      <c r="X20" s="366"/>
      <c r="Y20" s="235"/>
      <c r="Z20" s="366"/>
      <c r="AB20" s="211"/>
      <c r="AC20" s="558"/>
    </row>
    <row r="21" spans="1:32" ht="36" x14ac:dyDescent="0.2">
      <c r="A21" s="3"/>
      <c r="B21" s="230" t="s">
        <v>121</v>
      </c>
      <c r="C21" s="129"/>
      <c r="D21" s="136">
        <v>224835</v>
      </c>
      <c r="E21" s="129"/>
      <c r="F21" s="156">
        <v>423382</v>
      </c>
      <c r="G21" s="129"/>
      <c r="H21" s="136">
        <v>461081</v>
      </c>
      <c r="I21" s="235"/>
      <c r="J21" s="366">
        <v>442564</v>
      </c>
      <c r="K21" s="235"/>
      <c r="L21" s="390">
        <v>447673</v>
      </c>
      <c r="M21" s="258"/>
      <c r="N21" s="366">
        <v>282376</v>
      </c>
      <c r="O21" s="235"/>
      <c r="P21" s="366">
        <v>374115</v>
      </c>
      <c r="Q21" s="235"/>
      <c r="R21" s="366">
        <v>489632</v>
      </c>
      <c r="S21" s="235"/>
      <c r="T21" s="366">
        <v>544300</v>
      </c>
      <c r="U21" s="235"/>
      <c r="V21" s="366">
        <v>547308</v>
      </c>
      <c r="W21" s="235"/>
      <c r="X21" s="366">
        <v>551744</v>
      </c>
      <c r="Y21" s="235"/>
      <c r="Z21" s="366">
        <v>563433</v>
      </c>
      <c r="AB21" s="211"/>
      <c r="AC21" s="558">
        <f t="shared" ref="AC21:AC23" si="0">AVERAGE(X21,V21,T21,R21,Z21)</f>
        <v>539283.4</v>
      </c>
    </row>
    <row r="22" spans="1:32" x14ac:dyDescent="0.2">
      <c r="A22" s="3"/>
      <c r="B22" s="231" t="s">
        <v>44</v>
      </c>
      <c r="C22" s="137"/>
      <c r="D22" s="138">
        <f>SUM(D19:D21)</f>
        <v>7774135</v>
      </c>
      <c r="E22" s="137"/>
      <c r="F22" s="157">
        <f>SUM(F19:F21)</f>
        <v>8388000</v>
      </c>
      <c r="G22" s="137"/>
      <c r="H22" s="138">
        <f>SUM(H19:H21)</f>
        <v>8862187</v>
      </c>
      <c r="I22" s="331"/>
      <c r="J22" s="364">
        <f>SUM(J19:J21)</f>
        <v>9286088</v>
      </c>
      <c r="K22" s="331"/>
      <c r="L22" s="391">
        <f>SUM(L19:L21)</f>
        <v>9569262</v>
      </c>
      <c r="M22" s="259"/>
      <c r="N22" s="364">
        <f>SUM(N19:N21)</f>
        <v>9152581</v>
      </c>
      <c r="O22" s="331"/>
      <c r="P22" s="364">
        <f>SUM(P19:P21)</f>
        <v>8752967</v>
      </c>
      <c r="Q22" s="331"/>
      <c r="R22" s="364">
        <f>SUM(R19:R21)</f>
        <v>8915760</v>
      </c>
      <c r="S22" s="331"/>
      <c r="T22" s="364">
        <f>SUM(T19:T21)</f>
        <v>9149989</v>
      </c>
      <c r="U22" s="331"/>
      <c r="V22" s="364">
        <f>SUM(V19:V21)</f>
        <v>9352295</v>
      </c>
      <c r="W22" s="331"/>
      <c r="X22" s="364">
        <f>SUM(X19:X21)</f>
        <v>9656622</v>
      </c>
      <c r="Y22" s="331"/>
      <c r="Z22" s="364">
        <f>SUM(Z19:Z21)</f>
        <v>10290146</v>
      </c>
      <c r="AB22" s="209"/>
      <c r="AC22" s="573">
        <f t="shared" si="0"/>
        <v>9472962.4000000004</v>
      </c>
    </row>
    <row r="23" spans="1:32" ht="13.5" thickBot="1" x14ac:dyDescent="0.25">
      <c r="A23" s="3"/>
      <c r="B23" s="272" t="s">
        <v>39</v>
      </c>
      <c r="C23" s="129"/>
      <c r="D23" s="138">
        <f>SUM(D12,D17,D22)</f>
        <v>7777546</v>
      </c>
      <c r="E23" s="129"/>
      <c r="F23" s="157">
        <f>SUM(F12,F17,F22)</f>
        <v>8391624</v>
      </c>
      <c r="G23" s="129"/>
      <c r="H23" s="138">
        <f>H17+H22</f>
        <v>8865878</v>
      </c>
      <c r="I23" s="235"/>
      <c r="J23" s="364">
        <f>J17+J22</f>
        <v>9289938</v>
      </c>
      <c r="K23" s="235"/>
      <c r="L23" s="391">
        <f>L17+L22</f>
        <v>9573212</v>
      </c>
      <c r="M23" s="258"/>
      <c r="N23" s="364">
        <f>N17+N22</f>
        <v>9156633</v>
      </c>
      <c r="O23" s="235"/>
      <c r="P23" s="364">
        <f>P17+P22</f>
        <v>8757053</v>
      </c>
      <c r="Q23" s="235"/>
      <c r="R23" s="364">
        <f>R17+R22</f>
        <v>8919939</v>
      </c>
      <c r="S23" s="235"/>
      <c r="T23" s="364">
        <f>T17+T22</f>
        <v>9154269</v>
      </c>
      <c r="U23" s="235"/>
      <c r="V23" s="364">
        <f>V17+V22</f>
        <v>9356639</v>
      </c>
      <c r="W23" s="235"/>
      <c r="X23" s="364">
        <f>X17+X22</f>
        <v>9661355</v>
      </c>
      <c r="Y23" s="235"/>
      <c r="Z23" s="364">
        <f>Z17+Z22</f>
        <v>10294979</v>
      </c>
      <c r="AB23" s="567"/>
      <c r="AC23" s="573">
        <f t="shared" si="0"/>
        <v>9477436.1999999993</v>
      </c>
    </row>
    <row r="24" spans="1:32" ht="12" x14ac:dyDescent="0.2">
      <c r="B24" s="273" t="s">
        <v>40</v>
      </c>
      <c r="C24" s="139"/>
      <c r="D24" s="140"/>
      <c r="E24" s="139"/>
      <c r="F24" s="101"/>
      <c r="G24" s="139"/>
      <c r="H24" s="140"/>
      <c r="I24" s="332"/>
      <c r="J24" s="341"/>
      <c r="K24" s="332"/>
      <c r="L24" s="332"/>
      <c r="M24" s="261"/>
      <c r="N24" s="341"/>
      <c r="O24" s="332"/>
      <c r="P24" s="341"/>
      <c r="Q24" s="332"/>
      <c r="R24" s="341"/>
      <c r="S24" s="332"/>
      <c r="T24" s="341"/>
      <c r="U24" s="332"/>
      <c r="V24" s="341"/>
      <c r="W24" s="332"/>
      <c r="X24" s="341"/>
      <c r="Y24" s="332"/>
      <c r="Z24" s="341"/>
      <c r="AA24" s="26"/>
      <c r="AB24" s="549"/>
      <c r="AC24" s="569"/>
      <c r="AD24" s="26"/>
      <c r="AE24" s="26"/>
      <c r="AF24" s="26"/>
    </row>
    <row r="25" spans="1:32" ht="12" x14ac:dyDescent="0.2">
      <c r="B25" s="55" t="s">
        <v>15</v>
      </c>
      <c r="C25" s="141"/>
      <c r="D25" s="455">
        <v>6821491</v>
      </c>
      <c r="E25" s="678"/>
      <c r="F25" s="464">
        <v>9466308</v>
      </c>
      <c r="G25" s="465"/>
      <c r="H25" s="466">
        <v>10030301.98</v>
      </c>
      <c r="I25" s="361"/>
      <c r="J25" s="317">
        <v>9893879</v>
      </c>
      <c r="K25" s="361"/>
      <c r="L25" s="504">
        <f>1779297+2314014+4184096</f>
        <v>8277407</v>
      </c>
      <c r="M25" s="301"/>
      <c r="N25" s="421">
        <v>9229933</v>
      </c>
      <c r="O25" s="361"/>
      <c r="P25" s="717">
        <v>7959855</v>
      </c>
      <c r="Q25" s="714"/>
      <c r="R25" s="717">
        <v>7289131</v>
      </c>
      <c r="S25" s="714"/>
      <c r="T25" s="717">
        <f>7910904</f>
        <v>7910904</v>
      </c>
      <c r="U25" s="714"/>
      <c r="V25" s="717">
        <f>7869059</f>
        <v>7869059</v>
      </c>
      <c r="W25" s="714"/>
      <c r="X25" s="717">
        <v>8484161</v>
      </c>
      <c r="Y25" s="714"/>
      <c r="Z25" s="713"/>
      <c r="AB25" s="211"/>
      <c r="AC25" s="562">
        <f>AVERAGE(X25,V25,T25,R25,P25)</f>
        <v>7902622</v>
      </c>
    </row>
    <row r="26" spans="1:32" ht="12" x14ac:dyDescent="0.2">
      <c r="B26" s="274" t="s">
        <v>16</v>
      </c>
      <c r="C26" s="143"/>
      <c r="D26" s="467">
        <f>33339</f>
        <v>33339</v>
      </c>
      <c r="E26" s="679"/>
      <c r="F26" s="468">
        <v>3118</v>
      </c>
      <c r="G26" s="469"/>
      <c r="H26" s="470">
        <v>0</v>
      </c>
      <c r="I26" s="359"/>
      <c r="J26" s="454">
        <v>497</v>
      </c>
      <c r="K26" s="359"/>
      <c r="L26" s="505">
        <f>457057</f>
        <v>457057</v>
      </c>
      <c r="M26" s="265"/>
      <c r="N26" s="421">
        <f>453801</f>
        <v>453801</v>
      </c>
      <c r="O26" s="359"/>
      <c r="P26" s="735">
        <v>0</v>
      </c>
      <c r="Q26" s="716"/>
      <c r="R26" s="735">
        <v>235819.06</v>
      </c>
      <c r="S26" s="716"/>
      <c r="T26" s="735">
        <v>240747.98</v>
      </c>
      <c r="U26" s="716"/>
      <c r="V26" s="735">
        <v>180482</v>
      </c>
      <c r="W26" s="716"/>
      <c r="X26" s="735">
        <v>125314.5</v>
      </c>
      <c r="Y26" s="716"/>
      <c r="Z26" s="715"/>
      <c r="AB26" s="209"/>
      <c r="AC26" s="562">
        <f>AVERAGE(X26,V26,T26,R26,P26)</f>
        <v>156472.70800000001</v>
      </c>
    </row>
    <row r="27" spans="1:32" thickBot="1" x14ac:dyDescent="0.25">
      <c r="B27" s="275"/>
      <c r="C27" s="145"/>
      <c r="D27" s="146"/>
      <c r="E27" s="63"/>
      <c r="F27" s="58"/>
      <c r="G27" s="145"/>
      <c r="H27" s="220"/>
      <c r="I27" s="326"/>
      <c r="J27" s="342"/>
      <c r="K27" s="326"/>
      <c r="L27" s="340"/>
      <c r="M27" s="263"/>
      <c r="N27" s="342"/>
      <c r="O27" s="326"/>
      <c r="P27" s="342"/>
      <c r="Q27" s="326"/>
      <c r="R27" s="342"/>
      <c r="S27" s="326"/>
      <c r="T27" s="342"/>
      <c r="U27" s="326"/>
      <c r="V27" s="342"/>
      <c r="W27" s="326"/>
      <c r="X27" s="342"/>
      <c r="Y27" s="326"/>
      <c r="Z27" s="342"/>
      <c r="AB27" s="567"/>
      <c r="AC27" s="568"/>
    </row>
    <row r="28" spans="1:32" ht="12" x14ac:dyDescent="0.2">
      <c r="B28" s="54"/>
      <c r="C28" s="147" t="s">
        <v>69</v>
      </c>
      <c r="D28" s="148" t="s">
        <v>75</v>
      </c>
      <c r="E28" s="75" t="s">
        <v>69</v>
      </c>
      <c r="F28" s="158" t="s">
        <v>75</v>
      </c>
      <c r="G28" s="147" t="s">
        <v>69</v>
      </c>
      <c r="H28" s="148" t="s">
        <v>75</v>
      </c>
      <c r="I28" s="240" t="s">
        <v>69</v>
      </c>
      <c r="J28" s="343" t="s">
        <v>75</v>
      </c>
      <c r="K28" s="240" t="s">
        <v>69</v>
      </c>
      <c r="L28" s="378" t="s">
        <v>75</v>
      </c>
      <c r="M28" s="264" t="s">
        <v>69</v>
      </c>
      <c r="N28" s="343" t="s">
        <v>75</v>
      </c>
      <c r="O28" s="240" t="s">
        <v>69</v>
      </c>
      <c r="P28" s="343" t="s">
        <v>75</v>
      </c>
      <c r="Q28" s="240" t="s">
        <v>69</v>
      </c>
      <c r="R28" s="343" t="s">
        <v>75</v>
      </c>
      <c r="S28" s="240" t="s">
        <v>69</v>
      </c>
      <c r="T28" s="343" t="s">
        <v>75</v>
      </c>
      <c r="U28" s="240" t="s">
        <v>69</v>
      </c>
      <c r="V28" s="343" t="s">
        <v>75</v>
      </c>
      <c r="W28" s="240" t="s">
        <v>69</v>
      </c>
      <c r="X28" s="343" t="s">
        <v>75</v>
      </c>
      <c r="Y28" s="240" t="s">
        <v>69</v>
      </c>
      <c r="Z28" s="343" t="s">
        <v>75</v>
      </c>
      <c r="AB28" s="561" t="s">
        <v>69</v>
      </c>
      <c r="AC28" s="241" t="s">
        <v>75</v>
      </c>
    </row>
    <row r="29" spans="1:32" ht="11.45" customHeight="1" x14ac:dyDescent="0.2">
      <c r="B29" s="276" t="s">
        <v>30</v>
      </c>
      <c r="C29" s="314">
        <v>2</v>
      </c>
      <c r="D29" s="459">
        <v>11500</v>
      </c>
      <c r="E29" s="85">
        <v>2</v>
      </c>
      <c r="F29" s="159">
        <v>0</v>
      </c>
      <c r="G29" s="322">
        <v>1</v>
      </c>
      <c r="H29" s="421">
        <v>0</v>
      </c>
      <c r="I29" s="320">
        <v>3</v>
      </c>
      <c r="J29" s="421">
        <v>39430</v>
      </c>
      <c r="K29" s="320">
        <v>3</v>
      </c>
      <c r="L29" s="421">
        <v>9776</v>
      </c>
      <c r="M29" s="322">
        <v>9</v>
      </c>
      <c r="N29" s="646">
        <v>1052965</v>
      </c>
      <c r="O29" s="322">
        <v>1</v>
      </c>
      <c r="P29" s="646">
        <v>16200</v>
      </c>
      <c r="Q29" s="322">
        <v>2</v>
      </c>
      <c r="R29" s="646">
        <v>16200</v>
      </c>
      <c r="S29" s="322">
        <v>0</v>
      </c>
      <c r="T29" s="646">
        <v>0</v>
      </c>
      <c r="U29" s="322">
        <v>4</v>
      </c>
      <c r="V29" s="646">
        <v>13936</v>
      </c>
      <c r="W29" s="322">
        <v>1</v>
      </c>
      <c r="X29" s="646">
        <v>450</v>
      </c>
      <c r="Y29" s="650"/>
      <c r="Z29" s="685"/>
      <c r="AA29" s="73"/>
      <c r="AB29" s="586">
        <f t="shared" ref="AB29:AC29" si="1">AVERAGE(W29,U29,S29,Q29,Y29)</f>
        <v>1.75</v>
      </c>
      <c r="AC29" s="564">
        <f t="shared" si="1"/>
        <v>7646.5</v>
      </c>
      <c r="AD29" s="88"/>
      <c r="AE29" s="73"/>
      <c r="AF29" s="89"/>
    </row>
    <row r="30" spans="1:32" ht="11.45" customHeight="1" x14ac:dyDescent="0.2">
      <c r="B30" s="276"/>
      <c r="C30" s="147"/>
      <c r="D30" s="212"/>
      <c r="E30" s="87"/>
      <c r="F30" s="43"/>
      <c r="G30" s="321"/>
      <c r="H30" s="421"/>
      <c r="I30" s="318"/>
      <c r="J30" s="421"/>
      <c r="K30" s="318"/>
      <c r="L30" s="421"/>
      <c r="M30" s="321"/>
      <c r="N30" s="317"/>
      <c r="O30" s="321"/>
      <c r="P30" s="317"/>
      <c r="Q30" s="321"/>
      <c r="R30" s="317"/>
      <c r="S30" s="321"/>
      <c r="T30" s="317"/>
      <c r="U30" s="321"/>
      <c r="V30" s="317"/>
      <c r="W30" s="321"/>
      <c r="X30" s="317"/>
      <c r="Y30" s="585"/>
      <c r="Z30" s="317"/>
      <c r="AA30" s="73"/>
      <c r="AB30" s="587"/>
      <c r="AC30" s="562"/>
      <c r="AD30" s="84"/>
      <c r="AE30" s="73"/>
      <c r="AF30" s="73"/>
    </row>
    <row r="31" spans="1:32" thickBot="1" x14ac:dyDescent="0.25">
      <c r="B31" s="277" t="s">
        <v>17</v>
      </c>
      <c r="C31" s="315">
        <v>3</v>
      </c>
      <c r="D31" s="213">
        <v>19249</v>
      </c>
      <c r="E31" s="451">
        <v>2</v>
      </c>
      <c r="F31" s="45">
        <v>6850</v>
      </c>
      <c r="G31" s="453">
        <v>3</v>
      </c>
      <c r="H31" s="423">
        <v>29339</v>
      </c>
      <c r="I31" s="429">
        <v>2</v>
      </c>
      <c r="J31" s="423">
        <v>20700</v>
      </c>
      <c r="K31" s="429">
        <v>1</v>
      </c>
      <c r="L31" s="423">
        <v>14000</v>
      </c>
      <c r="M31" s="453">
        <v>4</v>
      </c>
      <c r="N31" s="471">
        <v>85417</v>
      </c>
      <c r="O31" s="453">
        <v>3</v>
      </c>
      <c r="P31" s="471">
        <v>19000</v>
      </c>
      <c r="Q31" s="453">
        <v>3</v>
      </c>
      <c r="R31" s="471">
        <v>23800</v>
      </c>
      <c r="S31" s="453">
        <v>3</v>
      </c>
      <c r="T31" s="471">
        <v>22405</v>
      </c>
      <c r="U31" s="453">
        <v>1</v>
      </c>
      <c r="V31" s="471">
        <v>2000</v>
      </c>
      <c r="W31" s="453">
        <v>1</v>
      </c>
      <c r="X31" s="471">
        <v>2000</v>
      </c>
      <c r="Y31" s="636"/>
      <c r="Z31" s="686"/>
      <c r="AA31" s="73"/>
      <c r="AB31" s="587">
        <f t="shared" ref="AB31:AC31" si="2">AVERAGE(W31,U31,S31,Q31,Y31)</f>
        <v>2</v>
      </c>
      <c r="AC31" s="562">
        <f t="shared" si="2"/>
        <v>12551.25</v>
      </c>
      <c r="AD31" s="84"/>
      <c r="AE31" s="73"/>
      <c r="AF31" s="27"/>
    </row>
    <row r="32" spans="1:32" ht="12" x14ac:dyDescent="0.2">
      <c r="B32" s="273" t="s">
        <v>46</v>
      </c>
      <c r="C32" s="150"/>
      <c r="D32" s="588"/>
      <c r="E32" s="150"/>
      <c r="F32" s="592"/>
      <c r="G32" s="150"/>
      <c r="H32" s="593"/>
      <c r="I32" s="266"/>
      <c r="J32" s="596"/>
      <c r="K32" s="266"/>
      <c r="L32" s="598"/>
      <c r="M32" s="266"/>
      <c r="N32" s="596"/>
      <c r="O32" s="323"/>
      <c r="P32" s="596"/>
      <c r="Q32" s="323"/>
      <c r="R32" s="596"/>
      <c r="S32" s="323"/>
      <c r="T32" s="596"/>
      <c r="U32" s="323"/>
      <c r="V32" s="596"/>
      <c r="W32" s="323"/>
      <c r="X32" s="596"/>
      <c r="Y32" s="323"/>
      <c r="Z32" s="596"/>
      <c r="AA32" s="73"/>
      <c r="AB32" s="560"/>
      <c r="AC32" s="563"/>
      <c r="AD32" s="84"/>
      <c r="AE32" s="73"/>
      <c r="AF32" s="27"/>
    </row>
    <row r="33" spans="1:32" ht="12" x14ac:dyDescent="0.2">
      <c r="B33" s="278" t="s">
        <v>47</v>
      </c>
      <c r="C33" s="151"/>
      <c r="D33" s="589"/>
      <c r="E33" s="151"/>
      <c r="F33" s="74"/>
      <c r="G33" s="151"/>
      <c r="H33" s="594"/>
      <c r="I33" s="267"/>
      <c r="J33" s="597"/>
      <c r="K33" s="267"/>
      <c r="L33" s="247"/>
      <c r="M33" s="267"/>
      <c r="N33" s="597"/>
      <c r="O33" s="242"/>
      <c r="P33" s="597"/>
      <c r="Q33" s="242"/>
      <c r="R33" s="597"/>
      <c r="S33" s="242"/>
      <c r="T33" s="597"/>
      <c r="U33" s="242"/>
      <c r="V33" s="597"/>
      <c r="W33" s="242"/>
      <c r="X33" s="597"/>
      <c r="Y33" s="242"/>
      <c r="Z33" s="597"/>
      <c r="AA33" s="73"/>
      <c r="AB33" s="560"/>
      <c r="AC33" s="563"/>
      <c r="AD33" s="84"/>
      <c r="AE33" s="73"/>
      <c r="AF33" s="27"/>
    </row>
    <row r="34" spans="1:32" ht="12" x14ac:dyDescent="0.2">
      <c r="B34" s="287" t="s">
        <v>48</v>
      </c>
      <c r="C34" s="152"/>
      <c r="D34" s="590">
        <v>308434.86</v>
      </c>
      <c r="E34" s="152"/>
      <c r="F34" s="46">
        <v>307805.57</v>
      </c>
      <c r="G34" s="152"/>
      <c r="H34" s="439">
        <v>205474.91</v>
      </c>
      <c r="I34" s="433"/>
      <c r="J34" s="415">
        <v>306899.67</v>
      </c>
      <c r="K34" s="433"/>
      <c r="L34" s="599">
        <v>235008.26</v>
      </c>
      <c r="M34" s="433"/>
      <c r="N34" s="639">
        <v>114063</v>
      </c>
      <c r="O34" s="440"/>
      <c r="P34" s="639">
        <v>73096</v>
      </c>
      <c r="Q34" s="440"/>
      <c r="R34" s="639">
        <v>127988.86</v>
      </c>
      <c r="S34" s="440"/>
      <c r="T34" s="639">
        <v>88590.15</v>
      </c>
      <c r="U34" s="440"/>
      <c r="V34" s="639">
        <f>170000+52422.63</f>
        <v>222422.63</v>
      </c>
      <c r="W34" s="440"/>
      <c r="X34" s="639">
        <v>370204.61</v>
      </c>
      <c r="Y34" s="440"/>
      <c r="Z34" s="687"/>
      <c r="AA34" s="73"/>
      <c r="AB34" s="211"/>
      <c r="AC34" s="562">
        <f t="shared" ref="AC34:AC35" si="3">AVERAGE(X34,V34,T34,R34,P34)</f>
        <v>176460.45</v>
      </c>
      <c r="AD34" s="84"/>
      <c r="AE34" s="73"/>
      <c r="AF34" s="84"/>
    </row>
    <row r="35" spans="1:32" thickBot="1" x14ac:dyDescent="0.25">
      <c r="B35" s="288" t="s">
        <v>49</v>
      </c>
      <c r="C35" s="154"/>
      <c r="D35" s="591">
        <v>349143.11</v>
      </c>
      <c r="E35" s="154"/>
      <c r="F35" s="47">
        <v>367849.14</v>
      </c>
      <c r="G35" s="154"/>
      <c r="H35" s="595">
        <v>407744.68</v>
      </c>
      <c r="I35" s="303"/>
      <c r="J35" s="595">
        <v>443494.35</v>
      </c>
      <c r="K35" s="303"/>
      <c r="L35" s="600">
        <v>430190.49</v>
      </c>
      <c r="M35" s="303"/>
      <c r="N35" s="595">
        <v>319971.59000000003</v>
      </c>
      <c r="O35" s="370"/>
      <c r="P35" s="595">
        <v>327273</v>
      </c>
      <c r="Q35" s="370"/>
      <c r="R35" s="595">
        <v>362320.01</v>
      </c>
      <c r="S35" s="370"/>
      <c r="T35" s="595">
        <v>335855.55</v>
      </c>
      <c r="U35" s="370"/>
      <c r="V35" s="595">
        <v>358128.87</v>
      </c>
      <c r="W35" s="370"/>
      <c r="X35" s="595">
        <v>400195</v>
      </c>
      <c r="Y35" s="370"/>
      <c r="Z35" s="688"/>
      <c r="AA35" s="73"/>
      <c r="AB35" s="565"/>
      <c r="AC35" s="584">
        <f t="shared" si="3"/>
        <v>356754.48599999998</v>
      </c>
      <c r="AD35" s="84"/>
      <c r="AE35" s="73"/>
      <c r="AF35" s="27"/>
    </row>
    <row r="36" spans="1:32" thickTop="1" x14ac:dyDescent="0.2">
      <c r="B36" s="5"/>
      <c r="C36" s="73"/>
      <c r="D36" s="74"/>
      <c r="E36" s="73"/>
      <c r="F36" s="74"/>
      <c r="G36" s="73"/>
      <c r="H36" s="74"/>
      <c r="I36" s="242"/>
      <c r="J36" s="247"/>
      <c r="K36" s="242"/>
      <c r="L36" s="247"/>
      <c r="M36" s="242"/>
      <c r="N36" s="247"/>
      <c r="O36" s="242"/>
      <c r="P36" s="247"/>
      <c r="Q36" s="242"/>
      <c r="R36" s="247"/>
      <c r="S36" s="242"/>
      <c r="T36" s="247"/>
      <c r="U36" s="242"/>
      <c r="V36" s="247"/>
      <c r="W36" s="242"/>
      <c r="X36" s="247"/>
      <c r="Y36" s="242"/>
      <c r="Z36" s="247"/>
    </row>
    <row r="37" spans="1:32" x14ac:dyDescent="0.2">
      <c r="A37" s="3" t="s">
        <v>42</v>
      </c>
      <c r="B37" s="5"/>
      <c r="C37" s="73"/>
      <c r="D37" s="74"/>
      <c r="E37" s="73"/>
      <c r="F37" s="75"/>
      <c r="G37" s="73"/>
      <c r="H37" s="75"/>
      <c r="I37" s="242"/>
      <c r="J37" s="240"/>
      <c r="K37" s="242"/>
      <c r="L37" s="240"/>
      <c r="M37" s="242"/>
      <c r="N37" s="240"/>
      <c r="O37" s="242"/>
      <c r="P37" s="240"/>
      <c r="Q37" s="242"/>
      <c r="R37" s="240"/>
      <c r="S37" s="242" t="s">
        <v>20</v>
      </c>
      <c r="T37" s="240"/>
      <c r="U37" s="242" t="s">
        <v>20</v>
      </c>
      <c r="V37" s="240"/>
      <c r="W37" s="242" t="s">
        <v>20</v>
      </c>
      <c r="X37" s="240"/>
      <c r="Y37" s="242" t="s">
        <v>20</v>
      </c>
      <c r="Z37" s="240"/>
    </row>
    <row r="38" spans="1:32" thickBot="1" x14ac:dyDescent="0.25">
      <c r="B38" s="5"/>
      <c r="C38" s="73"/>
      <c r="D38" s="74"/>
      <c r="E38" s="73"/>
      <c r="F38" s="75"/>
      <c r="G38" s="73"/>
      <c r="H38" s="75"/>
      <c r="I38" s="242"/>
      <c r="J38" s="240"/>
      <c r="K38" s="242"/>
      <c r="L38" s="240"/>
      <c r="M38" s="242"/>
      <c r="N38" s="240"/>
      <c r="O38" s="242"/>
      <c r="P38" s="240"/>
      <c r="Q38" s="242"/>
      <c r="R38" s="240"/>
      <c r="S38" s="242"/>
      <c r="T38" s="240"/>
      <c r="U38" s="242"/>
      <c r="V38" s="240"/>
      <c r="W38" s="242"/>
      <c r="X38" s="240"/>
      <c r="Y38" s="242"/>
      <c r="Z38" s="240"/>
    </row>
    <row r="39" spans="1:32" ht="13.5" thickTop="1" thickBot="1" x14ac:dyDescent="0.25">
      <c r="B39" s="281"/>
      <c r="C39" s="811" t="s">
        <v>24</v>
      </c>
      <c r="D39" s="812"/>
      <c r="E39" s="811" t="s">
        <v>25</v>
      </c>
      <c r="F39" s="813"/>
      <c r="G39" s="811" t="s">
        <v>76</v>
      </c>
      <c r="H39" s="812"/>
      <c r="I39" s="792" t="s">
        <v>86</v>
      </c>
      <c r="J39" s="793"/>
      <c r="K39" s="792" t="s">
        <v>87</v>
      </c>
      <c r="L39" s="792"/>
      <c r="M39" s="798" t="s">
        <v>90</v>
      </c>
      <c r="N39" s="793"/>
      <c r="O39" s="798" t="s">
        <v>113</v>
      </c>
      <c r="P39" s="793"/>
      <c r="Q39" s="798" t="s">
        <v>118</v>
      </c>
      <c r="R39" s="793"/>
      <c r="S39" s="798" t="s">
        <v>131</v>
      </c>
      <c r="T39" s="793"/>
      <c r="U39" s="798" t="s">
        <v>139</v>
      </c>
      <c r="V39" s="793"/>
      <c r="W39" s="798" t="s">
        <v>141</v>
      </c>
      <c r="X39" s="793"/>
      <c r="Y39" s="798" t="s">
        <v>143</v>
      </c>
      <c r="Z39" s="793"/>
      <c r="AB39" s="823" t="s">
        <v>105</v>
      </c>
      <c r="AC39" s="824"/>
    </row>
    <row r="40" spans="1:32" ht="12" x14ac:dyDescent="0.2">
      <c r="B40" s="51" t="s">
        <v>26</v>
      </c>
      <c r="C40" s="127"/>
      <c r="D40" s="128"/>
      <c r="E40" s="127"/>
      <c r="F40" s="7"/>
      <c r="G40" s="127"/>
      <c r="H40" s="128"/>
      <c r="I40" s="234"/>
      <c r="J40" s="335"/>
      <c r="K40" s="234"/>
      <c r="L40" s="234"/>
      <c r="M40" s="299"/>
      <c r="N40" s="335"/>
      <c r="O40" s="299"/>
      <c r="P40" s="335"/>
      <c r="Q40" s="299"/>
      <c r="R40" s="335"/>
      <c r="S40" s="299"/>
      <c r="T40" s="335"/>
      <c r="U40" s="299"/>
      <c r="V40" s="335"/>
      <c r="W40" s="299"/>
      <c r="X40" s="335"/>
      <c r="Y40" s="299"/>
      <c r="Z40" s="335"/>
      <c r="AB40" s="560"/>
      <c r="AC40" s="506"/>
    </row>
    <row r="41" spans="1:32" ht="12" x14ac:dyDescent="0.2">
      <c r="B41" s="52" t="s">
        <v>27</v>
      </c>
      <c r="C41" s="129"/>
      <c r="D41" s="166"/>
      <c r="E41" s="129"/>
      <c r="F41" s="125"/>
      <c r="G41" s="129"/>
      <c r="H41" s="218"/>
      <c r="I41" s="235"/>
      <c r="J41" s="328"/>
      <c r="K41" s="235"/>
      <c r="L41" s="248"/>
      <c r="M41" s="258"/>
      <c r="N41" s="328"/>
      <c r="O41" s="258"/>
      <c r="P41" s="328"/>
      <c r="Q41" s="258"/>
      <c r="R41" s="328"/>
      <c r="S41" s="258"/>
      <c r="T41" s="328"/>
      <c r="U41" s="258"/>
      <c r="V41" s="328"/>
      <c r="W41" s="258"/>
      <c r="X41" s="328"/>
      <c r="Y41" s="258"/>
      <c r="Z41" s="328"/>
      <c r="AB41" s="211"/>
      <c r="AC41" s="575"/>
    </row>
    <row r="42" spans="1:32" ht="12" x14ac:dyDescent="0.2">
      <c r="B42" s="57" t="s">
        <v>28</v>
      </c>
      <c r="C42" s="129"/>
      <c r="D42" s="166">
        <v>0</v>
      </c>
      <c r="E42" s="129"/>
      <c r="F42" s="125">
        <v>7</v>
      </c>
      <c r="G42" s="129"/>
      <c r="H42" s="328">
        <v>5</v>
      </c>
      <c r="I42" s="235"/>
      <c r="J42" s="328">
        <v>6</v>
      </c>
      <c r="K42" s="235"/>
      <c r="L42" s="248">
        <v>8</v>
      </c>
      <c r="M42" s="258"/>
      <c r="N42" s="328">
        <v>4</v>
      </c>
      <c r="O42" s="258"/>
      <c r="P42" s="328">
        <v>1</v>
      </c>
      <c r="Q42" s="258"/>
      <c r="R42" s="328">
        <v>1</v>
      </c>
      <c r="S42" s="258"/>
      <c r="T42" s="328">
        <v>1</v>
      </c>
      <c r="U42" s="258"/>
      <c r="V42" s="328">
        <v>1</v>
      </c>
      <c r="W42" s="258"/>
      <c r="X42" s="328">
        <v>2</v>
      </c>
      <c r="Y42" s="258"/>
      <c r="Z42" s="328">
        <v>1</v>
      </c>
      <c r="AB42" s="209"/>
      <c r="AC42" s="13">
        <f t="shared" ref="AC42:AC43" si="4">AVERAGE(X42,V42,T42,R42,Z42)</f>
        <v>1.2</v>
      </c>
    </row>
    <row r="43" spans="1:32" ht="12" x14ac:dyDescent="0.2">
      <c r="B43" s="57" t="s">
        <v>104</v>
      </c>
      <c r="C43" s="129"/>
      <c r="D43" s="166">
        <v>0</v>
      </c>
      <c r="E43" s="129"/>
      <c r="F43" s="125">
        <v>3</v>
      </c>
      <c r="G43" s="129"/>
      <c r="H43" s="328">
        <v>2</v>
      </c>
      <c r="I43" s="235"/>
      <c r="J43" s="328">
        <v>2</v>
      </c>
      <c r="K43" s="235"/>
      <c r="L43" s="248">
        <v>1</v>
      </c>
      <c r="M43" s="258"/>
      <c r="N43" s="328">
        <v>1</v>
      </c>
      <c r="O43" s="258"/>
      <c r="P43" s="328">
        <v>1</v>
      </c>
      <c r="Q43" s="258"/>
      <c r="R43" s="328">
        <v>0</v>
      </c>
      <c r="S43" s="258"/>
      <c r="T43" s="328">
        <v>0</v>
      </c>
      <c r="U43" s="258"/>
      <c r="V43" s="328">
        <v>0</v>
      </c>
      <c r="W43" s="258"/>
      <c r="X43" s="328">
        <v>2</v>
      </c>
      <c r="Y43" s="258"/>
      <c r="Z43" s="328">
        <v>2</v>
      </c>
      <c r="AB43" s="209"/>
      <c r="AC43" s="13">
        <f t="shared" si="4"/>
        <v>0.8</v>
      </c>
    </row>
    <row r="44" spans="1:32" ht="12" x14ac:dyDescent="0.2">
      <c r="B44" s="52" t="s">
        <v>29</v>
      </c>
      <c r="C44" s="129"/>
      <c r="D44" s="132"/>
      <c r="E44" s="129"/>
      <c r="F44" s="39"/>
      <c r="G44" s="129"/>
      <c r="H44" s="329"/>
      <c r="I44" s="235"/>
      <c r="J44" s="329"/>
      <c r="K44" s="235"/>
      <c r="L44" s="239"/>
      <c r="M44" s="258"/>
      <c r="N44" s="329"/>
      <c r="O44" s="258"/>
      <c r="P44" s="329"/>
      <c r="Q44" s="258"/>
      <c r="R44" s="329"/>
      <c r="S44" s="258"/>
      <c r="T44" s="329"/>
      <c r="U44" s="258"/>
      <c r="V44" s="329"/>
      <c r="W44" s="258"/>
      <c r="X44" s="329"/>
      <c r="Y44" s="258"/>
      <c r="Z44" s="329"/>
      <c r="AB44" s="209"/>
      <c r="AC44" s="13"/>
    </row>
    <row r="45" spans="1:32" ht="12" x14ac:dyDescent="0.2">
      <c r="B45" s="57" t="s">
        <v>28</v>
      </c>
      <c r="C45" s="129"/>
      <c r="D45" s="132">
        <v>1</v>
      </c>
      <c r="E45" s="129"/>
      <c r="F45" s="39">
        <v>7</v>
      </c>
      <c r="G45" s="129"/>
      <c r="H45" s="329">
        <v>6</v>
      </c>
      <c r="I45" s="235"/>
      <c r="J45" s="329">
        <v>6</v>
      </c>
      <c r="K45" s="235"/>
      <c r="L45" s="239">
        <v>7</v>
      </c>
      <c r="M45" s="258"/>
      <c r="N45" s="329">
        <v>4</v>
      </c>
      <c r="O45" s="258"/>
      <c r="P45" s="329">
        <v>4</v>
      </c>
      <c r="Q45" s="258"/>
      <c r="R45" s="329">
        <v>0</v>
      </c>
      <c r="S45" s="258"/>
      <c r="T45" s="329">
        <v>0</v>
      </c>
      <c r="U45" s="258"/>
      <c r="V45" s="329">
        <v>0</v>
      </c>
      <c r="W45" s="258"/>
      <c r="X45" s="329">
        <v>0</v>
      </c>
      <c r="Y45" s="258"/>
      <c r="Z45" s="329">
        <v>0</v>
      </c>
      <c r="AB45" s="209"/>
      <c r="AC45" s="13">
        <f t="shared" ref="AC45:AC47" si="5">AVERAGE(X45,V45,T45,R45,Z45)</f>
        <v>0</v>
      </c>
    </row>
    <row r="46" spans="1:32" ht="12" x14ac:dyDescent="0.2">
      <c r="B46" s="282" t="s">
        <v>104</v>
      </c>
      <c r="C46" s="129"/>
      <c r="D46" s="132">
        <v>0</v>
      </c>
      <c r="E46" s="129"/>
      <c r="F46" s="39">
        <v>1</v>
      </c>
      <c r="G46" s="129"/>
      <c r="H46" s="329">
        <v>3</v>
      </c>
      <c r="I46" s="235"/>
      <c r="J46" s="329">
        <v>3</v>
      </c>
      <c r="K46" s="235"/>
      <c r="L46" s="239">
        <v>3</v>
      </c>
      <c r="M46" s="258"/>
      <c r="N46" s="329">
        <v>3</v>
      </c>
      <c r="O46" s="258"/>
      <c r="P46" s="329">
        <v>6</v>
      </c>
      <c r="Q46" s="258"/>
      <c r="R46" s="329">
        <v>2</v>
      </c>
      <c r="S46" s="258"/>
      <c r="T46" s="329">
        <v>2</v>
      </c>
      <c r="U46" s="258"/>
      <c r="V46" s="329">
        <v>2</v>
      </c>
      <c r="W46" s="258"/>
      <c r="X46" s="329">
        <v>0</v>
      </c>
      <c r="Y46" s="258"/>
      <c r="Z46" s="329">
        <v>0</v>
      </c>
      <c r="AB46" s="209"/>
      <c r="AC46" s="13">
        <f t="shared" si="5"/>
        <v>1.2</v>
      </c>
    </row>
    <row r="47" spans="1:32" thickBot="1" x14ac:dyDescent="0.25">
      <c r="B47" s="56" t="s">
        <v>14</v>
      </c>
      <c r="C47" s="167"/>
      <c r="D47" s="180">
        <f>SUM(D42:D46)</f>
        <v>1</v>
      </c>
      <c r="E47" s="167"/>
      <c r="F47" s="82">
        <f>SUM(F42:F46)</f>
        <v>18</v>
      </c>
      <c r="G47" s="167"/>
      <c r="H47" s="330">
        <v>16</v>
      </c>
      <c r="I47" s="327"/>
      <c r="J47" s="180">
        <f>SUM(J42:J46)</f>
        <v>17</v>
      </c>
      <c r="K47" s="327"/>
      <c r="L47" s="82">
        <f>SUM(L42:L46)</f>
        <v>19</v>
      </c>
      <c r="M47" s="304"/>
      <c r="N47" s="180">
        <f>SUM(N42:N46)</f>
        <v>12</v>
      </c>
      <c r="O47" s="304"/>
      <c r="P47" s="180">
        <f>SUM(P42:P46)</f>
        <v>12</v>
      </c>
      <c r="Q47" s="304"/>
      <c r="R47" s="180">
        <f>SUM(R42:R46)</f>
        <v>3</v>
      </c>
      <c r="S47" s="304"/>
      <c r="T47" s="330">
        <f>SUM(T42:T46)</f>
        <v>3</v>
      </c>
      <c r="U47" s="304"/>
      <c r="V47" s="330">
        <f>SUM(V42:V46)</f>
        <v>3</v>
      </c>
      <c r="W47" s="304"/>
      <c r="X47" s="330">
        <f>SUM(X42:X46)</f>
        <v>4</v>
      </c>
      <c r="Y47" s="304"/>
      <c r="Z47" s="330">
        <f>SUM(Z42:Z46)</f>
        <v>3</v>
      </c>
      <c r="AB47" s="560"/>
      <c r="AC47" s="413">
        <f t="shared" si="5"/>
        <v>3.2</v>
      </c>
    </row>
    <row r="48" spans="1:32" ht="13.5" thickTop="1" thickBot="1" x14ac:dyDescent="0.25">
      <c r="A48" s="506"/>
      <c r="B48" s="507" t="s">
        <v>92</v>
      </c>
      <c r="C48" s="802" t="s">
        <v>93</v>
      </c>
      <c r="D48" s="803"/>
      <c r="E48" s="802" t="s">
        <v>94</v>
      </c>
      <c r="F48" s="803"/>
      <c r="G48" s="804" t="s">
        <v>95</v>
      </c>
      <c r="H48" s="805"/>
      <c r="I48" s="804" t="s">
        <v>96</v>
      </c>
      <c r="J48" s="805"/>
      <c r="K48" s="804" t="s">
        <v>97</v>
      </c>
      <c r="L48" s="805"/>
      <c r="M48" s="788" t="s">
        <v>98</v>
      </c>
      <c r="N48" s="789"/>
      <c r="O48" s="788" t="s">
        <v>114</v>
      </c>
      <c r="P48" s="789"/>
      <c r="Q48" s="788" t="s">
        <v>119</v>
      </c>
      <c r="R48" s="789"/>
      <c r="S48" s="788" t="s">
        <v>132</v>
      </c>
      <c r="T48" s="789"/>
      <c r="U48" s="788" t="s">
        <v>140</v>
      </c>
      <c r="V48" s="789"/>
      <c r="W48" s="788" t="s">
        <v>142</v>
      </c>
      <c r="X48" s="789"/>
      <c r="Y48" s="788" t="s">
        <v>144</v>
      </c>
      <c r="Z48" s="789"/>
      <c r="AA48" s="506"/>
      <c r="AB48" s="823" t="s">
        <v>105</v>
      </c>
      <c r="AC48" s="824"/>
    </row>
    <row r="49" spans="1:32" ht="12" x14ac:dyDescent="0.2">
      <c r="A49" s="506"/>
      <c r="B49" s="508"/>
      <c r="C49" s="509" t="s">
        <v>69</v>
      </c>
      <c r="D49" s="510" t="s">
        <v>18</v>
      </c>
      <c r="E49" s="509" t="s">
        <v>69</v>
      </c>
      <c r="F49" s="510" t="s">
        <v>18</v>
      </c>
      <c r="G49" s="509" t="s">
        <v>69</v>
      </c>
      <c r="H49" s="510" t="s">
        <v>18</v>
      </c>
      <c r="I49" s="509" t="s">
        <v>69</v>
      </c>
      <c r="J49" s="510" t="s">
        <v>18</v>
      </c>
      <c r="K49" s="509" t="s">
        <v>69</v>
      </c>
      <c r="L49" s="510" t="s">
        <v>18</v>
      </c>
      <c r="M49" s="509" t="s">
        <v>69</v>
      </c>
      <c r="N49" s="510" t="s">
        <v>18</v>
      </c>
      <c r="O49" s="509" t="s">
        <v>69</v>
      </c>
      <c r="P49" s="510" t="s">
        <v>18</v>
      </c>
      <c r="Q49" s="509" t="s">
        <v>69</v>
      </c>
      <c r="R49" s="510" t="s">
        <v>18</v>
      </c>
      <c r="S49" s="509" t="s">
        <v>69</v>
      </c>
      <c r="T49" s="510" t="s">
        <v>18</v>
      </c>
      <c r="U49" s="509" t="s">
        <v>69</v>
      </c>
      <c r="V49" s="510" t="s">
        <v>18</v>
      </c>
      <c r="W49" s="509" t="s">
        <v>69</v>
      </c>
      <c r="X49" s="510" t="s">
        <v>18</v>
      </c>
      <c r="Y49" s="509" t="s">
        <v>69</v>
      </c>
      <c r="Z49" s="510" t="s">
        <v>18</v>
      </c>
      <c r="AA49" s="506"/>
      <c r="AB49" s="579" t="s">
        <v>69</v>
      </c>
      <c r="AC49" s="511" t="s">
        <v>18</v>
      </c>
    </row>
    <row r="50" spans="1:32" ht="12" x14ac:dyDescent="0.2">
      <c r="A50" s="506"/>
      <c r="B50" s="282" t="s">
        <v>99</v>
      </c>
      <c r="C50" s="509">
        <v>2</v>
      </c>
      <c r="D50" s="621">
        <v>1</v>
      </c>
      <c r="E50" s="622">
        <v>0</v>
      </c>
      <c r="F50" s="512">
        <v>0</v>
      </c>
      <c r="G50" s="622">
        <v>0</v>
      </c>
      <c r="H50" s="512">
        <v>0</v>
      </c>
      <c r="I50" s="622">
        <v>0</v>
      </c>
      <c r="J50" s="512">
        <v>0</v>
      </c>
      <c r="K50" s="622">
        <v>0</v>
      </c>
      <c r="L50" s="512">
        <v>0</v>
      </c>
      <c r="M50" s="622">
        <v>0</v>
      </c>
      <c r="N50" s="512">
        <v>0</v>
      </c>
      <c r="O50" s="622">
        <v>0</v>
      </c>
      <c r="P50" s="512">
        <v>0</v>
      </c>
      <c r="Q50" s="622">
        <v>0</v>
      </c>
      <c r="R50" s="512">
        <v>0</v>
      </c>
      <c r="S50" s="622">
        <v>0</v>
      </c>
      <c r="T50" s="512">
        <v>0</v>
      </c>
      <c r="U50" s="622">
        <v>0</v>
      </c>
      <c r="V50" s="512">
        <v>0</v>
      </c>
      <c r="W50" s="622">
        <v>6</v>
      </c>
      <c r="X50" s="512">
        <v>1</v>
      </c>
      <c r="Y50" s="622">
        <v>1</v>
      </c>
      <c r="Z50" s="512">
        <v>0.1</v>
      </c>
      <c r="AA50" s="627"/>
      <c r="AB50" s="615">
        <f t="shared" ref="AB50:AB52" si="6">AVERAGE(W50,U50,S50,Q50,Y50)</f>
        <v>1.4</v>
      </c>
      <c r="AC50" s="616">
        <f t="shared" ref="AC50:AC52" si="7">AVERAGE(X50,V50,T50,R50,Z50)</f>
        <v>0.22000000000000003</v>
      </c>
    </row>
    <row r="51" spans="1:32" ht="12" x14ac:dyDescent="0.2">
      <c r="A51" s="506"/>
      <c r="B51" s="282" t="s">
        <v>100</v>
      </c>
      <c r="C51" s="509">
        <v>1</v>
      </c>
      <c r="D51" s="621">
        <v>0.5</v>
      </c>
      <c r="E51" s="622">
        <v>0</v>
      </c>
      <c r="F51" s="512">
        <v>0</v>
      </c>
      <c r="G51" s="622">
        <v>1</v>
      </c>
      <c r="H51" s="512">
        <v>0.1</v>
      </c>
      <c r="I51" s="622">
        <v>0</v>
      </c>
      <c r="J51" s="512">
        <v>0</v>
      </c>
      <c r="K51" s="622">
        <v>0</v>
      </c>
      <c r="L51" s="512">
        <v>0</v>
      </c>
      <c r="M51" s="622">
        <v>0</v>
      </c>
      <c r="N51" s="512">
        <v>0</v>
      </c>
      <c r="O51" s="622">
        <v>0</v>
      </c>
      <c r="P51" s="512">
        <v>0</v>
      </c>
      <c r="Q51" s="622">
        <v>0</v>
      </c>
      <c r="R51" s="512">
        <v>0</v>
      </c>
      <c r="S51" s="622">
        <v>0</v>
      </c>
      <c r="T51" s="512">
        <v>0</v>
      </c>
      <c r="U51" s="622">
        <v>0</v>
      </c>
      <c r="V51" s="512">
        <v>0</v>
      </c>
      <c r="W51" s="622">
        <v>0</v>
      </c>
      <c r="X51" s="512">
        <v>0</v>
      </c>
      <c r="Y51" s="622">
        <v>0</v>
      </c>
      <c r="Z51" s="512">
        <v>0</v>
      </c>
      <c r="AA51" s="627"/>
      <c r="AB51" s="615">
        <f t="shared" si="6"/>
        <v>0</v>
      </c>
      <c r="AC51" s="616">
        <f t="shared" si="7"/>
        <v>0</v>
      </c>
    </row>
    <row r="52" spans="1:32" thickBot="1" x14ac:dyDescent="0.25">
      <c r="A52" s="506"/>
      <c r="B52" s="290" t="s">
        <v>101</v>
      </c>
      <c r="C52" s="514">
        <v>0</v>
      </c>
      <c r="D52" s="623">
        <v>0</v>
      </c>
      <c r="E52" s="624">
        <v>0</v>
      </c>
      <c r="F52" s="515">
        <v>0</v>
      </c>
      <c r="G52" s="624">
        <v>0</v>
      </c>
      <c r="H52" s="515">
        <v>0</v>
      </c>
      <c r="I52" s="624">
        <v>0</v>
      </c>
      <c r="J52" s="515">
        <v>0</v>
      </c>
      <c r="K52" s="624">
        <v>0</v>
      </c>
      <c r="L52" s="515">
        <v>0</v>
      </c>
      <c r="M52" s="624">
        <v>0</v>
      </c>
      <c r="N52" s="515">
        <v>0</v>
      </c>
      <c r="O52" s="624">
        <v>0</v>
      </c>
      <c r="P52" s="515">
        <v>0</v>
      </c>
      <c r="Q52" s="624">
        <v>0</v>
      </c>
      <c r="R52" s="515">
        <v>0</v>
      </c>
      <c r="S52" s="624">
        <v>0</v>
      </c>
      <c r="T52" s="515">
        <v>0</v>
      </c>
      <c r="U52" s="624">
        <v>0</v>
      </c>
      <c r="V52" s="515">
        <v>0</v>
      </c>
      <c r="W52" s="624">
        <v>0</v>
      </c>
      <c r="X52" s="515">
        <v>0</v>
      </c>
      <c r="Y52" s="624">
        <v>0</v>
      </c>
      <c r="Z52" s="515">
        <v>0</v>
      </c>
      <c r="AA52" s="627"/>
      <c r="AB52" s="617">
        <f t="shared" si="6"/>
        <v>0</v>
      </c>
      <c r="AC52" s="618">
        <f t="shared" si="7"/>
        <v>0</v>
      </c>
      <c r="AF52" s="26"/>
    </row>
    <row r="53" spans="1:32" ht="13.5" thickTop="1" x14ac:dyDescent="0.2"/>
    <row r="57" spans="1:32" x14ac:dyDescent="0.2">
      <c r="AB57" s="1" t="s">
        <v>20</v>
      </c>
    </row>
  </sheetData>
  <mergeCells count="39">
    <mergeCell ref="AB39:AC39"/>
    <mergeCell ref="AB48:AC48"/>
    <mergeCell ref="AB7:AC7"/>
    <mergeCell ref="W7:X7"/>
    <mergeCell ref="W39:X39"/>
    <mergeCell ref="W48:X48"/>
    <mergeCell ref="Y7:Z7"/>
    <mergeCell ref="Y39:Z39"/>
    <mergeCell ref="Y48:Z48"/>
    <mergeCell ref="U7:V7"/>
    <mergeCell ref="U39:V39"/>
    <mergeCell ref="U48:V48"/>
    <mergeCell ref="O7:P7"/>
    <mergeCell ref="O39:P39"/>
    <mergeCell ref="Q7:R7"/>
    <mergeCell ref="Q39:R39"/>
    <mergeCell ref="Q48:R48"/>
    <mergeCell ref="C48:D48"/>
    <mergeCell ref="E48:F48"/>
    <mergeCell ref="G48:H48"/>
    <mergeCell ref="S7:T7"/>
    <mergeCell ref="S39:T39"/>
    <mergeCell ref="S48:T48"/>
    <mergeCell ref="O48:P48"/>
    <mergeCell ref="C7:D7"/>
    <mergeCell ref="E7:F7"/>
    <mergeCell ref="C39:D39"/>
    <mergeCell ref="E39:F39"/>
    <mergeCell ref="I7:J7"/>
    <mergeCell ref="I39:J39"/>
    <mergeCell ref="I48:J48"/>
    <mergeCell ref="K48:L48"/>
    <mergeCell ref="M48:N48"/>
    <mergeCell ref="G7:H7"/>
    <mergeCell ref="G39:H39"/>
    <mergeCell ref="K7:L7"/>
    <mergeCell ref="M7:N7"/>
    <mergeCell ref="M39:N39"/>
    <mergeCell ref="K39:L39"/>
  </mergeCells>
  <phoneticPr fontId="0" type="noConversion"/>
  <printOptions horizontalCentered="1"/>
  <pageMargins left="0.5" right="0.5" top="0.5" bottom="0.5" header="0.5" footer="0.5"/>
  <pageSetup scale="67" orientation="landscape" r:id="rId1"/>
  <headerFooter alignWithMargins="0">
    <oddFooter>&amp;R&amp;P of &amp;N
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4"/>
  <sheetViews>
    <sheetView tabSelected="1" zoomScaleNormal="100" zoomScaleSheetLayoutView="100" workbookViewId="0">
      <pane xSplit="2" ySplit="1" topLeftCell="M59" activePane="bottomRight" state="frozen"/>
      <selection activeCell="E1" sqref="E1:F65536"/>
      <selection pane="topRight" activeCell="E1" sqref="E1:F65536"/>
      <selection pane="bottomLeft" activeCell="E1" sqref="E1:F65536"/>
      <selection pane="bottomRight" activeCell="AB1" sqref="AB1:AC1048576"/>
    </sheetView>
  </sheetViews>
  <sheetFormatPr defaultColWidth="10.28515625" defaultRowHeight="12.75" x14ac:dyDescent="0.2"/>
  <cols>
    <col min="1" max="1" width="3.7109375" style="1" customWidth="1"/>
    <col min="2" max="2" width="34" style="1" customWidth="1"/>
    <col min="3" max="3" width="7.7109375" hidden="1" customWidth="1"/>
    <col min="4" max="4" width="11.5703125" style="1" hidden="1" customWidth="1"/>
    <col min="5" max="5" width="7.7109375" hidden="1" customWidth="1"/>
    <col min="6" max="6" width="12" hidden="1" customWidth="1"/>
    <col min="7" max="7" width="7.7109375" style="216" hidden="1" customWidth="1"/>
    <col min="8" max="8" width="12.140625" style="216" hidden="1" customWidth="1"/>
    <col min="9" max="9" width="7.7109375" style="216" hidden="1" customWidth="1"/>
    <col min="10" max="10" width="11.140625" style="216" hidden="1" customWidth="1"/>
    <col min="11" max="11" width="7.7109375" style="1" hidden="1" customWidth="1"/>
    <col min="12" max="12" width="12" style="1" hidden="1" customWidth="1"/>
    <col min="13" max="13" width="7.7109375" style="1" hidden="1" customWidth="1"/>
    <col min="14" max="14" width="11.28515625" style="1" hidden="1" customWidth="1"/>
    <col min="15" max="15" width="7.7109375" style="1" customWidth="1"/>
    <col min="16" max="16" width="11.28515625" style="1" customWidth="1"/>
    <col min="17" max="17" width="7.7109375" style="1" customWidth="1"/>
    <col min="18" max="18" width="11.28515625" style="1" customWidth="1"/>
    <col min="19" max="19" width="7.7109375" style="1" customWidth="1"/>
    <col min="20" max="20" width="11.28515625" style="1" customWidth="1"/>
    <col min="21" max="21" width="7.7109375" style="1" customWidth="1"/>
    <col min="22" max="22" width="11.28515625" style="1" customWidth="1"/>
    <col min="23" max="23" width="7.7109375" style="1" customWidth="1"/>
    <col min="24" max="24" width="11.28515625" style="1" customWidth="1"/>
    <col min="25" max="25" width="7.7109375" style="1" customWidth="1"/>
    <col min="26" max="26" width="11.28515625" style="1" customWidth="1"/>
    <col min="27" max="27" width="3" style="1" customWidth="1"/>
    <col min="28" max="28" width="7.7109375" style="1" hidden="1" customWidth="1"/>
    <col min="29" max="29" width="11.85546875" style="1" hidden="1" customWidth="1"/>
    <col min="30" max="30" width="2" style="1" customWidth="1"/>
    <col min="31" max="16384" width="10.28515625" style="1"/>
  </cols>
  <sheetData>
    <row r="1" spans="1:29" ht="18" x14ac:dyDescent="0.25">
      <c r="A1" s="533" t="s">
        <v>146</v>
      </c>
      <c r="B1" s="533"/>
      <c r="C1" s="533"/>
      <c r="D1" s="533"/>
      <c r="E1" s="533"/>
      <c r="F1" s="533"/>
      <c r="G1" s="533"/>
      <c r="H1" s="533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</row>
    <row r="2" spans="1:29" ht="12" x14ac:dyDescent="0.2">
      <c r="B2" s="1" t="s">
        <v>20</v>
      </c>
      <c r="C2" s="1"/>
      <c r="E2" s="1"/>
      <c r="F2" s="1"/>
      <c r="G2" s="215"/>
      <c r="H2" s="215"/>
      <c r="I2" s="215"/>
      <c r="J2" s="215"/>
    </row>
    <row r="3" spans="1:29" x14ac:dyDescent="0.2">
      <c r="A3" s="3" t="s">
        <v>41</v>
      </c>
      <c r="C3" s="1"/>
      <c r="E3" s="1"/>
      <c r="F3" s="1"/>
      <c r="G3" s="215"/>
      <c r="H3" s="215"/>
      <c r="I3" s="215"/>
      <c r="J3" s="215"/>
    </row>
    <row r="4" spans="1:29" thickBot="1" x14ac:dyDescent="0.25">
      <c r="A4" s="2"/>
      <c r="C4" s="1"/>
      <c r="E4" s="1"/>
      <c r="F4" s="1"/>
      <c r="G4" s="215"/>
      <c r="H4" s="215"/>
      <c r="I4" s="215"/>
      <c r="J4" s="215"/>
    </row>
    <row r="5" spans="1:29" ht="14.25" customHeight="1" thickTop="1" thickBot="1" x14ac:dyDescent="0.25">
      <c r="B5" s="48"/>
      <c r="C5" s="10" t="s">
        <v>24</v>
      </c>
      <c r="D5" s="28"/>
      <c r="E5" s="10" t="s">
        <v>25</v>
      </c>
      <c r="F5" s="28"/>
      <c r="G5" s="224" t="s">
        <v>76</v>
      </c>
      <c r="H5" s="347"/>
      <c r="I5" s="224" t="s">
        <v>86</v>
      </c>
      <c r="J5" s="347"/>
      <c r="K5" s="224" t="s">
        <v>87</v>
      </c>
      <c r="L5" s="368"/>
      <c r="M5" s="251" t="s">
        <v>90</v>
      </c>
      <c r="N5" s="347"/>
      <c r="O5" s="799" t="s">
        <v>113</v>
      </c>
      <c r="P5" s="791"/>
      <c r="Q5" s="799" t="s">
        <v>118</v>
      </c>
      <c r="R5" s="791"/>
      <c r="S5" s="799" t="s">
        <v>131</v>
      </c>
      <c r="T5" s="791"/>
      <c r="U5" s="799" t="s">
        <v>139</v>
      </c>
      <c r="V5" s="791"/>
      <c r="W5" s="799" t="s">
        <v>141</v>
      </c>
      <c r="X5" s="791"/>
      <c r="Y5" s="799" t="s">
        <v>143</v>
      </c>
      <c r="Z5" s="791"/>
      <c r="AB5" s="823" t="s">
        <v>105</v>
      </c>
      <c r="AC5" s="824"/>
    </row>
    <row r="6" spans="1:29" ht="12" x14ac:dyDescent="0.2">
      <c r="B6" s="49"/>
      <c r="C6" s="19" t="s">
        <v>1</v>
      </c>
      <c r="D6" s="29" t="s">
        <v>2</v>
      </c>
      <c r="E6" s="19" t="s">
        <v>1</v>
      </c>
      <c r="F6" s="29" t="s">
        <v>2</v>
      </c>
      <c r="G6" s="225" t="s">
        <v>1</v>
      </c>
      <c r="H6" s="333" t="s">
        <v>2</v>
      </c>
      <c r="I6" s="225" t="s">
        <v>1</v>
      </c>
      <c r="J6" s="333" t="s">
        <v>2</v>
      </c>
      <c r="K6" s="225" t="s">
        <v>1</v>
      </c>
      <c r="L6" s="382" t="s">
        <v>2</v>
      </c>
      <c r="M6" s="252" t="s">
        <v>1</v>
      </c>
      <c r="N6" s="333" t="s">
        <v>2</v>
      </c>
      <c r="O6" s="225" t="s">
        <v>1</v>
      </c>
      <c r="P6" s="333" t="s">
        <v>2</v>
      </c>
      <c r="Q6" s="225" t="s">
        <v>1</v>
      </c>
      <c r="R6" s="333" t="s">
        <v>2</v>
      </c>
      <c r="S6" s="225" t="s">
        <v>1</v>
      </c>
      <c r="T6" s="333" t="s">
        <v>2</v>
      </c>
      <c r="U6" s="225" t="s">
        <v>1</v>
      </c>
      <c r="V6" s="333" t="s">
        <v>2</v>
      </c>
      <c r="W6" s="225" t="s">
        <v>1</v>
      </c>
      <c r="X6" s="333" t="s">
        <v>2</v>
      </c>
      <c r="Y6" s="225" t="s">
        <v>1</v>
      </c>
      <c r="Z6" s="333" t="s">
        <v>2</v>
      </c>
      <c r="AB6" s="545" t="s">
        <v>106</v>
      </c>
      <c r="AC6" s="546" t="s">
        <v>107</v>
      </c>
    </row>
    <row r="7" spans="1:29" thickBot="1" x14ac:dyDescent="0.25">
      <c r="B7" s="50"/>
      <c r="C7" s="22" t="s">
        <v>3</v>
      </c>
      <c r="D7" s="30" t="s">
        <v>4</v>
      </c>
      <c r="E7" s="22" t="s">
        <v>3</v>
      </c>
      <c r="F7" s="30" t="s">
        <v>4</v>
      </c>
      <c r="G7" s="226" t="s">
        <v>3</v>
      </c>
      <c r="H7" s="334" t="s">
        <v>4</v>
      </c>
      <c r="I7" s="226" t="s">
        <v>3</v>
      </c>
      <c r="J7" s="334" t="s">
        <v>4</v>
      </c>
      <c r="K7" s="226" t="s">
        <v>3</v>
      </c>
      <c r="L7" s="383" t="s">
        <v>4</v>
      </c>
      <c r="M7" s="256" t="s">
        <v>3</v>
      </c>
      <c r="N7" s="334" t="s">
        <v>4</v>
      </c>
      <c r="O7" s="226" t="s">
        <v>3</v>
      </c>
      <c r="P7" s="334" t="s">
        <v>4</v>
      </c>
      <c r="Q7" s="226" t="s">
        <v>3</v>
      </c>
      <c r="R7" s="334" t="s">
        <v>4</v>
      </c>
      <c r="S7" s="226" t="s">
        <v>3</v>
      </c>
      <c r="T7" s="334" t="s">
        <v>4</v>
      </c>
      <c r="U7" s="226" t="s">
        <v>3</v>
      </c>
      <c r="V7" s="334" t="s">
        <v>4</v>
      </c>
      <c r="W7" s="226" t="s">
        <v>3</v>
      </c>
      <c r="X7" s="334" t="s">
        <v>4</v>
      </c>
      <c r="Y7" s="226" t="s">
        <v>3</v>
      </c>
      <c r="Z7" s="334" t="s">
        <v>4</v>
      </c>
      <c r="AB7" s="547" t="s">
        <v>3</v>
      </c>
      <c r="AC7" s="548" t="s">
        <v>4</v>
      </c>
    </row>
    <row r="8" spans="1:29" ht="12" x14ac:dyDescent="0.2">
      <c r="B8" s="51" t="s">
        <v>5</v>
      </c>
      <c r="C8" s="14"/>
      <c r="D8" s="32"/>
      <c r="E8" s="14"/>
      <c r="F8" s="32"/>
      <c r="G8" s="227"/>
      <c r="H8" s="348"/>
      <c r="I8" s="227"/>
      <c r="J8" s="348"/>
      <c r="K8" s="227"/>
      <c r="L8" s="384"/>
      <c r="M8" s="255"/>
      <c r="N8" s="348"/>
      <c r="O8" s="227"/>
      <c r="P8" s="348"/>
      <c r="Q8" s="227"/>
      <c r="R8" s="348"/>
      <c r="S8" s="227"/>
      <c r="T8" s="348"/>
      <c r="U8" s="227"/>
      <c r="V8" s="348"/>
      <c r="W8" s="227"/>
      <c r="X8" s="348"/>
      <c r="Y8" s="227"/>
      <c r="Z8" s="348"/>
      <c r="AB8" s="602"/>
      <c r="AC8" s="603"/>
    </row>
    <row r="9" spans="1:29" ht="12" x14ac:dyDescent="0.2">
      <c r="B9" s="52"/>
      <c r="C9" s="11"/>
      <c r="D9" s="34"/>
      <c r="E9" s="11"/>
      <c r="F9" s="34"/>
      <c r="G9" s="72"/>
      <c r="H9" s="349"/>
      <c r="I9" s="72"/>
      <c r="J9" s="349"/>
      <c r="K9" s="72"/>
      <c r="L9" s="385"/>
      <c r="M9" s="253"/>
      <c r="N9" s="349" t="s">
        <v>20</v>
      </c>
      <c r="O9" s="72"/>
      <c r="P9" s="349"/>
      <c r="Q9" s="72"/>
      <c r="R9" s="349"/>
      <c r="S9" s="72"/>
      <c r="T9" s="349"/>
      <c r="U9" s="72"/>
      <c r="V9" s="349"/>
      <c r="W9" s="72"/>
      <c r="X9" s="349"/>
      <c r="Y9" s="72"/>
      <c r="Z9" s="349"/>
      <c r="AA9" s="506"/>
      <c r="AB9" s="26"/>
      <c r="AC9" s="506"/>
    </row>
    <row r="10" spans="1:29" ht="12" x14ac:dyDescent="0.2">
      <c r="B10" s="102" t="s">
        <v>108</v>
      </c>
      <c r="C10" s="99">
        <f>Path!C12+Clincial_Sci!C12+Anatomy_Phy!C12+Dean_VM!C12+Dean_VM!C14</f>
        <v>21</v>
      </c>
      <c r="D10" s="324">
        <f>Path!D12+Anatomy_Phy!D12+Dean_VM!D12+Dean_VM!D14</f>
        <v>4</v>
      </c>
      <c r="E10" s="99">
        <f>Path!E12+Clincial_Sci!E12+Anatomy_Phy!E12+Dean_VM!E12+Dean_VM!E14</f>
        <v>20</v>
      </c>
      <c r="F10" s="324">
        <f>Path!F12+Anatomy_Phy!F12+Dean_VM!F12+Dean_VM!F14</f>
        <v>4</v>
      </c>
      <c r="G10" s="99">
        <f>Path!G12+Clincial_Sci!G12+Anatomy_Phy!G12+Dean_VM!G12+Dean_VM!G14</f>
        <v>32</v>
      </c>
      <c r="H10" s="324">
        <f>Path!H12+Anatomy_Phy!H12+Dean_VM!H12+Dean_VM!H14</f>
        <v>5</v>
      </c>
      <c r="I10" s="99">
        <f>Path!I12+Clincial_Sci!I12+Anatomy_Phy!I12+Dean_VM!I12+Dean_VM!I14+Dean_VM!I18</f>
        <v>45</v>
      </c>
      <c r="J10" s="324">
        <f>Path!J12+Anatomy_Phy!J12+Dean_VM!J12+Dean_VM!J14+Clincial_Sci!J12</f>
        <v>13</v>
      </c>
      <c r="K10" s="99">
        <f>Path!K12+Clincial_Sci!K12+Anatomy_Phy!K12+Dean_VM!K12+Dean_VM!K14+Dean_VM!K18</f>
        <v>42</v>
      </c>
      <c r="L10" s="324">
        <f>Path!L12+Anatomy_Phy!L12+Dean_VM!L12+Dean_VM!L14+Clincial_Sci!L12</f>
        <v>11</v>
      </c>
      <c r="M10" s="99">
        <f>Path!M12+Clincial_Sci!M12+Anatomy_Phy!M12+Dean_VM!M12+Dean_VM!M14+Dean_VM!M18</f>
        <v>64</v>
      </c>
      <c r="N10" s="324">
        <f>Path!N12+Anatomy_Phy!N12+Dean_VM!N12+Clincial_Sci!N12</f>
        <v>10</v>
      </c>
      <c r="O10" s="99">
        <f>Path!O12+Clincial_Sci!O12+Anatomy_Phy!O12+Dean_VM!O12+Dean_VM!O14+Dean_VM!O18</f>
        <v>90</v>
      </c>
      <c r="P10" s="324">
        <f>Path!P12+Anatomy_Phy!P12+Dean_VM!P12</f>
        <v>12</v>
      </c>
      <c r="Q10" s="99">
        <f>Path!Q12+Clincial_Sci!Q12+Anatomy_Phy!Q12+Dean_VM!Q12+Dean_VM!Q14+Dean_VM!Q18</f>
        <v>125</v>
      </c>
      <c r="R10" s="324">
        <f>Path!R12+Anatomy_Phy!R12+Dean_VM!R12</f>
        <v>16</v>
      </c>
      <c r="S10" s="99">
        <f>Path!S12+Clincial_Sci!S12+Anatomy_Phy!S12+Dean_VM!S12+Dean_VM!S14+Dean_VM!S18</f>
        <v>143</v>
      </c>
      <c r="T10" s="766">
        <f>Path!T12+Anatomy_Phy!T12+Dean_VM!T12+Dean_VM!T18</f>
        <v>34</v>
      </c>
      <c r="U10" s="105">
        <f>Dean_VM!U12+Dean_VM!U14+Dean_VM!U18</f>
        <v>113</v>
      </c>
      <c r="V10" s="766">
        <f>Path!V12+Anatomy_Phy!V12+Dean_VM!V12+Dean_VM!V18</f>
        <v>44</v>
      </c>
      <c r="W10" s="105">
        <f>Dean_VM!W12+Dean_VM!W14+Dean_VM!W18</f>
        <v>115</v>
      </c>
      <c r="X10" s="766">
        <f>Path!X12+Anatomy_Phy!X12+Dean_VM!X12+Dean_VM!X18</f>
        <v>37</v>
      </c>
      <c r="Y10" s="105">
        <f>Dean_VM!Y12+Dean_VM!Y14+Dean_VM!Y18</f>
        <v>129</v>
      </c>
      <c r="Z10" s="773"/>
      <c r="AA10" s="506"/>
      <c r="AB10" s="524">
        <f>AVERAGE(Q10,Y10,W10,U10,S10)</f>
        <v>125</v>
      </c>
      <c r="AC10" s="628">
        <f t="shared" ref="AC10:AC12" si="0">AVERAGE(R10,Z10,X10,V10,T10)</f>
        <v>32.75</v>
      </c>
    </row>
    <row r="11" spans="1:29" ht="12" x14ac:dyDescent="0.2">
      <c r="B11" s="102" t="s">
        <v>51</v>
      </c>
      <c r="C11" s="99">
        <f>Path!C13+Anatomy_Phy!C13</f>
        <v>34</v>
      </c>
      <c r="D11" s="324">
        <f>Path!D13+Anatomy_Phy!D13</f>
        <v>3</v>
      </c>
      <c r="E11" s="99">
        <f>Path!E13+Anatomy_Phy!E13</f>
        <v>35</v>
      </c>
      <c r="F11" s="104">
        <f>Path!F13+Clincial_Sci!F13+Anatomy_Phy!F13</f>
        <v>5</v>
      </c>
      <c r="G11" s="99">
        <f>Path!G13+Anatomy_Phy!G13</f>
        <v>32</v>
      </c>
      <c r="H11" s="104">
        <f>Path!H13+Clincial_Sci!H13+Anatomy_Phy!H13</f>
        <v>8</v>
      </c>
      <c r="I11" s="99">
        <f>Path!I13+Anatomy_Phy!I13</f>
        <v>30</v>
      </c>
      <c r="J11" s="104">
        <f>Path!J13+Clincial_Sci!J13+Anatomy_Phy!J13</f>
        <v>7</v>
      </c>
      <c r="K11" s="99">
        <f>Path!K13+Anatomy_Phy!K13</f>
        <v>32</v>
      </c>
      <c r="L11" s="385">
        <f>Path!L13+Clincial_Sci!L13+Anatomy_Phy!L13</f>
        <v>7</v>
      </c>
      <c r="M11" s="103">
        <f>Path!M13+Anatomy_Phy!M13</f>
        <v>34</v>
      </c>
      <c r="N11" s="349">
        <f>Path!N13+Clincial_Sci!N13+Anatomy_Phy!N13</f>
        <v>4</v>
      </c>
      <c r="O11" s="99">
        <f>Path!O13+Anatomy_Phy!O13</f>
        <v>35</v>
      </c>
      <c r="P11" s="349">
        <f>Path!P13+Clincial_Sci!P13+Anatomy_Phy!P13</f>
        <v>6</v>
      </c>
      <c r="Q11" s="99">
        <f>Path!Q13+Anatomy_Phy!Q13</f>
        <v>30</v>
      </c>
      <c r="R11" s="104">
        <f>Path!R13+Anatomy_Phy!R13</f>
        <v>11</v>
      </c>
      <c r="S11" s="99">
        <f>Path!S13+Anatomy_Phy!S13</f>
        <v>32</v>
      </c>
      <c r="T11" s="764">
        <f>Path!T13+Anatomy_Phy!T13</f>
        <v>2</v>
      </c>
      <c r="U11" s="105">
        <f>Path!U13+Anatomy_Phy!U13</f>
        <v>44</v>
      </c>
      <c r="V11" s="764">
        <f>Path!V13+Anatomy_Phy!V13</f>
        <v>3</v>
      </c>
      <c r="W11" s="105">
        <f>Path!W13+Anatomy_Phy!W13</f>
        <v>50</v>
      </c>
      <c r="X11" s="764">
        <f>Path!X13+Anatomy_Phy!X13</f>
        <v>16</v>
      </c>
      <c r="Y11" s="105">
        <f>Path!Y13+Anatomy_Phy!Y13</f>
        <v>45</v>
      </c>
      <c r="Z11" s="774"/>
      <c r="AA11" s="506"/>
      <c r="AB11" s="524">
        <f t="shared" ref="AB11:AB12" si="1">AVERAGE(Q11,Y11,W11,U11,S11)</f>
        <v>40.200000000000003</v>
      </c>
      <c r="AC11" s="628">
        <f t="shared" si="0"/>
        <v>8</v>
      </c>
    </row>
    <row r="12" spans="1:29" ht="12" x14ac:dyDescent="0.2">
      <c r="B12" s="57" t="s">
        <v>21</v>
      </c>
      <c r="C12" s="33">
        <v>435</v>
      </c>
      <c r="D12" s="40">
        <f>Dean_VM!D16</f>
        <v>107</v>
      </c>
      <c r="E12" s="33">
        <f>Dean_VM!E16</f>
        <v>434</v>
      </c>
      <c r="F12" s="69">
        <f>Dean_VM!F16</f>
        <v>108</v>
      </c>
      <c r="G12" s="33">
        <f>Dean_VM!G16</f>
        <v>431</v>
      </c>
      <c r="H12" s="69">
        <f>Dean_VM!H16</f>
        <v>106</v>
      </c>
      <c r="I12" s="33">
        <f>Dean_VM!I16</f>
        <v>433</v>
      </c>
      <c r="J12" s="489">
        <f>Dean_VM!J16</f>
        <v>106</v>
      </c>
      <c r="K12" s="11">
        <f>Dean_VM!K16</f>
        <v>428</v>
      </c>
      <c r="L12" s="490">
        <f>Dean_VM!L16</f>
        <v>112</v>
      </c>
      <c r="M12" s="33">
        <f>Dean_VM!M16</f>
        <v>439</v>
      </c>
      <c r="N12" s="489">
        <f>Dean_VM!N16</f>
        <v>108</v>
      </c>
      <c r="O12" s="11">
        <f>Dean_VM!O16</f>
        <v>437</v>
      </c>
      <c r="P12" s="489">
        <f>Dean_VM!P16</f>
        <v>103</v>
      </c>
      <c r="Q12" s="11">
        <f>Dean_VM!Q16</f>
        <v>462</v>
      </c>
      <c r="R12" s="34">
        <f>Dean_VM!R16</f>
        <v>107</v>
      </c>
      <c r="S12" s="11">
        <f>Dean_VM!S16</f>
        <v>457</v>
      </c>
      <c r="T12" s="344">
        <f>Dean_VM!T16</f>
        <v>105</v>
      </c>
      <c r="U12" s="72">
        <f>Dean_VM!U16</f>
        <v>464</v>
      </c>
      <c r="V12" s="344">
        <f>Dean_VM!V16</f>
        <v>105</v>
      </c>
      <c r="W12" s="72">
        <f>Dean_VM!W16</f>
        <v>473</v>
      </c>
      <c r="X12" s="344">
        <f>Dean_VM!X16</f>
        <v>108</v>
      </c>
      <c r="Y12" s="72">
        <f>Dean_VM!Y16</f>
        <v>482</v>
      </c>
      <c r="Z12" s="775"/>
      <c r="AA12" s="506"/>
      <c r="AB12" s="524">
        <f t="shared" si="1"/>
        <v>467.6</v>
      </c>
      <c r="AC12" s="628">
        <f t="shared" si="0"/>
        <v>106.25</v>
      </c>
    </row>
    <row r="13" spans="1:29" ht="12" x14ac:dyDescent="0.2">
      <c r="B13" s="121" t="s">
        <v>52</v>
      </c>
      <c r="C13" s="31"/>
      <c r="D13" s="257"/>
      <c r="E13" s="31"/>
      <c r="F13" s="217"/>
      <c r="G13" s="227"/>
      <c r="H13" s="350"/>
      <c r="I13" s="227"/>
      <c r="J13" s="350"/>
      <c r="K13" s="227"/>
      <c r="L13" s="500"/>
      <c r="M13" s="255"/>
      <c r="N13" s="350"/>
      <c r="O13" s="227"/>
      <c r="P13" s="350"/>
      <c r="Q13" s="227"/>
      <c r="R13" s="350"/>
      <c r="S13" s="227"/>
      <c r="T13" s="350"/>
      <c r="U13" s="227"/>
      <c r="V13" s="350"/>
      <c r="W13" s="227"/>
      <c r="X13" s="350"/>
      <c r="Y13" s="227"/>
      <c r="Z13" s="768"/>
      <c r="AB13" s="524"/>
      <c r="AC13" s="628"/>
    </row>
    <row r="14" spans="1:29" thickBot="1" x14ac:dyDescent="0.25">
      <c r="B14" s="118" t="s">
        <v>50</v>
      </c>
      <c r="C14" s="35">
        <v>1</v>
      </c>
      <c r="D14" s="37">
        <f>Dean_VM!D19</f>
        <v>1</v>
      </c>
      <c r="E14" s="35">
        <v>0</v>
      </c>
      <c r="F14" s="68">
        <f>Dean_VM!F19</f>
        <v>0</v>
      </c>
      <c r="G14" s="375">
        <v>0</v>
      </c>
      <c r="H14" s="376">
        <f>Dean_VM!H19</f>
        <v>0</v>
      </c>
      <c r="I14" s="375">
        <v>0</v>
      </c>
      <c r="J14" s="376">
        <f>Dean_VM!J19</f>
        <v>0</v>
      </c>
      <c r="K14" s="375">
        <v>0</v>
      </c>
      <c r="L14" s="386">
        <f>Dean_VM!L19</f>
        <v>0</v>
      </c>
      <c r="M14" s="246">
        <v>0</v>
      </c>
      <c r="N14" s="376">
        <f>Dean_VM!N19</f>
        <v>0</v>
      </c>
      <c r="O14" s="375">
        <v>1</v>
      </c>
      <c r="P14" s="376">
        <f>Dean_VM!P19</f>
        <v>0</v>
      </c>
      <c r="Q14" s="375">
        <f>Dean_VM!Q19+Anatomy_Phy!Q14</f>
        <v>3</v>
      </c>
      <c r="R14" s="376">
        <f>Dean_VM!R19+Anatomy_Phy!R14</f>
        <v>7</v>
      </c>
      <c r="S14" s="375">
        <f>Dean_VM!S19+Anatomy_Phy!S14</f>
        <v>7</v>
      </c>
      <c r="T14" s="765">
        <f>Dean_VM!T19+Anatomy_Phy!T14</f>
        <v>3</v>
      </c>
      <c r="U14" s="375">
        <f>Dean_VM!U19+Anatomy_Phy!U14</f>
        <v>6</v>
      </c>
      <c r="V14" s="765">
        <f>Dean_VM!V19+Anatomy_Phy!V14</f>
        <v>7</v>
      </c>
      <c r="W14" s="375">
        <f>Dean_VM!W19+Anatomy_Phy!W14</f>
        <v>11</v>
      </c>
      <c r="X14" s="765">
        <f>Dean_VM!X19+Anatomy_Phy!X14</f>
        <v>0</v>
      </c>
      <c r="Y14" s="375">
        <f>Dean_VM!Y19+Anatomy_Phy!Y14</f>
        <v>5</v>
      </c>
      <c r="Z14" s="776"/>
      <c r="AB14" s="544">
        <f t="shared" ref="AB14:AC14" si="2">AVERAGE(Q14,Y14,W14,U14,S14)</f>
        <v>6.4</v>
      </c>
      <c r="AC14" s="554">
        <f t="shared" si="2"/>
        <v>4.25</v>
      </c>
    </row>
    <row r="15" spans="1:29" thickTop="1" x14ac:dyDescent="0.2">
      <c r="B15" s="67" t="s">
        <v>109</v>
      </c>
      <c r="C15" s="26"/>
      <c r="D15" s="27"/>
      <c r="E15" s="26"/>
      <c r="F15" s="27"/>
      <c r="G15" s="228"/>
      <c r="H15" s="233"/>
      <c r="I15" s="228"/>
      <c r="J15" s="233"/>
      <c r="K15" s="228"/>
      <c r="L15" s="233"/>
      <c r="M15" s="228" t="s">
        <v>20</v>
      </c>
      <c r="N15" s="233"/>
      <c r="O15" s="228"/>
      <c r="P15" s="233"/>
      <c r="Q15" s="228"/>
      <c r="R15" s="233"/>
      <c r="S15" s="228"/>
      <c r="T15" s="233"/>
      <c r="U15" s="228"/>
      <c r="V15" s="233"/>
      <c r="W15" s="228"/>
      <c r="X15" s="233"/>
      <c r="Y15" s="228"/>
      <c r="Z15" s="233"/>
    </row>
    <row r="16" spans="1:29" thickBot="1" x14ac:dyDescent="0.25">
      <c r="C16" s="1"/>
      <c r="E16" s="1"/>
      <c r="F16" s="1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</row>
    <row r="17" spans="1:32" ht="13.5" thickTop="1" thickBot="1" x14ac:dyDescent="0.25">
      <c r="B17" s="281"/>
      <c r="C17" s="811" t="s">
        <v>24</v>
      </c>
      <c r="D17" s="812"/>
      <c r="E17" s="813" t="s">
        <v>25</v>
      </c>
      <c r="F17" s="812"/>
      <c r="G17" s="792" t="s">
        <v>76</v>
      </c>
      <c r="H17" s="793"/>
      <c r="I17" s="792" t="s">
        <v>86</v>
      </c>
      <c r="J17" s="793"/>
      <c r="K17" s="792" t="s">
        <v>87</v>
      </c>
      <c r="L17" s="792"/>
      <c r="M17" s="798" t="s">
        <v>90</v>
      </c>
      <c r="N17" s="793"/>
      <c r="O17" s="792" t="s">
        <v>113</v>
      </c>
      <c r="P17" s="793"/>
      <c r="Q17" s="792" t="s">
        <v>118</v>
      </c>
      <c r="R17" s="793"/>
      <c r="S17" s="792" t="s">
        <v>131</v>
      </c>
      <c r="T17" s="793"/>
      <c r="U17" s="792" t="s">
        <v>139</v>
      </c>
      <c r="V17" s="793"/>
      <c r="W17" s="792" t="s">
        <v>141</v>
      </c>
      <c r="X17" s="793"/>
      <c r="Y17" s="792" t="s">
        <v>143</v>
      </c>
      <c r="Z17" s="793"/>
      <c r="AB17" s="825" t="s">
        <v>105</v>
      </c>
      <c r="AC17" s="826"/>
    </row>
    <row r="18" spans="1:32" ht="12" x14ac:dyDescent="0.2">
      <c r="B18" s="51" t="s">
        <v>8</v>
      </c>
      <c r="C18" s="127"/>
      <c r="D18" s="128"/>
      <c r="E18" s="7"/>
      <c r="F18" s="128"/>
      <c r="G18" s="234"/>
      <c r="H18" s="335"/>
      <c r="I18" s="234"/>
      <c r="J18" s="335"/>
      <c r="K18" s="234"/>
      <c r="L18" s="234"/>
      <c r="M18" s="299"/>
      <c r="N18" s="335"/>
      <c r="O18" s="234"/>
      <c r="P18" s="335"/>
      <c r="Q18" s="234"/>
      <c r="R18" s="335"/>
      <c r="S18" s="234"/>
      <c r="T18" s="335"/>
      <c r="U18" s="234"/>
      <c r="V18" s="335"/>
      <c r="W18" s="234"/>
      <c r="X18" s="335"/>
      <c r="Y18" s="234"/>
      <c r="Z18" s="335"/>
      <c r="AB18" s="555"/>
      <c r="AC18" s="556"/>
    </row>
    <row r="19" spans="1:32" ht="12" x14ac:dyDescent="0.2">
      <c r="B19" s="55" t="s">
        <v>9</v>
      </c>
      <c r="C19" s="129"/>
      <c r="D19" s="130"/>
      <c r="E19" s="4"/>
      <c r="F19" s="130"/>
      <c r="G19" s="235"/>
      <c r="H19" s="344"/>
      <c r="I19" s="235"/>
      <c r="J19" s="344"/>
      <c r="K19" s="235"/>
      <c r="L19" s="235"/>
      <c r="M19" s="258"/>
      <c r="N19" s="344"/>
      <c r="O19" s="235"/>
      <c r="P19" s="344"/>
      <c r="Q19" s="235"/>
      <c r="R19" s="344"/>
      <c r="S19" s="235"/>
      <c r="T19" s="344"/>
      <c r="U19" s="235"/>
      <c r="V19" s="344"/>
      <c r="W19" s="235"/>
      <c r="X19" s="344"/>
      <c r="Y19" s="235"/>
      <c r="Z19" s="344"/>
      <c r="AB19" s="555"/>
      <c r="AC19" s="556"/>
    </row>
    <row r="20" spans="1:32" ht="12" x14ac:dyDescent="0.2">
      <c r="B20" s="55" t="s">
        <v>10</v>
      </c>
      <c r="C20" s="129"/>
      <c r="D20" s="131"/>
      <c r="E20" s="4"/>
      <c r="F20" s="131"/>
      <c r="G20" s="235"/>
      <c r="H20" s="345"/>
      <c r="I20" s="235"/>
      <c r="J20" s="345"/>
      <c r="K20" s="235"/>
      <c r="L20" s="387"/>
      <c r="M20" s="258"/>
      <c r="N20" s="345"/>
      <c r="O20" s="235"/>
      <c r="P20" s="345"/>
      <c r="Q20" s="235"/>
      <c r="R20" s="345"/>
      <c r="S20" s="235"/>
      <c r="T20" s="328">
        <f>Dean_VM!T26+Anatomy_Phy!T20+Path!T19+Clincial_Sci!T19</f>
        <v>15</v>
      </c>
      <c r="U20" s="235"/>
      <c r="V20" s="328">
        <f>Dean_VM!V26+Anatomy_Phy!V20+Path!V19+Clincial_Sci!V19</f>
        <v>21</v>
      </c>
      <c r="W20" s="235"/>
      <c r="X20" s="328">
        <f>Dean_VM!X26+Anatomy_Phy!X20+Path!X19+Clincial_Sci!X19</f>
        <v>24</v>
      </c>
      <c r="Y20" s="235"/>
      <c r="Z20" s="779">
        <f>Dean_VM!Z26+Anatomy_Phy!Z20+Path!Z19+Clincial_Sci!Z19</f>
        <v>0</v>
      </c>
      <c r="AB20" s="557"/>
      <c r="AC20" s="558">
        <f t="shared" ref="AC20:AC24" si="3">AVERAGE(R20,Z20,X20,V20,T20)</f>
        <v>15</v>
      </c>
    </row>
    <row r="21" spans="1:32" ht="12" x14ac:dyDescent="0.2">
      <c r="B21" s="55" t="s">
        <v>11</v>
      </c>
      <c r="C21" s="129"/>
      <c r="D21" s="132"/>
      <c r="E21" s="4"/>
      <c r="F21" s="132"/>
      <c r="G21" s="235"/>
      <c r="H21" s="132"/>
      <c r="I21" s="235"/>
      <c r="J21" s="345"/>
      <c r="K21" s="235"/>
      <c r="L21" s="387"/>
      <c r="M21" s="258"/>
      <c r="N21" s="345"/>
      <c r="O21" s="235"/>
      <c r="P21" s="682">
        <v>44</v>
      </c>
      <c r="Q21" s="235"/>
      <c r="R21" s="682">
        <v>48</v>
      </c>
      <c r="S21" s="235"/>
      <c r="T21" s="328">
        <f>Dean_VM!T27+Anatomy_Phy!T21+Path!T20+Clincial_Sci!T20</f>
        <v>82</v>
      </c>
      <c r="U21" s="235"/>
      <c r="V21" s="328">
        <f>Dean_VM!V27+Anatomy_Phy!V21+Path!V20+Clincial_Sci!V20</f>
        <v>195</v>
      </c>
      <c r="W21" s="235"/>
      <c r="X21" s="328">
        <f>Dean_VM!X27+Anatomy_Phy!X21+Path!X20+Clincial_Sci!X20</f>
        <v>193</v>
      </c>
      <c r="Y21" s="235"/>
      <c r="Z21" s="779">
        <f>Dean_VM!Z27+Anatomy_Phy!Z21+Path!Z20+Clincial_Sci!Z20</f>
        <v>0</v>
      </c>
      <c r="AB21" s="557"/>
      <c r="AC21" s="558">
        <f t="shared" si="3"/>
        <v>103.6</v>
      </c>
    </row>
    <row r="22" spans="1:32" ht="12" x14ac:dyDescent="0.2">
      <c r="B22" s="55" t="s">
        <v>12</v>
      </c>
      <c r="C22" s="194"/>
      <c r="D22" s="132">
        <f>Dean_VM!D28+Path!D21+Clincial_Sci!D21+Anatomy_Phy!D22</f>
        <v>18405</v>
      </c>
      <c r="E22" s="4"/>
      <c r="F22" s="218">
        <f>Dean_VM!F28+Path!F21+Clincial_Sci!F21+Anatomy_Phy!F22</f>
        <v>18404</v>
      </c>
      <c r="G22" s="235"/>
      <c r="H22" s="328">
        <f>Dean_VM!H28+Path!H21+Clincial_Sci!H21+Anatomy_Phy!H22</f>
        <v>18027</v>
      </c>
      <c r="I22" s="235"/>
      <c r="J22" s="328">
        <f>Dean_VM!J28+Path!J21+Clincial_Sci!J21+Anatomy_Phy!J22</f>
        <v>18210</v>
      </c>
      <c r="K22" s="235"/>
      <c r="L22" s="248">
        <f>Dean_VM!L28+Anatomy_Phy!L22+Path!L21+Clincial_Sci!L21</f>
        <v>18341</v>
      </c>
      <c r="M22" s="258"/>
      <c r="N22" s="328">
        <f>Dean_VM!N28+Anatomy_Phy!N22+Path!N21+Clincial_Sci!N21</f>
        <v>18768</v>
      </c>
      <c r="O22" s="235"/>
      <c r="P22" s="328">
        <f>Dean_VM!P28+Anatomy_Phy!P22+Path!P21+Clincial_Sci!P21</f>
        <v>19317</v>
      </c>
      <c r="Q22" s="235"/>
      <c r="R22" s="328">
        <f>Dean_VM!R28+Anatomy_Phy!R22+Path!R21+Clincial_Sci!R21</f>
        <v>20460</v>
      </c>
      <c r="S22" s="235"/>
      <c r="T22" s="328">
        <f>Dean_VM!T28+Anatomy_Phy!T22+Path!T21+Clincial_Sci!T21</f>
        <v>20082</v>
      </c>
      <c r="U22" s="235"/>
      <c r="V22" s="328">
        <f>Dean_VM!V28+Anatomy_Phy!V22+Path!V21+Clincial_Sci!V21</f>
        <v>20212</v>
      </c>
      <c r="W22" s="235"/>
      <c r="X22" s="328">
        <f>Dean_VM!X28+Anatomy_Phy!X22+Path!X21+Clincial_Sci!X21</f>
        <v>19891</v>
      </c>
      <c r="Y22" s="235"/>
      <c r="Z22" s="779">
        <f>Dean_VM!Z28+Anatomy_Phy!Z22+Path!Z21+Clincial_Sci!Z21</f>
        <v>0</v>
      </c>
      <c r="AB22" s="559"/>
      <c r="AC22" s="13">
        <f t="shared" si="3"/>
        <v>16129</v>
      </c>
    </row>
    <row r="23" spans="1:32" ht="12" x14ac:dyDescent="0.2">
      <c r="B23" s="55" t="s">
        <v>13</v>
      </c>
      <c r="C23" s="194"/>
      <c r="D23" s="132">
        <f>Dean_VM!D29+Path!D22+Clincial_Sci!D22+Anatomy_Phy!D23</f>
        <v>376</v>
      </c>
      <c r="E23" s="4"/>
      <c r="F23" s="132">
        <f>Dean_VM!F29+Path!F22+Clincial_Sci!F22+Anatomy_Phy!F23</f>
        <v>368</v>
      </c>
      <c r="G23" s="235"/>
      <c r="H23" s="329">
        <f>Dean_VM!H29+Path!H22+Clincial_Sci!H22+Anatomy_Phy!H23</f>
        <v>322</v>
      </c>
      <c r="I23" s="235"/>
      <c r="J23" s="329">
        <f>Dean_VM!J29+Path!J22+Clincial_Sci!J22+Anatomy_Phy!J23</f>
        <v>348</v>
      </c>
      <c r="K23" s="235"/>
      <c r="L23" s="248">
        <f>Dean_VM!L29+Anatomy_Phy!L23+Path!L22+Clincial_Sci!L22</f>
        <v>344</v>
      </c>
      <c r="M23" s="258"/>
      <c r="N23" s="328">
        <f>Dean_VM!N29+Anatomy_Phy!N23+Path!N22+Clincial_Sci!N22</f>
        <v>395</v>
      </c>
      <c r="O23" s="235"/>
      <c r="P23" s="328">
        <f>Dean_VM!P29+Anatomy_Phy!P23+Path!P22+Clincial_Sci!P22</f>
        <v>431</v>
      </c>
      <c r="Q23" s="235"/>
      <c r="R23" s="328">
        <f>Dean_VM!R29+Anatomy_Phy!R23+Path!R22+Clincial_Sci!R22</f>
        <v>366</v>
      </c>
      <c r="S23" s="235"/>
      <c r="T23" s="328">
        <f>Dean_VM!T29+Anatomy_Phy!T23+Path!T22+Clincial_Sci!T22</f>
        <v>401</v>
      </c>
      <c r="U23" s="235"/>
      <c r="V23" s="328">
        <f>Dean_VM!V29+Anatomy_Phy!V23+Path!V22+Clincial_Sci!V22</f>
        <v>522</v>
      </c>
      <c r="W23" s="235"/>
      <c r="X23" s="328">
        <f>Dean_VM!X29+Anatomy_Phy!X23+Path!X22+Clincial_Sci!X22</f>
        <v>568</v>
      </c>
      <c r="Y23" s="235"/>
      <c r="Z23" s="779">
        <f>Dean_VM!Z29+Anatomy_Phy!Z23+Path!Z22+Clincial_Sci!Z22</f>
        <v>0</v>
      </c>
      <c r="AB23" s="559"/>
      <c r="AC23" s="13">
        <f t="shared" si="3"/>
        <v>371.4</v>
      </c>
    </row>
    <row r="24" spans="1:32" thickBot="1" x14ac:dyDescent="0.25">
      <c r="B24" s="56" t="s">
        <v>14</v>
      </c>
      <c r="C24" s="195"/>
      <c r="D24" s="180">
        <f>SUM(D22:D23)</f>
        <v>18781</v>
      </c>
      <c r="E24" s="60"/>
      <c r="F24" s="219">
        <f>SUM(F22:F23)</f>
        <v>18772</v>
      </c>
      <c r="G24" s="236"/>
      <c r="H24" s="346">
        <f>SUM(H22:H23)</f>
        <v>18349</v>
      </c>
      <c r="I24" s="236"/>
      <c r="J24" s="346">
        <f>SUM(J22:J23)</f>
        <v>18558</v>
      </c>
      <c r="K24" s="236"/>
      <c r="L24" s="499">
        <f>SUM(L22:L23)</f>
        <v>18685</v>
      </c>
      <c r="M24" s="300"/>
      <c r="N24" s="651">
        <f>SUM(N22:N23)</f>
        <v>19163</v>
      </c>
      <c r="O24" s="367"/>
      <c r="P24" s="651">
        <f>SUM(P21:P23)</f>
        <v>19792</v>
      </c>
      <c r="Q24" s="367"/>
      <c r="R24" s="651">
        <f>SUM(R21:R23)</f>
        <v>20874</v>
      </c>
      <c r="S24" s="367"/>
      <c r="T24" s="651">
        <f>SUM(T20:T23)</f>
        <v>20580</v>
      </c>
      <c r="U24" s="367"/>
      <c r="V24" s="651">
        <f>SUM(V20:V23)</f>
        <v>20950</v>
      </c>
      <c r="W24" s="367"/>
      <c r="X24" s="651">
        <f>SUM(X20:X23)</f>
        <v>20676</v>
      </c>
      <c r="Y24" s="367"/>
      <c r="Z24" s="785">
        <f>SUM(Z20:Z23)</f>
        <v>0</v>
      </c>
      <c r="AB24" s="559"/>
      <c r="AC24" s="413">
        <f t="shared" si="3"/>
        <v>16616</v>
      </c>
    </row>
    <row r="25" spans="1:32" ht="14.25" thickTop="1" thickBot="1" x14ac:dyDescent="0.25">
      <c r="A25" s="506"/>
      <c r="B25" s="532" t="s">
        <v>102</v>
      </c>
      <c r="C25" s="802" t="s">
        <v>93</v>
      </c>
      <c r="D25" s="820"/>
      <c r="E25" s="802" t="s">
        <v>94</v>
      </c>
      <c r="F25" s="820"/>
      <c r="G25" s="804" t="s">
        <v>95</v>
      </c>
      <c r="H25" s="795"/>
      <c r="I25" s="804" t="s">
        <v>96</v>
      </c>
      <c r="J25" s="818"/>
      <c r="K25" s="804" t="s">
        <v>97</v>
      </c>
      <c r="L25" s="818"/>
      <c r="M25" s="788" t="s">
        <v>98</v>
      </c>
      <c r="N25" s="795"/>
      <c r="O25" s="794" t="s">
        <v>114</v>
      </c>
      <c r="P25" s="795"/>
      <c r="Q25" s="794" t="s">
        <v>119</v>
      </c>
      <c r="R25" s="795"/>
      <c r="S25" s="794" t="s">
        <v>132</v>
      </c>
      <c r="T25" s="795"/>
      <c r="U25" s="794" t="s">
        <v>140</v>
      </c>
      <c r="V25" s="795"/>
      <c r="W25" s="794" t="s">
        <v>142</v>
      </c>
      <c r="X25" s="795"/>
      <c r="Y25" s="794" t="s">
        <v>144</v>
      </c>
      <c r="Z25" s="795"/>
      <c r="AA25" s="680"/>
      <c r="AB25" s="517"/>
      <c r="AC25" s="518"/>
      <c r="AD25" s="519"/>
      <c r="AE25" s="519"/>
      <c r="AF25" s="25"/>
    </row>
    <row r="26" spans="1:32" x14ac:dyDescent="0.2">
      <c r="A26" s="506"/>
      <c r="B26" s="520" t="s">
        <v>116</v>
      </c>
      <c r="C26" s="806">
        <v>0</v>
      </c>
      <c r="D26" s="807"/>
      <c r="E26" s="808">
        <v>0</v>
      </c>
      <c r="F26" s="809"/>
      <c r="G26" s="808">
        <v>1E-3</v>
      </c>
      <c r="H26" s="809"/>
      <c r="I26" s="808">
        <v>0</v>
      </c>
      <c r="J26" s="810"/>
      <c r="K26" s="521"/>
      <c r="L26" s="522">
        <v>1.9E-2</v>
      </c>
      <c r="M26" s="523"/>
      <c r="N26" s="632">
        <v>4.2999999999999997E-2</v>
      </c>
      <c r="O26" s="630"/>
      <c r="P26" s="632">
        <v>2.8000000000000001E-2</v>
      </c>
      <c r="Q26" s="711"/>
      <c r="R26" s="632">
        <v>5.0999999999999997E-2</v>
      </c>
      <c r="S26" s="711"/>
      <c r="T26" s="632">
        <v>0.14899999999999999</v>
      </c>
      <c r="U26" s="711"/>
      <c r="V26" s="632">
        <v>4.2000000000000003E-2</v>
      </c>
      <c r="W26" s="711"/>
      <c r="X26" s="632">
        <v>4.2000000000000003E-2</v>
      </c>
      <c r="Y26" s="711"/>
      <c r="Z26" s="632">
        <v>4.1000000000000002E-2</v>
      </c>
      <c r="AA26" s="683"/>
      <c r="AB26" s="524"/>
      <c r="AC26" s="525">
        <f t="shared" ref="AC26:AC27" si="4">AVERAGE(R26,Z26,X26,V26,T26)</f>
        <v>6.5000000000000002E-2</v>
      </c>
      <c r="AD26" s="519"/>
      <c r="AE26" s="777"/>
      <c r="AF26" s="25"/>
    </row>
    <row r="27" spans="1:32" x14ac:dyDescent="0.2">
      <c r="A27" s="506"/>
      <c r="B27" s="526" t="s">
        <v>117</v>
      </c>
      <c r="C27" s="814">
        <v>0.99299999999999999</v>
      </c>
      <c r="D27" s="815"/>
      <c r="E27" s="816">
        <v>0.999</v>
      </c>
      <c r="F27" s="817"/>
      <c r="G27" s="816">
        <v>0.97299999999999998</v>
      </c>
      <c r="H27" s="817"/>
      <c r="I27" s="816">
        <v>0.98699999999999999</v>
      </c>
      <c r="J27" s="819"/>
      <c r="K27" s="527"/>
      <c r="L27" s="528">
        <v>0.94</v>
      </c>
      <c r="M27" s="527"/>
      <c r="N27" s="633">
        <v>0.94299999999999995</v>
      </c>
      <c r="O27" s="631"/>
      <c r="P27" s="633">
        <v>0.92800000000000005</v>
      </c>
      <c r="Q27" s="712"/>
      <c r="R27" s="633">
        <v>0.94</v>
      </c>
      <c r="S27" s="712"/>
      <c r="T27" s="633">
        <v>0.70599999999999996</v>
      </c>
      <c r="U27" s="712"/>
      <c r="V27" s="633">
        <v>0.91800000000000004</v>
      </c>
      <c r="W27" s="712"/>
      <c r="X27" s="633">
        <v>0.91100000000000003</v>
      </c>
      <c r="Y27" s="712"/>
      <c r="Z27" s="633">
        <v>0.90800000000000003</v>
      </c>
      <c r="AA27" s="683"/>
      <c r="AB27" s="524"/>
      <c r="AC27" s="525">
        <f t="shared" si="4"/>
        <v>0.87660000000000005</v>
      </c>
      <c r="AD27" s="529"/>
      <c r="AE27" s="519"/>
      <c r="AF27" s="25"/>
    </row>
    <row r="28" spans="1:32" ht="13.5" customHeight="1" thickBot="1" x14ac:dyDescent="0.25">
      <c r="B28" s="530" t="s">
        <v>103</v>
      </c>
      <c r="C28" s="800">
        <f>1-SUM(C26:D27)</f>
        <v>7.0000000000000062E-3</v>
      </c>
      <c r="D28" s="801"/>
      <c r="E28" s="800">
        <f>1-SUM(E26:F27)</f>
        <v>1.0000000000000009E-3</v>
      </c>
      <c r="F28" s="801"/>
      <c r="G28" s="800">
        <f>1-SUM(G26:H27)</f>
        <v>2.6000000000000023E-2</v>
      </c>
      <c r="H28" s="801"/>
      <c r="I28" s="800">
        <v>1.2999999999999999E-2</v>
      </c>
      <c r="J28" s="801"/>
      <c r="K28" s="800">
        <f>1-SUM(K26:L27)</f>
        <v>4.1000000000000036E-2</v>
      </c>
      <c r="L28" s="801"/>
      <c r="M28" s="800">
        <f>1-SUM(M26:N27)</f>
        <v>1.4000000000000012E-2</v>
      </c>
      <c r="N28" s="801"/>
      <c r="O28" s="800">
        <v>4.3999999999999997E-2</v>
      </c>
      <c r="P28" s="801"/>
      <c r="Q28" s="796">
        <v>8.9999999999999993E-3</v>
      </c>
      <c r="R28" s="797"/>
      <c r="S28" s="796">
        <v>0.14499999999999999</v>
      </c>
      <c r="T28" s="797"/>
      <c r="U28" s="796">
        <v>0.04</v>
      </c>
      <c r="V28" s="797"/>
      <c r="W28" s="796">
        <f>1-X26-X27</f>
        <v>4.6999999999999931E-2</v>
      </c>
      <c r="X28" s="797"/>
      <c r="Y28" s="796">
        <f>1-Z26-Z27</f>
        <v>5.0999999999999934E-2</v>
      </c>
      <c r="Z28" s="797"/>
      <c r="AA28" s="683"/>
      <c r="AB28" s="821">
        <f t="shared" ref="AB28" si="5">AVERAGE(Q28,Y28,W28,U28,S28)</f>
        <v>5.8399999999999973E-2</v>
      </c>
      <c r="AC28" s="822" t="e">
        <f t="shared" ref="AC28" si="6">AVERAGE(R28,Z28,X28,V28,T28)</f>
        <v>#DIV/0!</v>
      </c>
      <c r="AD28" s="529"/>
      <c r="AE28" s="519"/>
      <c r="AF28" s="25"/>
    </row>
    <row r="29" spans="1:32" thickTop="1" x14ac:dyDescent="0.2">
      <c r="B29" s="90"/>
      <c r="C29" s="91"/>
      <c r="D29" s="92"/>
      <c r="E29" s="91"/>
      <c r="F29" s="92"/>
      <c r="G29" s="237"/>
      <c r="H29" s="238"/>
      <c r="I29" s="237"/>
      <c r="J29" s="238"/>
      <c r="K29" s="237"/>
      <c r="L29" s="238"/>
      <c r="M29" s="237"/>
      <c r="N29" s="238"/>
      <c r="O29" s="237"/>
      <c r="P29" s="238"/>
      <c r="Q29" s="237"/>
      <c r="R29" s="238"/>
      <c r="S29" s="237"/>
      <c r="T29" s="238"/>
      <c r="U29" s="237"/>
      <c r="V29" s="238"/>
      <c r="W29" s="237"/>
      <c r="X29" s="238"/>
      <c r="Y29" s="237"/>
      <c r="Z29" s="238"/>
    </row>
    <row r="30" spans="1:32" x14ac:dyDescent="0.2">
      <c r="A30" s="93" t="s">
        <v>32</v>
      </c>
      <c r="B30" s="5"/>
      <c r="C30" s="26"/>
      <c r="D30" s="26"/>
      <c r="E30" s="26"/>
      <c r="F30" s="26"/>
      <c r="G30" s="228"/>
      <c r="H30" s="228"/>
      <c r="I30" s="228" t="s">
        <v>20</v>
      </c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</row>
    <row r="31" spans="1:32" ht="13.5" thickBot="1" x14ac:dyDescent="0.25">
      <c r="A31" s="93"/>
      <c r="B31" s="115" t="s">
        <v>110</v>
      </c>
      <c r="C31" s="26"/>
      <c r="D31" s="26"/>
      <c r="E31" s="26"/>
      <c r="F31" s="26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6"/>
      <c r="AB31" s="26"/>
    </row>
    <row r="32" spans="1:32" ht="14.25" thickTop="1" thickBot="1" x14ac:dyDescent="0.25">
      <c r="A32" s="3"/>
      <c r="B32" s="270" t="s">
        <v>33</v>
      </c>
      <c r="C32" s="811" t="s">
        <v>24</v>
      </c>
      <c r="D32" s="812"/>
      <c r="E32" s="813" t="s">
        <v>25</v>
      </c>
      <c r="F32" s="812"/>
      <c r="G32" s="798" t="s">
        <v>76</v>
      </c>
      <c r="H32" s="793"/>
      <c r="I32" s="792" t="s">
        <v>86</v>
      </c>
      <c r="J32" s="793"/>
      <c r="K32" s="792" t="s">
        <v>87</v>
      </c>
      <c r="L32" s="792"/>
      <c r="M32" s="798" t="s">
        <v>90</v>
      </c>
      <c r="N32" s="793"/>
      <c r="O32" s="792" t="s">
        <v>113</v>
      </c>
      <c r="P32" s="793"/>
      <c r="Q32" s="792" t="s">
        <v>118</v>
      </c>
      <c r="R32" s="793"/>
      <c r="S32" s="792" t="s">
        <v>131</v>
      </c>
      <c r="T32" s="793"/>
      <c r="U32" s="792" t="s">
        <v>139</v>
      </c>
      <c r="V32" s="793"/>
      <c r="W32" s="792" t="s">
        <v>141</v>
      </c>
      <c r="X32" s="793"/>
      <c r="Y32" s="792" t="s">
        <v>143</v>
      </c>
      <c r="Z32" s="793"/>
      <c r="AB32" s="823" t="s">
        <v>105</v>
      </c>
      <c r="AC32" s="824"/>
    </row>
    <row r="33" spans="1:29" x14ac:dyDescent="0.2">
      <c r="A33" s="3"/>
      <c r="B33" s="271" t="s">
        <v>34</v>
      </c>
      <c r="C33" s="129"/>
      <c r="D33" s="130"/>
      <c r="E33" s="4"/>
      <c r="F33" s="130"/>
      <c r="G33" s="258"/>
      <c r="H33" s="344"/>
      <c r="I33" s="235"/>
      <c r="J33" s="344"/>
      <c r="K33" s="235"/>
      <c r="L33" s="235"/>
      <c r="M33" s="258"/>
      <c r="N33" s="344"/>
      <c r="O33" s="235"/>
      <c r="P33" s="344"/>
      <c r="Q33" s="235"/>
      <c r="R33" s="344"/>
      <c r="S33" s="235"/>
      <c r="T33" s="344"/>
      <c r="U33" s="235"/>
      <c r="V33" s="344"/>
      <c r="W33" s="235"/>
      <c r="X33" s="344"/>
      <c r="Y33" s="235"/>
      <c r="Z33" s="344"/>
      <c r="AB33" s="549"/>
      <c r="AC33" s="550"/>
    </row>
    <row r="34" spans="1:29" x14ac:dyDescent="0.2">
      <c r="A34" s="3"/>
      <c r="B34" s="229" t="s">
        <v>35</v>
      </c>
      <c r="C34" s="129"/>
      <c r="D34" s="132">
        <f>Dean_VM!D40+Anatomy_Phy!D34+Path!D33+Clincial_Sci!D33+'Veterinary Health Center'!D9</f>
        <v>0</v>
      </c>
      <c r="E34" s="4"/>
      <c r="F34" s="132">
        <f>Dean_VM!F40+Anatomy_Phy!F34+Path!F33+Clincial_Sci!F33+'Veterinary Health Center'!F9</f>
        <v>0</v>
      </c>
      <c r="G34" s="258"/>
      <c r="H34" s="132">
        <f>Dean_VM!H40+Anatomy_Phy!H34+Path!H33+Clincial_Sci!H33+'Veterinary Health Center'!H9</f>
        <v>0</v>
      </c>
      <c r="I34" s="235"/>
      <c r="J34" s="132">
        <f>Dean_VM!J40+Anatomy_Phy!J34+Path!J33+Clincial_Sci!J33+'Veterinary Health Center'!J9</f>
        <v>0</v>
      </c>
      <c r="K34" s="235"/>
      <c r="L34" s="39">
        <f>Dean_VM!L40+Anatomy_Phy!L34+Path!L33+Clincial_Sci!L33+'Veterinary Health Center'!L9</f>
        <v>54937</v>
      </c>
      <c r="M34" s="258"/>
      <c r="N34" s="132">
        <f>Dean_VM!N40+Anatomy_Phy!N34+Path!N33+Clincial_Sci!N33+'Veterinary Health Center'!N9</f>
        <v>55330</v>
      </c>
      <c r="O34" s="235"/>
      <c r="P34" s="132">
        <f>Dean_VM!P40+Anatomy_Phy!P34+Path!P33+Clincial_Sci!P33+'Veterinary Health Center'!P9</f>
        <v>54728</v>
      </c>
      <c r="Q34" s="235"/>
      <c r="R34" s="132">
        <f>Dean_VM!R40+Anatomy_Phy!R34+Path!R33+Clincial_Sci!R33+'Veterinary Health Center'!R9</f>
        <v>55747</v>
      </c>
      <c r="S34" s="235"/>
      <c r="T34" s="329">
        <f>Dean_VM!T40+Anatomy_Phy!T34+Path!T33+Clincial_Sci!T33+'Veterinary Health Center'!T9</f>
        <v>56784</v>
      </c>
      <c r="U34" s="235"/>
      <c r="V34" s="329">
        <f>Dean_VM!V40+Anatomy_Phy!V34+Path!V33+Clincial_Sci!V33+'Veterinary Health Center'!V9</f>
        <v>57193</v>
      </c>
      <c r="W34" s="235"/>
      <c r="X34" s="329">
        <f>Dean_VM!X40+Anatomy_Phy!X34+Path!X33+Clincial_Sci!X33+'Veterinary Health Center'!X9+'Veterinary Health Center'!X9</f>
        <v>57383</v>
      </c>
      <c r="Y34" s="235"/>
      <c r="Z34" s="329">
        <f>Dean_VM!Z40+Anatomy_Phy!Z34+Path!Z33+Clincial_Sci!Z33+'Veterinary Health Center'!Z9+'Veterinary Health Center'!Z9</f>
        <v>103710</v>
      </c>
      <c r="AA34" s="506"/>
      <c r="AB34" s="4"/>
      <c r="AC34" s="604">
        <f t="shared" ref="AC34" si="7">AVERAGE(R34,Z34,X34,V34,T34)</f>
        <v>66163.399999999994</v>
      </c>
    </row>
    <row r="35" spans="1:29" x14ac:dyDescent="0.2">
      <c r="A35" s="3"/>
      <c r="B35" s="229" t="s">
        <v>120</v>
      </c>
      <c r="C35" s="129"/>
      <c r="D35" s="132"/>
      <c r="E35" s="4"/>
      <c r="F35" s="132"/>
      <c r="G35" s="258"/>
      <c r="H35" s="132"/>
      <c r="I35" s="235"/>
      <c r="J35" s="132"/>
      <c r="K35" s="235"/>
      <c r="L35" s="39"/>
      <c r="M35" s="258"/>
      <c r="N35" s="132"/>
      <c r="O35" s="235"/>
      <c r="P35" s="132"/>
      <c r="Q35" s="235"/>
      <c r="R35" s="132"/>
      <c r="S35" s="235"/>
      <c r="T35" s="329"/>
      <c r="U35" s="235"/>
      <c r="V35" s="329"/>
      <c r="W35" s="235"/>
      <c r="X35" s="329"/>
      <c r="Y35" s="235"/>
      <c r="Z35" s="329"/>
      <c r="AA35" s="506"/>
      <c r="AB35" s="4"/>
      <c r="AC35" s="604"/>
    </row>
    <row r="36" spans="1:29" ht="24" x14ac:dyDescent="0.2">
      <c r="A36" s="3"/>
      <c r="B36" s="230" t="s">
        <v>121</v>
      </c>
      <c r="C36" s="129"/>
      <c r="D36" s="132">
        <f>Dean_VM!D42+Anatomy_Phy!D36+Path!D35+Clincial_Sci!D35+'Veterinary Health Center'!D11</f>
        <v>0</v>
      </c>
      <c r="E36" s="4"/>
      <c r="F36" s="132">
        <f>Dean_VM!F42+Anatomy_Phy!F36+Path!F35+Clincial_Sci!F35+'Veterinary Health Center'!F11</f>
        <v>2101212</v>
      </c>
      <c r="G36" s="258"/>
      <c r="H36" s="132">
        <f>Dean_VM!H42+Anatomy_Phy!H36+Path!H35+Clincial_Sci!H35+'Veterinary Health Center'!H11</f>
        <v>5099471</v>
      </c>
      <c r="I36" s="235"/>
      <c r="J36" s="132">
        <f>Dean_VM!J42+Anatomy_Phy!J36+Path!J35+Clincial_Sci!J35+'Veterinary Health Center'!J11</f>
        <v>4659529</v>
      </c>
      <c r="K36" s="235"/>
      <c r="L36" s="39">
        <f>Dean_VM!L42+Anatomy_Phy!L36+Path!L35+Clincial_Sci!L35+'Veterinary Health Center'!L11</f>
        <v>3261692</v>
      </c>
      <c r="M36" s="258"/>
      <c r="N36" s="132">
        <f>Dean_VM!N42+Anatomy_Phy!N36+Path!N35+Clincial_Sci!N35+'Veterinary Health Center'!N11</f>
        <v>3249592</v>
      </c>
      <c r="O36" s="235"/>
      <c r="P36" s="132">
        <f>Dean_VM!P42+Anatomy_Phy!P36+Path!P35+Clincial_Sci!P35+'Veterinary Health Center'!P11</f>
        <v>3218595</v>
      </c>
      <c r="Q36" s="235"/>
      <c r="R36" s="132">
        <f>Dean_VM!R42+Anatomy_Phy!R36+Path!R35+Clincial_Sci!R35+'Veterinary Health Center'!R11</f>
        <v>3238046</v>
      </c>
      <c r="S36" s="235"/>
      <c r="T36" s="329">
        <f>Dean_VM!T42+Anatomy_Phy!T36+Path!T35+Clincial_Sci!T35+'Veterinary Health Center'!T11</f>
        <v>4285678</v>
      </c>
      <c r="U36" s="235"/>
      <c r="V36" s="329">
        <f>Dean_VM!V42+Anatomy_Phy!V36+Path!V35+Clincial_Sci!V35+'Veterinary Health Center'!V11</f>
        <v>6069350</v>
      </c>
      <c r="W36" s="235"/>
      <c r="X36" s="329">
        <f>Dean_VM!X42+Anatomy_Phy!X36+Path!X35+Clincial_Sci!X35+'Veterinary Health Center'!X11</f>
        <v>5357026</v>
      </c>
      <c r="Y36" s="235"/>
      <c r="Z36" s="329">
        <f>Dean_VM!Z42+Anatomy_Phy!Z36+Path!Z35+Clincial_Sci!Z35+'Veterinary Health Center'!Z11</f>
        <v>5354699</v>
      </c>
      <c r="AA36" s="506"/>
      <c r="AB36" s="4"/>
      <c r="AC36" s="604">
        <f t="shared" ref="AC36:AC37" si="8">AVERAGE(R36,Z36,X36,V36,T36)</f>
        <v>4860959.8</v>
      </c>
    </row>
    <row r="37" spans="1:29" x14ac:dyDescent="0.2">
      <c r="A37" s="3"/>
      <c r="B37" s="231" t="s">
        <v>36</v>
      </c>
      <c r="C37" s="137"/>
      <c r="D37" s="411">
        <f>SUM(D34:D36)</f>
        <v>0</v>
      </c>
      <c r="E37" s="97"/>
      <c r="F37" s="411">
        <f>SUM(F34:F36)</f>
        <v>2101212</v>
      </c>
      <c r="G37" s="259"/>
      <c r="H37" s="411">
        <f>SUM(H34:H36)</f>
        <v>5099471</v>
      </c>
      <c r="I37" s="331"/>
      <c r="J37" s="411">
        <f>SUM(J34:J36)</f>
        <v>4659529</v>
      </c>
      <c r="K37" s="331"/>
      <c r="L37" s="79">
        <f>SUM(L34:L36)</f>
        <v>3316629</v>
      </c>
      <c r="M37" s="259"/>
      <c r="N37" s="411">
        <f>SUM(N34:N36)</f>
        <v>3304922</v>
      </c>
      <c r="O37" s="331"/>
      <c r="P37" s="411">
        <f>SUM(P34:P36)</f>
        <v>3273323</v>
      </c>
      <c r="Q37" s="331"/>
      <c r="R37" s="411">
        <f>SUM(R34:R36)</f>
        <v>3293793</v>
      </c>
      <c r="S37" s="331"/>
      <c r="T37" s="710">
        <f>SUM(T34:T36)</f>
        <v>4342462</v>
      </c>
      <c r="U37" s="331"/>
      <c r="V37" s="710">
        <f>SUM(V34:V36)</f>
        <v>6126543</v>
      </c>
      <c r="W37" s="331"/>
      <c r="X37" s="710">
        <f>SUM(X34:X36)</f>
        <v>5414409</v>
      </c>
      <c r="Y37" s="331"/>
      <c r="Z37" s="710">
        <f>SUM(Z34:Z36)</f>
        <v>5458409</v>
      </c>
      <c r="AA37" s="506"/>
      <c r="AB37" s="7"/>
      <c r="AC37" s="604">
        <f t="shared" si="8"/>
        <v>4927123.2</v>
      </c>
    </row>
    <row r="38" spans="1:29" x14ac:dyDescent="0.2">
      <c r="A38" s="3"/>
      <c r="B38" s="232" t="s">
        <v>37</v>
      </c>
      <c r="C38" s="129"/>
      <c r="D38" s="132"/>
      <c r="E38" s="4"/>
      <c r="F38" s="132"/>
      <c r="G38" s="258"/>
      <c r="H38" s="132"/>
      <c r="I38" s="235"/>
      <c r="J38" s="132"/>
      <c r="K38" s="235"/>
      <c r="L38" s="39"/>
      <c r="M38" s="258"/>
      <c r="N38" s="132"/>
      <c r="O38" s="235"/>
      <c r="P38" s="132"/>
      <c r="Q38" s="235"/>
      <c r="R38" s="132"/>
      <c r="S38" s="235"/>
      <c r="T38" s="329"/>
      <c r="U38" s="235"/>
      <c r="V38" s="329"/>
      <c r="W38" s="235"/>
      <c r="X38" s="329"/>
      <c r="Y38" s="235"/>
      <c r="Z38" s="329"/>
      <c r="AA38" s="506"/>
      <c r="AB38" s="4"/>
      <c r="AC38" s="604"/>
    </row>
    <row r="39" spans="1:29" x14ac:dyDescent="0.2">
      <c r="A39" s="3"/>
      <c r="B39" s="229" t="s">
        <v>35</v>
      </c>
      <c r="C39" s="194"/>
      <c r="D39" s="132">
        <f>Dean_VM!D45+Anatomy_Phy!D39+Path!D38+Clincial_Sci!D38+'Veterinary Health Center'!D14</f>
        <v>1485799</v>
      </c>
      <c r="E39" s="39"/>
      <c r="F39" s="132">
        <f>Dean_VM!F45+Anatomy_Phy!F39+Path!F38+Clincial_Sci!F38+'Veterinary Health Center'!F14</f>
        <v>1574663</v>
      </c>
      <c r="G39" s="260"/>
      <c r="H39" s="132">
        <f>Dean_VM!H45+Anatomy_Phy!H39+Path!H38+Clincial_Sci!H38+'Veterinary Health Center'!H14</f>
        <v>1633587</v>
      </c>
      <c r="I39" s="239"/>
      <c r="J39" s="132">
        <f>Dean_VM!J45+Anatomy_Phy!J39+Path!J38+Clincial_Sci!J38+'Veterinary Health Center'!J14</f>
        <v>1692026</v>
      </c>
      <c r="K39" s="239"/>
      <c r="L39" s="39">
        <f>Dean_VM!L45+Anatomy_Phy!L39+Path!L38+Clincial_Sci!L38+'Veterinary Health Center'!L14</f>
        <v>1787005</v>
      </c>
      <c r="M39" s="260"/>
      <c r="N39" s="132">
        <f>Dean_VM!N45+Anatomy_Phy!N39+Path!N38+Clincial_Sci!N38+'Veterinary Health Center'!N14</f>
        <v>1644744</v>
      </c>
      <c r="O39" s="239"/>
      <c r="P39" s="329">
        <f>Dean_VM!P45+Anatomy_Phy!P39+Path!P38+Clincial_Sci!P38+'Veterinary Health Center'!P14</f>
        <v>1376822</v>
      </c>
      <c r="Q39" s="239"/>
      <c r="R39" s="132">
        <f>Dean_VM!R45+Anatomy_Phy!R39+Path!R38+Clincial_Sci!R38+'Veterinary Health Center'!R14</f>
        <v>1388425</v>
      </c>
      <c r="S39" s="239"/>
      <c r="T39" s="329">
        <f>Dean_VM!T45+Anatomy_Phy!T39+Path!T38+Clincial_Sci!T38+'Veterinary Health Center'!T14</f>
        <v>1365830</v>
      </c>
      <c r="U39" s="239"/>
      <c r="V39" s="329">
        <f>Dean_VM!V45+Anatomy_Phy!V39+Path!V38+Clincial_Sci!V38+'Veterinary Health Center'!V14</f>
        <v>1395570</v>
      </c>
      <c r="W39" s="239"/>
      <c r="X39" s="329">
        <f>Dean_VM!X45+Anatomy_Phy!X39+Path!X38+Clincial_Sci!X38+'Veterinary Health Center'!X14</f>
        <v>1504339</v>
      </c>
      <c r="Y39" s="239"/>
      <c r="Z39" s="329">
        <f>Dean_VM!Z45+Anatomy_Phy!Z39+Path!Z38+Clincial_Sci!Z38+'Veterinary Health Center'!Z14</f>
        <v>1621023</v>
      </c>
      <c r="AA39" s="506"/>
      <c r="AB39" s="4"/>
      <c r="AC39" s="604">
        <f t="shared" ref="AC39:AC42" si="9">AVERAGE(R39,Z39,X39,V39,T39)</f>
        <v>1455037.4</v>
      </c>
    </row>
    <row r="40" spans="1:29" x14ac:dyDescent="0.2">
      <c r="A40" s="3"/>
      <c r="B40" s="229" t="s">
        <v>120</v>
      </c>
      <c r="C40" s="194"/>
      <c r="D40" s="132"/>
      <c r="E40" s="39"/>
      <c r="F40" s="132"/>
      <c r="G40" s="260"/>
      <c r="H40" s="132"/>
      <c r="I40" s="239"/>
      <c r="J40" s="132">
        <f>Dean_VM!J46+Anatomy_Phy!J40+Path!J39+Clincial_Sci!J39+'Veterinary Health Center'!J15</f>
        <v>10500</v>
      </c>
      <c r="K40" s="239"/>
      <c r="L40" s="39">
        <f>Dean_VM!L46+Anatomy_Phy!L40+Path!L39+Clincial_Sci!L39+'Veterinary Health Center'!L15</f>
        <v>10500</v>
      </c>
      <c r="M40" s="260"/>
      <c r="N40" s="132">
        <f>Dean_VM!N46+Anatomy_Phy!N40+Path!N39+Clincial_Sci!N39+'Veterinary Health Center'!N15</f>
        <v>10500</v>
      </c>
      <c r="O40" s="239"/>
      <c r="P40" s="329">
        <f>Dean_VM!P46+Anatomy_Phy!P40+Path!P39+Clincial_Sci!P39+'Veterinary Health Center'!P15</f>
        <v>10500</v>
      </c>
      <c r="Q40" s="239"/>
      <c r="R40" s="132">
        <f>Dean_VM!R46+Anatomy_Phy!R40+Path!R39+Clincial_Sci!R39+'Veterinary Health Center'!R15</f>
        <v>10500</v>
      </c>
      <c r="S40" s="239"/>
      <c r="T40" s="329">
        <f>Dean_VM!T46+Anatomy_Phy!T40+Path!T39+Clincial_Sci!T39+'Veterinary Health Center'!T15</f>
        <v>10500</v>
      </c>
      <c r="U40" s="239"/>
      <c r="V40" s="329">
        <f>Dean_VM!V46+Anatomy_Phy!V40+Path!V39+Clincial_Sci!V39+'Veterinary Health Center'!V15</f>
        <v>10500</v>
      </c>
      <c r="W40" s="239"/>
      <c r="X40" s="329">
        <f>Dean_VM!X46+Anatomy_Phy!X40+Path!X39+Clincial_Sci!X39+'Veterinary Health Center'!X15</f>
        <v>10500</v>
      </c>
      <c r="Y40" s="239"/>
      <c r="Z40" s="329">
        <f>Dean_VM!Z46+Anatomy_Phy!Z40+Path!Z39+Clincial_Sci!Z39+'Veterinary Health Center'!Z15</f>
        <v>10500</v>
      </c>
      <c r="AA40" s="506"/>
      <c r="AB40" s="4"/>
      <c r="AC40" s="604">
        <f t="shared" si="9"/>
        <v>10500</v>
      </c>
    </row>
    <row r="41" spans="1:29" ht="24" x14ac:dyDescent="0.2">
      <c r="A41" s="3"/>
      <c r="B41" s="230" t="s">
        <v>121</v>
      </c>
      <c r="C41" s="194"/>
      <c r="D41" s="132">
        <f>Dean_VM!D47+Anatomy_Phy!D41+Path!D40+Clincial_Sci!D40+'Veterinary Health Center'!D16</f>
        <v>1097597</v>
      </c>
      <c r="E41" s="39"/>
      <c r="F41" s="132">
        <f>Dean_VM!F47+Anatomy_Phy!F41+Path!F40+Clincial_Sci!F40+'Veterinary Health Center'!F16</f>
        <v>1178005</v>
      </c>
      <c r="G41" s="260"/>
      <c r="H41" s="132">
        <f>Dean_VM!H47+Anatomy_Phy!H41+Path!H40+Clincial_Sci!H40+'Veterinary Health Center'!H16</f>
        <v>3238571</v>
      </c>
      <c r="I41" s="239"/>
      <c r="J41" s="132">
        <f>Dean_VM!J47+Anatomy_Phy!J41+Path!J40+Clincial_Sci!J40+'Veterinary Health Center'!J16</f>
        <v>3039274</v>
      </c>
      <c r="K41" s="239"/>
      <c r="L41" s="39">
        <f>Dean_VM!L47+Anatomy_Phy!L41+Path!L40+Clincial_Sci!L40+'Veterinary Health Center'!L16</f>
        <v>3084998</v>
      </c>
      <c r="M41" s="260"/>
      <c r="N41" s="132">
        <f>Dean_VM!N47+Anatomy_Phy!N41+Path!N40+Clincial_Sci!N40+'Veterinary Health Center'!N16</f>
        <v>2988570</v>
      </c>
      <c r="O41" s="239"/>
      <c r="P41" s="329">
        <f>Dean_VM!P47+Anatomy_Phy!P41+Path!P40+Clincial_Sci!P40+'Veterinary Health Center'!P16</f>
        <v>2814092</v>
      </c>
      <c r="Q41" s="239"/>
      <c r="R41" s="132">
        <f>Dean_VM!R47+Anatomy_Phy!R41+Path!R40+Clincial_Sci!R40+'Veterinary Health Center'!R16</f>
        <v>2816208</v>
      </c>
      <c r="S41" s="239"/>
      <c r="T41" s="329">
        <f>Dean_VM!T47+Anatomy_Phy!T41+Path!T40+Clincial_Sci!T40+'Veterinary Health Center'!T16</f>
        <v>2815800</v>
      </c>
      <c r="U41" s="239"/>
      <c r="V41" s="329">
        <f>Dean_VM!V47+Anatomy_Phy!V41+Path!V40+Clincial_Sci!V40+'Veterinary Health Center'!V16</f>
        <v>2815456</v>
      </c>
      <c r="W41" s="239"/>
      <c r="X41" s="329">
        <f>Dean_VM!X47+Anatomy_Phy!X41+Path!X40+Clincial_Sci!X40+'Veterinary Health Center'!X16</f>
        <v>2859740</v>
      </c>
      <c r="Y41" s="239"/>
      <c r="Z41" s="329">
        <f>Dean_VM!Z47+Anatomy_Phy!Z41+Path!Z40+Clincial_Sci!Z40+'Veterinary Health Center'!Z16</f>
        <v>2918425</v>
      </c>
      <c r="AA41" s="506"/>
      <c r="AB41" s="4"/>
      <c r="AC41" s="604">
        <f t="shared" si="9"/>
        <v>2845125.8</v>
      </c>
    </row>
    <row r="42" spans="1:29" x14ac:dyDescent="0.2">
      <c r="A42" s="3"/>
      <c r="B42" s="231" t="s">
        <v>38</v>
      </c>
      <c r="C42" s="137"/>
      <c r="D42" s="411">
        <f>SUM(D39:D41)</f>
        <v>2583396</v>
      </c>
      <c r="E42" s="97"/>
      <c r="F42" s="411">
        <f>SUM(F39:F41)</f>
        <v>2752668</v>
      </c>
      <c r="G42" s="259"/>
      <c r="H42" s="411">
        <f>SUM(H39:H41)</f>
        <v>4872158</v>
      </c>
      <c r="I42" s="331"/>
      <c r="J42" s="411">
        <f>SUM(J39:J41)</f>
        <v>4741800</v>
      </c>
      <c r="K42" s="331"/>
      <c r="L42" s="79">
        <f>SUM(L39:L41)</f>
        <v>4882503</v>
      </c>
      <c r="M42" s="259"/>
      <c r="N42" s="411">
        <f>SUM(N39:N41)</f>
        <v>4643814</v>
      </c>
      <c r="O42" s="331"/>
      <c r="P42" s="710">
        <f>SUM(P39:P41)</f>
        <v>4201414</v>
      </c>
      <c r="Q42" s="331"/>
      <c r="R42" s="411">
        <f>SUM(R39:R41)</f>
        <v>4215133</v>
      </c>
      <c r="S42" s="331"/>
      <c r="T42" s="710">
        <f>SUM(T39:T41)</f>
        <v>4192130</v>
      </c>
      <c r="U42" s="331"/>
      <c r="V42" s="710">
        <f>SUM(V39:V41)</f>
        <v>4221526</v>
      </c>
      <c r="W42" s="331"/>
      <c r="X42" s="710">
        <f>SUM(X39:X41)</f>
        <v>4374579</v>
      </c>
      <c r="Y42" s="331"/>
      <c r="Z42" s="710">
        <f>SUM(Z39:Z41)</f>
        <v>4549948</v>
      </c>
      <c r="AA42" s="506"/>
      <c r="AB42" s="7"/>
      <c r="AC42" s="604">
        <f t="shared" si="9"/>
        <v>4310663.2</v>
      </c>
    </row>
    <row r="43" spans="1:29" x14ac:dyDescent="0.2">
      <c r="A43" s="3"/>
      <c r="B43" s="232" t="s">
        <v>45</v>
      </c>
      <c r="C43" s="129"/>
      <c r="D43" s="412"/>
      <c r="E43" s="4"/>
      <c r="F43" s="412"/>
      <c r="G43" s="258"/>
      <c r="H43" s="412"/>
      <c r="I43" s="235"/>
      <c r="J43" s="412"/>
      <c r="K43" s="235"/>
      <c r="L43" s="498"/>
      <c r="M43" s="258"/>
      <c r="N43" s="412"/>
      <c r="O43" s="235"/>
      <c r="P43" s="637"/>
      <c r="Q43" s="235"/>
      <c r="R43" s="412"/>
      <c r="S43" s="235"/>
      <c r="T43" s="637"/>
      <c r="U43" s="235"/>
      <c r="V43" s="637"/>
      <c r="W43" s="235"/>
      <c r="X43" s="637"/>
      <c r="Y43" s="235"/>
      <c r="Z43" s="637"/>
      <c r="AA43" s="506"/>
      <c r="AB43" s="601"/>
      <c r="AC43" s="604"/>
    </row>
    <row r="44" spans="1:29" x14ac:dyDescent="0.2">
      <c r="A44" s="3"/>
      <c r="B44" s="229" t="s">
        <v>35</v>
      </c>
      <c r="C44" s="194"/>
      <c r="D44" s="132">
        <f>Dean_VM!D50+Anatomy_Phy!D44+Path!D43+Clincial_Sci!D43+'Veterinary Health Center'!D19</f>
        <v>23504567</v>
      </c>
      <c r="E44" s="39"/>
      <c r="F44" s="132">
        <f>Dean_VM!F50+Anatomy_Phy!F44+Path!F43+Clincial_Sci!F43+'Veterinary Health Center'!F19</f>
        <v>25306835</v>
      </c>
      <c r="G44" s="260"/>
      <c r="H44" s="132">
        <f>Dean_VM!H50+Anatomy_Phy!H44+Path!H43+Clincial_Sci!H43+'Veterinary Health Center'!H19</f>
        <v>26885755</v>
      </c>
      <c r="I44" s="239"/>
      <c r="J44" s="132">
        <f>Dean_VM!J50+Anatomy_Phy!J44+Path!J43+Clincial_Sci!J43+'Veterinary Health Center'!J19</f>
        <v>27555437</v>
      </c>
      <c r="K44" s="239"/>
      <c r="L44" s="39">
        <f>Dean_VM!L50+Anatomy_Phy!L44+Path!L43+Clincial_Sci!L43+'Veterinary Health Center'!L19</f>
        <v>28694911</v>
      </c>
      <c r="M44" s="260"/>
      <c r="N44" s="132">
        <f>Dean_VM!N50+Anatomy_Phy!N44+Path!N43+Clincial_Sci!N43+'Veterinary Health Center'!N19</f>
        <v>26111164</v>
      </c>
      <c r="O44" s="239"/>
      <c r="P44" s="329">
        <f>Dean_VM!P50+Anatomy_Phy!P44+Path!P43+Clincial_Sci!P43+'Veterinary Health Center'!P19</f>
        <v>25911970</v>
      </c>
      <c r="Q44" s="239"/>
      <c r="R44" s="132">
        <f>Dean_VM!R50+Anatomy_Phy!R44+Path!R43+Clincial_Sci!R43+'Veterinary Health Center'!R19</f>
        <v>27562694</v>
      </c>
      <c r="S44" s="239"/>
      <c r="T44" s="329">
        <f>Dean_VM!T50+Anatomy_Phy!T44+Path!T43+Clincial_Sci!T43+'Veterinary Health Center'!T19</f>
        <v>28641544</v>
      </c>
      <c r="U44" s="239"/>
      <c r="V44" s="329">
        <f>Dean_VM!V50+Anatomy_Phy!V44+Path!V43+Clincial_Sci!V43+'Veterinary Health Center'!V19</f>
        <v>34674133</v>
      </c>
      <c r="W44" s="239"/>
      <c r="X44" s="329">
        <f>Dean_VM!X50+Anatomy_Phy!X44+Path!X43+Clincial_Sci!X43+'Veterinary Health Center'!X19</f>
        <v>34954286</v>
      </c>
      <c r="Y44" s="239"/>
      <c r="Z44" s="329">
        <f>Dean_VM!Z50+Anatomy_Phy!Z44+Path!Z43+Clincial_Sci!Z43+'Veterinary Health Center'!Z19</f>
        <v>36245643</v>
      </c>
      <c r="AA44" s="506"/>
      <c r="AB44" s="209"/>
      <c r="AC44" s="604">
        <f t="shared" ref="AC44" si="10">AVERAGE(R44,Z44,X44,V44,T44)</f>
        <v>32415660</v>
      </c>
    </row>
    <row r="45" spans="1:29" x14ac:dyDescent="0.2">
      <c r="A45" s="3"/>
      <c r="B45" s="229" t="s">
        <v>120</v>
      </c>
      <c r="C45" s="194"/>
      <c r="D45" s="132"/>
      <c r="E45" s="39"/>
      <c r="F45" s="132"/>
      <c r="G45" s="260"/>
      <c r="H45" s="132"/>
      <c r="I45" s="239"/>
      <c r="J45" s="132"/>
      <c r="K45" s="239"/>
      <c r="L45" s="39"/>
      <c r="M45" s="260"/>
      <c r="N45" s="132"/>
      <c r="O45" s="239"/>
      <c r="P45" s="329"/>
      <c r="Q45" s="239"/>
      <c r="R45" s="132"/>
      <c r="S45" s="239"/>
      <c r="T45" s="329"/>
      <c r="U45" s="239"/>
      <c r="V45" s="329"/>
      <c r="W45" s="239"/>
      <c r="X45" s="329"/>
      <c r="Y45" s="239"/>
      <c r="Z45" s="329"/>
      <c r="AA45" s="506"/>
      <c r="AB45" s="209"/>
      <c r="AC45" s="604"/>
    </row>
    <row r="46" spans="1:29" ht="24" x14ac:dyDescent="0.2">
      <c r="A46" s="3"/>
      <c r="B46" s="230" t="s">
        <v>121</v>
      </c>
      <c r="C46" s="194"/>
      <c r="D46" s="132">
        <f>Dean_VM!D52+Anatomy_Phy!D46+Path!D45+Clincial_Sci!D45+'Veterinary Health Center'!D21</f>
        <v>2353480</v>
      </c>
      <c r="E46" s="39"/>
      <c r="F46" s="132">
        <f>Dean_VM!F52+Anatomy_Phy!F46+Path!F45+Clincial_Sci!F45+'Veterinary Health Center'!F21</f>
        <v>1922019</v>
      </c>
      <c r="G46" s="260"/>
      <c r="H46" s="132">
        <f>Dean_VM!H52+Anatomy_Phy!H46+Path!H45+Clincial_Sci!H45+'Veterinary Health Center'!H21</f>
        <v>2166645</v>
      </c>
      <c r="I46" s="239"/>
      <c r="J46" s="132">
        <f>Dean_VM!J52+Anatomy_Phy!J46+Path!J45+Clincial_Sci!J45+'Veterinary Health Center'!J21</f>
        <v>2760088</v>
      </c>
      <c r="K46" s="239"/>
      <c r="L46" s="39">
        <f>Dean_VM!L52+Anatomy_Phy!L46+Path!L45+Clincial_Sci!L45+'Veterinary Health Center'!L21</f>
        <v>2789712</v>
      </c>
      <c r="M46" s="260"/>
      <c r="N46" s="132">
        <f>Dean_VM!N52+Anatomy_Phy!N46+Path!N45+Clincial_Sci!N45+'Veterinary Health Center'!N21</f>
        <v>3394519</v>
      </c>
      <c r="O46" s="239"/>
      <c r="P46" s="329">
        <f>Dean_VM!P52+Anatomy_Phy!P46+Path!P45+Clincial_Sci!P45+'Veterinary Health Center'!P21</f>
        <v>4608254</v>
      </c>
      <c r="Q46" s="239"/>
      <c r="R46" s="132">
        <f>Dean_VM!R52+Anatomy_Phy!R46+Path!R45+Clincial_Sci!R45+'Veterinary Health Center'!R21</f>
        <v>4683121</v>
      </c>
      <c r="S46" s="239"/>
      <c r="T46" s="329">
        <f>Dean_VM!T52+Anatomy_Phy!T46+Path!T45+Clincial_Sci!T45+'Veterinary Health Center'!T21</f>
        <v>4588512</v>
      </c>
      <c r="U46" s="239"/>
      <c r="V46" s="329">
        <f>Dean_VM!V52+Anatomy_Phy!V46+Path!V45+Clincial_Sci!V45+'Veterinary Health Center'!V21</f>
        <v>4413044</v>
      </c>
      <c r="W46" s="239"/>
      <c r="X46" s="329">
        <f>Dean_VM!X52+Anatomy_Phy!X46+Path!X45+Clincial_Sci!X45+'Veterinary Health Center'!X21</f>
        <v>4468738</v>
      </c>
      <c r="Y46" s="239"/>
      <c r="Z46" s="329">
        <f>Dean_VM!Z52+Anatomy_Phy!Z46+Path!Z45+Clincial_Sci!Z45+'Veterinary Health Center'!Z21</f>
        <v>4727439</v>
      </c>
      <c r="AA46" s="506"/>
      <c r="AB46" s="26"/>
      <c r="AC46" s="604">
        <f t="shared" ref="AC46:AC49" si="11">AVERAGE(R46,Z46,X46,V46,T46)</f>
        <v>4576170.8</v>
      </c>
    </row>
    <row r="47" spans="1:29" x14ac:dyDescent="0.2">
      <c r="A47" s="3"/>
      <c r="B47" s="231" t="s">
        <v>81</v>
      </c>
      <c r="C47" s="137"/>
      <c r="D47" s="138">
        <f>SUM(D44:D46)</f>
        <v>25858047</v>
      </c>
      <c r="E47" s="97"/>
      <c r="F47" s="138">
        <f>SUM(F44:F46)</f>
        <v>27228854</v>
      </c>
      <c r="G47" s="259"/>
      <c r="H47" s="138">
        <f>SUM(H44:H46)</f>
        <v>29052400</v>
      </c>
      <c r="I47" s="331"/>
      <c r="J47" s="138">
        <f>SUM(J44:J46)</f>
        <v>30315525</v>
      </c>
      <c r="K47" s="331"/>
      <c r="L47" s="157">
        <f>SUM(L44:L46)</f>
        <v>31484623</v>
      </c>
      <c r="M47" s="259"/>
      <c r="N47" s="138">
        <f>SUM(N44:N46)</f>
        <v>29505683</v>
      </c>
      <c r="O47" s="331"/>
      <c r="P47" s="138">
        <f>SUM(P44:P46)</f>
        <v>30520224</v>
      </c>
      <c r="Q47" s="331"/>
      <c r="R47" s="138">
        <f>SUM(R44:R46)</f>
        <v>32245815</v>
      </c>
      <c r="S47" s="331"/>
      <c r="T47" s="364">
        <f>SUM(T44:T46)</f>
        <v>33230056</v>
      </c>
      <c r="U47" s="331"/>
      <c r="V47" s="364">
        <f>SUM(V44:V46)</f>
        <v>39087177</v>
      </c>
      <c r="W47" s="331"/>
      <c r="X47" s="364">
        <f>SUM(X44:X46)</f>
        <v>39423024</v>
      </c>
      <c r="Y47" s="331"/>
      <c r="Z47" s="364">
        <f>SUM(Z44:Z46)</f>
        <v>40973082</v>
      </c>
      <c r="AA47" s="506"/>
      <c r="AB47" s="210"/>
      <c r="AC47" s="604">
        <f t="shared" si="11"/>
        <v>36991830.799999997</v>
      </c>
    </row>
    <row r="48" spans="1:29" x14ac:dyDescent="0.2">
      <c r="A48" s="3"/>
      <c r="B48" s="231" t="s">
        <v>125</v>
      </c>
      <c r="C48" s="137"/>
      <c r="D48" s="138"/>
      <c r="E48" s="97"/>
      <c r="F48" s="138"/>
      <c r="G48" s="259"/>
      <c r="H48" s="138">
        <v>0</v>
      </c>
      <c r="I48" s="331"/>
      <c r="J48" s="138">
        <v>0</v>
      </c>
      <c r="K48" s="331"/>
      <c r="L48" s="157">
        <v>0</v>
      </c>
      <c r="M48" s="259"/>
      <c r="N48" s="138">
        <v>2416799</v>
      </c>
      <c r="O48" s="331"/>
      <c r="P48" s="138">
        <v>2368094</v>
      </c>
      <c r="Q48" s="331"/>
      <c r="R48" s="138">
        <v>2432896</v>
      </c>
      <c r="S48" s="331"/>
      <c r="T48" s="364">
        <v>2484473</v>
      </c>
      <c r="U48" s="331"/>
      <c r="V48" s="364">
        <v>2495839</v>
      </c>
      <c r="W48" s="331"/>
      <c r="X48" s="364">
        <v>2746631</v>
      </c>
      <c r="Y48" s="331"/>
      <c r="Z48" s="364">
        <v>3023655</v>
      </c>
      <c r="AA48" s="506"/>
      <c r="AB48" s="210"/>
      <c r="AC48" s="604">
        <f t="shared" si="11"/>
        <v>2636698.7999999998</v>
      </c>
    </row>
    <row r="49" spans="1:29" ht="13.5" thickBot="1" x14ac:dyDescent="0.25">
      <c r="A49" s="3"/>
      <c r="B49" s="272" t="s">
        <v>80</v>
      </c>
      <c r="C49" s="129"/>
      <c r="D49" s="138">
        <f>SUM(D37,D42,D47)</f>
        <v>28441443</v>
      </c>
      <c r="E49" s="4"/>
      <c r="F49" s="138">
        <f>SUM(F37,F42,F47)</f>
        <v>32082734</v>
      </c>
      <c r="G49" s="258"/>
      <c r="H49" s="138">
        <f>SUM(H37,H42,H47)</f>
        <v>39024029</v>
      </c>
      <c r="I49" s="235"/>
      <c r="J49" s="138">
        <f>SUM(J37,J42,J47)</f>
        <v>39716854</v>
      </c>
      <c r="K49" s="235"/>
      <c r="L49" s="157">
        <f>SUM(L37,L42,L47)</f>
        <v>39683755</v>
      </c>
      <c r="M49" s="258"/>
      <c r="N49" s="138">
        <f>SUM(N37,N42,N47,N48)</f>
        <v>39871218</v>
      </c>
      <c r="O49" s="235"/>
      <c r="P49" s="364">
        <f>SUM(P37,P42,P47,P48)</f>
        <v>40363055</v>
      </c>
      <c r="Q49" s="235"/>
      <c r="R49" s="138">
        <f>SUM(R37,R42,R47,R48)</f>
        <v>42187637</v>
      </c>
      <c r="S49" s="235"/>
      <c r="T49" s="364">
        <f>SUM(T37,T42,T47,T48)</f>
        <v>44249121</v>
      </c>
      <c r="U49" s="235"/>
      <c r="V49" s="364">
        <f>SUM(V37,V42,V47,V48)</f>
        <v>51931085</v>
      </c>
      <c r="W49" s="235"/>
      <c r="X49" s="364">
        <f>SUM(X37,X42,X47,X48)</f>
        <v>51958643</v>
      </c>
      <c r="Y49" s="235"/>
      <c r="Z49" s="364">
        <f>SUM(Z37,Z42,Z47,Z48)</f>
        <v>54005094</v>
      </c>
      <c r="AA49" s="506"/>
      <c r="AB49" s="609"/>
      <c r="AC49" s="604">
        <f t="shared" si="11"/>
        <v>48866316</v>
      </c>
    </row>
    <row r="50" spans="1:29" ht="12" x14ac:dyDescent="0.2">
      <c r="B50" s="273" t="s">
        <v>40</v>
      </c>
      <c r="C50" s="139"/>
      <c r="D50" s="140"/>
      <c r="E50" s="101"/>
      <c r="F50" s="140"/>
      <c r="G50" s="261"/>
      <c r="H50" s="341"/>
      <c r="I50" s="332"/>
      <c r="J50" s="341"/>
      <c r="K50" s="332"/>
      <c r="L50" s="332"/>
      <c r="M50" s="261"/>
      <c r="N50" s="709"/>
      <c r="O50" s="332"/>
      <c r="P50" s="709"/>
      <c r="Q50" s="332"/>
      <c r="R50" s="341"/>
      <c r="S50" s="332"/>
      <c r="T50" s="341"/>
      <c r="U50" s="332"/>
      <c r="V50" s="341"/>
      <c r="W50" s="332"/>
      <c r="X50" s="341"/>
      <c r="Y50" s="332"/>
      <c r="Z50" s="341"/>
      <c r="AA50" s="506"/>
      <c r="AB50" s="606"/>
      <c r="AC50" s="607"/>
    </row>
    <row r="51" spans="1:29" ht="12" x14ac:dyDescent="0.2">
      <c r="B51" s="55" t="s">
        <v>15</v>
      </c>
      <c r="C51" s="197"/>
      <c r="D51" s="142">
        <f>Dean_VM!D56+Path!D49+Clincial_Sci!D49+Anatomy_Phy!D50+'Veterinary Health Center'!D25</f>
        <v>16349486</v>
      </c>
      <c r="E51" s="43"/>
      <c r="F51" s="317">
        <f>Dean_VM!F56+Path!F49+Clincial_Sci!F49+Anatomy_Phy!F50+'Veterinary Health Center'!F25</f>
        <v>20178668</v>
      </c>
      <c r="G51" s="262"/>
      <c r="H51" s="317">
        <f>Dean_VM!H56+Path!H49+Clincial_Sci!H49+Anatomy_Phy!H50+'Veterinary Health Center'!H25</f>
        <v>20448549.210000001</v>
      </c>
      <c r="I51" s="339"/>
      <c r="J51" s="317">
        <f>Dean_VM!J56+Path!J49+Clincial_Sci!J49+Anatomy_Phy!J50+'Veterinary Health Center'!J25</f>
        <v>22510793</v>
      </c>
      <c r="K51" s="339"/>
      <c r="L51" s="339">
        <f>Dean_VM!L56+Path!L49+Clincial_Sci!L49+Anatomy_Phy!L50+'Veterinary Health Center'!L25</f>
        <v>22713598</v>
      </c>
      <c r="M51" s="262"/>
      <c r="N51" s="421">
        <f>Dean_VM!N56+Path!N49+Clincial_Sci!N49+Anatomy_Phy!N50+'Veterinary Health Center'!N25</f>
        <v>21596757</v>
      </c>
      <c r="O51" s="262"/>
      <c r="P51" s="421">
        <f>Dean_VM!P56+Path!P49+Clincial_Sci!P49+Anatomy_Phy!P50+'Veterinary Health Center'!P25</f>
        <v>19898670</v>
      </c>
      <c r="Q51" s="718"/>
      <c r="R51" s="421">
        <f>Dean_VM!R56+Path!R49+Clincial_Sci!R49+Anatomy_Phy!R50+'Veterinary Health Center'!R25+1172913</f>
        <v>23419845</v>
      </c>
      <c r="S51" s="718"/>
      <c r="T51" s="421">
        <f>Dean_VM!T56+Path!T49+Clincial_Sci!T49+Anatomy_Phy!T50+'Veterinary Health Center'!T25+1085904</f>
        <v>22583854</v>
      </c>
      <c r="U51" s="718"/>
      <c r="V51" s="421">
        <f>Dean_VM!V56+Path!V49+Clincial_Sci!V49+Anatomy_Phy!V50+'Veterinary Health Center'!V25+1271472</f>
        <v>27031537</v>
      </c>
      <c r="W51" s="718"/>
      <c r="X51" s="736">
        <f>Dean_VM!X56+Path!X49+Clincial_Sci!X49+Anatomy_Phy!X50+'Veterinary Health Center'!X25+1134876</f>
        <v>26237173</v>
      </c>
      <c r="Y51" s="718"/>
      <c r="Z51" s="737"/>
      <c r="AA51" s="506"/>
      <c r="AB51" s="606"/>
      <c r="AC51" s="563">
        <f>AVERAGE(R51,P51,X51,V51,T51)</f>
        <v>23834215.800000001</v>
      </c>
    </row>
    <row r="52" spans="1:29" ht="12" x14ac:dyDescent="0.2">
      <c r="B52" s="274" t="s">
        <v>16</v>
      </c>
      <c r="C52" s="197"/>
      <c r="D52" s="142">
        <f>Dean_VM!D57+Path!D50+Clincial_Sci!D50+Anatomy_Phy!D51</f>
        <v>4080770</v>
      </c>
      <c r="E52" s="43"/>
      <c r="F52" s="317">
        <f>Dean_VM!F57+Path!F50+Clincial_Sci!F50+Anatomy_Phy!F51+'Veterinary Health Center'!F26</f>
        <v>4851567</v>
      </c>
      <c r="G52" s="262"/>
      <c r="H52" s="317">
        <f>Dean_VM!H57+Path!H50+Clincial_Sci!H50+Anatomy_Phy!H51+'Veterinary Health Center'!H26</f>
        <v>5362394</v>
      </c>
      <c r="I52" s="339"/>
      <c r="J52" s="317">
        <f>Dean_VM!J57+Path!J50+Clincial_Sci!J50+Anatomy_Phy!J51+'Veterinary Health Center'!J26</f>
        <v>5677618.8399999999</v>
      </c>
      <c r="K52" s="339"/>
      <c r="L52" s="339">
        <f>Dean_VM!L57+Path!L50+Clincial_Sci!L50+Anatomy_Phy!L51+'Veterinary Health Center'!L26</f>
        <v>4717320</v>
      </c>
      <c r="M52" s="262"/>
      <c r="N52" s="421">
        <f>Dean_VM!N57+Path!N50+Clincial_Sci!N50+Anatomy_Phy!N51+'Veterinary Health Center'!N26</f>
        <v>4025963</v>
      </c>
      <c r="O52" s="262"/>
      <c r="P52" s="421">
        <f>Dean_VM!P57+Path!P50+Clincial_Sci!P50+Anatomy_Phy!P51+'Veterinary Health Center'!P26</f>
        <v>2537095.5</v>
      </c>
      <c r="Q52" s="718"/>
      <c r="R52" s="421">
        <f>Dean_VM!R57+Path!R50+Clincial_Sci!R50+Anatomy_Phy!R51+'Veterinary Health Center'!R26</f>
        <v>2554178.7399999998</v>
      </c>
      <c r="S52" s="718"/>
      <c r="T52" s="421">
        <f>Dean_VM!T57+Path!T50+Clincial_Sci!T50+Anatomy_Phy!T51+'Veterinary Health Center'!T26</f>
        <v>2486348.86</v>
      </c>
      <c r="U52" s="718"/>
      <c r="V52" s="421">
        <f>Dean_VM!V57+Path!V50+Clincial_Sci!V50+Anatomy_Phy!V51+'Veterinary Health Center'!V26</f>
        <v>2510929</v>
      </c>
      <c r="W52" s="718"/>
      <c r="X52" s="736">
        <f>Dean_VM!X57+Path!X50+Clincial_Sci!X50+Anatomy_Phy!X51+'Veterinary Health Center'!X26</f>
        <v>2655667.37</v>
      </c>
      <c r="Y52" s="718"/>
      <c r="Z52" s="737"/>
      <c r="AA52" s="506"/>
      <c r="AB52" s="606"/>
      <c r="AC52" s="563">
        <f>AVERAGE(R52,P52,X52,V52,T52)</f>
        <v>2548843.8939999999</v>
      </c>
    </row>
    <row r="53" spans="1:29" thickBot="1" x14ac:dyDescent="0.25">
      <c r="B53" s="275"/>
      <c r="C53" s="145"/>
      <c r="D53" s="146"/>
      <c r="E53" s="63"/>
      <c r="F53" s="220"/>
      <c r="G53" s="263"/>
      <c r="H53" s="342"/>
      <c r="I53" s="326"/>
      <c r="J53" s="342"/>
      <c r="K53" s="326"/>
      <c r="L53" s="340"/>
      <c r="M53" s="263"/>
      <c r="N53" s="342"/>
      <c r="O53" s="326"/>
      <c r="P53" s="342"/>
      <c r="Q53" s="326"/>
      <c r="R53" s="342"/>
      <c r="S53" s="326"/>
      <c r="T53" s="342"/>
      <c r="U53" s="326"/>
      <c r="V53" s="342"/>
      <c r="W53" s="326"/>
      <c r="X53" s="342"/>
      <c r="Y53" s="326"/>
      <c r="Z53" s="342"/>
      <c r="AA53" s="506"/>
      <c r="AB53" s="608"/>
      <c r="AC53" s="605"/>
    </row>
    <row r="54" spans="1:29" ht="12" x14ac:dyDescent="0.2">
      <c r="B54" s="273" t="s">
        <v>30</v>
      </c>
      <c r="C54" s="313" t="s">
        <v>69</v>
      </c>
      <c r="D54" s="148" t="s">
        <v>75</v>
      </c>
      <c r="E54" s="313" t="s">
        <v>69</v>
      </c>
      <c r="F54" s="148" t="s">
        <v>75</v>
      </c>
      <c r="G54" s="264" t="s">
        <v>69</v>
      </c>
      <c r="H54" s="343" t="s">
        <v>75</v>
      </c>
      <c r="I54" s="240" t="s">
        <v>69</v>
      </c>
      <c r="J54" s="343" t="s">
        <v>75</v>
      </c>
      <c r="K54" s="240" t="s">
        <v>69</v>
      </c>
      <c r="L54" s="378" t="s">
        <v>75</v>
      </c>
      <c r="M54" s="264" t="s">
        <v>69</v>
      </c>
      <c r="N54" s="343" t="s">
        <v>75</v>
      </c>
      <c r="O54" s="240" t="s">
        <v>69</v>
      </c>
      <c r="P54" s="343" t="s">
        <v>75</v>
      </c>
      <c r="Q54" s="240" t="s">
        <v>69</v>
      </c>
      <c r="R54" s="343" t="s">
        <v>75</v>
      </c>
      <c r="S54" s="240" t="s">
        <v>69</v>
      </c>
      <c r="T54" s="343" t="s">
        <v>75</v>
      </c>
      <c r="U54" s="240" t="s">
        <v>69</v>
      </c>
      <c r="V54" s="343" t="s">
        <v>75</v>
      </c>
      <c r="W54" s="240" t="s">
        <v>69</v>
      </c>
      <c r="X54" s="343" t="s">
        <v>75</v>
      </c>
      <c r="Y54" s="240" t="s">
        <v>69</v>
      </c>
      <c r="Z54" s="343" t="s">
        <v>75</v>
      </c>
      <c r="AA54" s="506"/>
      <c r="AB54" s="264" t="s">
        <v>69</v>
      </c>
      <c r="AC54" s="241" t="s">
        <v>75</v>
      </c>
    </row>
    <row r="55" spans="1:29" ht="12" x14ac:dyDescent="0.2">
      <c r="B55" s="55" t="s">
        <v>82</v>
      </c>
      <c r="C55" s="316">
        <f>51+18+3+47+2</f>
        <v>121</v>
      </c>
      <c r="D55" s="319">
        <f>SUM(Dean_VM!D60+Path!D53+Clincial_Sci!D53+Anatomy_Phy!D54)</f>
        <v>8577099</v>
      </c>
      <c r="E55" s="314">
        <f>Dean_VM!E60+Anatomy_Phy!E54+Path!E53+Clincial_Sci!E53</f>
        <v>106</v>
      </c>
      <c r="F55" s="658">
        <f>Dean_VM!F60+Anatomy_Phy!F54+Path!F53+Clincial_Sci!F53</f>
        <v>6926429</v>
      </c>
      <c r="G55" s="314">
        <f>Dean_VM!G60+Anatomy_Phy!G54+Path!G53+Clincial_Sci!G53</f>
        <v>129</v>
      </c>
      <c r="H55" s="658">
        <f>Dean_VM!H60+Anatomy_Phy!H54+Path!H53+Clincial_Sci!H53</f>
        <v>10972781</v>
      </c>
      <c r="I55" s="314">
        <f>Dean_VM!I60+Anatomy_Phy!I54+Path!I53+Clincial_Sci!I53</f>
        <v>184</v>
      </c>
      <c r="J55" s="658">
        <f>Dean_VM!J60+Anatomy_Phy!J54+Path!J53+Clincial_Sci!J53</f>
        <v>13589635</v>
      </c>
      <c r="K55" s="314">
        <f>Dean_VM!K60+Anatomy_Phy!K54+Path!K53+Clincial_Sci!K53</f>
        <v>148</v>
      </c>
      <c r="L55" s="658">
        <f>Dean_VM!L60+Anatomy_Phy!L54+Path!L53+Clincial_Sci!L53</f>
        <v>13019384</v>
      </c>
      <c r="M55" s="452">
        <f>Dean_VM!M60+Anatomy_Phy!M54+Path!M53+Clincial_Sci!M53</f>
        <v>173</v>
      </c>
      <c r="N55" s="668">
        <f>Dean_VM!N60+Anatomy_Phy!N54+Path!N53+Clincial_Sci!N53</f>
        <v>45484234</v>
      </c>
      <c r="O55" s="322">
        <f>Dean_VM!O60+Anatomy_Phy!O54+Path!O53+Clincial_Sci!O53+'Veterinary Health Center'!O29</f>
        <v>134</v>
      </c>
      <c r="P55" s="668">
        <f>Dean_VM!P60+Anatomy_Phy!P54+Path!P53+Clincial_Sci!P53+'Veterinary Health Center'!P29</f>
        <v>18919069</v>
      </c>
      <c r="Q55" s="322">
        <f>Dean_VM!Q60+Anatomy_Phy!Q54+Path!Q53+Clincial_Sci!Q53+'Veterinary Health Center'!Q29</f>
        <v>149</v>
      </c>
      <c r="R55" s="668">
        <f>Dean_VM!R60+Anatomy_Phy!R54+Path!R53+Clincial_Sci!R53+'Veterinary Health Center'!R29</f>
        <v>32868140</v>
      </c>
      <c r="S55" s="322">
        <f>Dean_VM!S60+Anatomy_Phy!S54+Path!S53+Clincial_Sci!S53+'Veterinary Health Center'!S29</f>
        <v>107</v>
      </c>
      <c r="T55" s="668">
        <f>Dean_VM!T60+Anatomy_Phy!T54+Path!T53+Clincial_Sci!T53+'Veterinary Health Center'!T29</f>
        <v>19420913</v>
      </c>
      <c r="U55" s="322">
        <f>Dean_VM!U60+Anatomy_Phy!U54+Path!U53+Clincial_Sci!U53+'Veterinary Health Center'!U29</f>
        <v>148</v>
      </c>
      <c r="V55" s="668">
        <f>Dean_VM!V60+Anatomy_Phy!V54+Path!V53+Clincial_Sci!V53+'Veterinary Health Center'!V29</f>
        <v>22333528</v>
      </c>
      <c r="W55" s="322">
        <f>Dean_VM!W60+Anatomy_Phy!W54+Path!W53+Clincial_Sci!W53+'Veterinary Health Center'!W29</f>
        <v>137</v>
      </c>
      <c r="X55" s="668">
        <f>Dean_VM!X60+Anatomy_Phy!X54+Path!X53+Clincial_Sci!X53+'Veterinary Health Center'!X29</f>
        <v>12279540</v>
      </c>
      <c r="Y55" s="666"/>
      <c r="Z55" s="665"/>
      <c r="AA55" s="506"/>
      <c r="AB55" s="619">
        <f t="shared" ref="AB55:AB57" si="12">AVERAGE(Q55,Y55,W55,U55,S55)</f>
        <v>135.25</v>
      </c>
      <c r="AC55" s="563">
        <f t="shared" ref="AC55:AC57" si="13">AVERAGE(R55,Z55,X55,V55,T55)</f>
        <v>21725530.25</v>
      </c>
    </row>
    <row r="56" spans="1:29" ht="12" x14ac:dyDescent="0.2">
      <c r="B56" s="55" t="s">
        <v>79</v>
      </c>
      <c r="C56" s="316"/>
      <c r="D56" s="312"/>
      <c r="E56" s="316">
        <f>'Veterinary Health Center'!E29</f>
        <v>2</v>
      </c>
      <c r="F56" s="85">
        <f>'Veterinary Health Center'!F29</f>
        <v>0</v>
      </c>
      <c r="G56" s="316">
        <f>'Veterinary Health Center'!G29</f>
        <v>1</v>
      </c>
      <c r="H56" s="85">
        <f>'Veterinary Health Center'!H29</f>
        <v>0</v>
      </c>
      <c r="I56" s="316">
        <f>'Veterinary Health Center'!I29</f>
        <v>3</v>
      </c>
      <c r="J56" s="85">
        <f>'Veterinary Health Center'!J29</f>
        <v>39430</v>
      </c>
      <c r="K56" s="316">
        <f>'Veterinary Health Center'!K29</f>
        <v>3</v>
      </c>
      <c r="L56" s="85">
        <f>'Veterinary Health Center'!L29</f>
        <v>9776</v>
      </c>
      <c r="M56" s="322">
        <f>'Veterinary Health Center'!M29</f>
        <v>9</v>
      </c>
      <c r="N56" s="669">
        <f>'Veterinary Health Center'!N29</f>
        <v>1052965</v>
      </c>
      <c r="O56" s="322">
        <v>4</v>
      </c>
      <c r="P56" s="719">
        <v>237821</v>
      </c>
      <c r="Q56" s="322">
        <v>5</v>
      </c>
      <c r="R56" s="719">
        <v>133437</v>
      </c>
      <c r="S56" s="322">
        <v>4</v>
      </c>
      <c r="T56" s="719">
        <v>248449</v>
      </c>
      <c r="U56" s="322">
        <v>12</v>
      </c>
      <c r="V56" s="719">
        <v>478347</v>
      </c>
      <c r="W56" s="322">
        <v>8</v>
      </c>
      <c r="X56" s="719">
        <v>170245</v>
      </c>
      <c r="Y56" s="664"/>
      <c r="Z56" s="665"/>
      <c r="AA56" s="506"/>
      <c r="AB56" s="653">
        <f t="shared" si="12"/>
        <v>7.25</v>
      </c>
      <c r="AC56" s="563">
        <f t="shared" si="13"/>
        <v>257619.5</v>
      </c>
    </row>
    <row r="57" spans="1:29" ht="12" x14ac:dyDescent="0.2">
      <c r="B57" s="274" t="s">
        <v>83</v>
      </c>
      <c r="C57" s="316">
        <f>SUM(C55:C56)</f>
        <v>121</v>
      </c>
      <c r="D57" s="312">
        <f>SUM(D55:D56)</f>
        <v>8577099</v>
      </c>
      <c r="E57" s="70">
        <f>SUM(E55:E56)</f>
        <v>108</v>
      </c>
      <c r="F57" s="312">
        <f>SUM(F55:F56)</f>
        <v>6926429</v>
      </c>
      <c r="G57" s="70">
        <f t="shared" ref="G57:N57" si="14">SUM(G55:G56)</f>
        <v>130</v>
      </c>
      <c r="H57" s="312">
        <f t="shared" si="14"/>
        <v>10972781</v>
      </c>
      <c r="I57" s="70">
        <f t="shared" si="14"/>
        <v>187</v>
      </c>
      <c r="J57" s="312">
        <f t="shared" si="14"/>
        <v>13629065</v>
      </c>
      <c r="K57" s="70">
        <f t="shared" si="14"/>
        <v>151</v>
      </c>
      <c r="L57" s="312">
        <f t="shared" si="14"/>
        <v>13029160</v>
      </c>
      <c r="M57" s="249">
        <f t="shared" si="14"/>
        <v>182</v>
      </c>
      <c r="N57" s="319">
        <f t="shared" si="14"/>
        <v>46537199</v>
      </c>
      <c r="O57" s="249">
        <f t="shared" ref="O57:T57" si="15">SUM(O55:O56)</f>
        <v>138</v>
      </c>
      <c r="P57" s="319">
        <f t="shared" si="15"/>
        <v>19156890</v>
      </c>
      <c r="Q57" s="249">
        <f t="shared" si="15"/>
        <v>154</v>
      </c>
      <c r="R57" s="319">
        <f t="shared" si="15"/>
        <v>33001577</v>
      </c>
      <c r="S57" s="249">
        <f t="shared" si="15"/>
        <v>111</v>
      </c>
      <c r="T57" s="319">
        <f t="shared" si="15"/>
        <v>19669362</v>
      </c>
      <c r="U57" s="249">
        <f t="shared" ref="U57:V57" si="16">SUM(U55:U56)</f>
        <v>160</v>
      </c>
      <c r="V57" s="319">
        <f t="shared" si="16"/>
        <v>22811875</v>
      </c>
      <c r="W57" s="249">
        <f t="shared" ref="W57:X57" si="17">SUM(W55:W56)</f>
        <v>145</v>
      </c>
      <c r="X57" s="319">
        <f t="shared" si="17"/>
        <v>12449785</v>
      </c>
      <c r="Y57" s="661"/>
      <c r="Z57" s="663"/>
      <c r="AA57" s="506"/>
      <c r="AB57" s="557">
        <f t="shared" si="12"/>
        <v>142.5</v>
      </c>
      <c r="AC57" s="562">
        <f t="shared" si="13"/>
        <v>21983149.75</v>
      </c>
    </row>
    <row r="58" spans="1:29" ht="12" x14ac:dyDescent="0.2">
      <c r="B58" s="655" t="s">
        <v>17</v>
      </c>
      <c r="C58" s="656"/>
      <c r="D58" s="657"/>
      <c r="E58" s="314"/>
      <c r="F58" s="657"/>
      <c r="G58" s="402"/>
      <c r="H58" s="657"/>
      <c r="I58" s="402"/>
      <c r="J58" s="657"/>
      <c r="K58" s="402"/>
      <c r="L58" s="657"/>
      <c r="M58" s="452"/>
      <c r="N58" s="377"/>
      <c r="O58" s="452"/>
      <c r="P58" s="377"/>
      <c r="Q58" s="452"/>
      <c r="R58" s="377"/>
      <c r="S58" s="452"/>
      <c r="T58" s="377"/>
      <c r="U58" s="452"/>
      <c r="V58" s="377"/>
      <c r="W58" s="452"/>
      <c r="X58" s="377"/>
      <c r="Y58" s="666"/>
      <c r="Z58" s="665"/>
      <c r="AA58" s="506"/>
      <c r="AB58" s="557"/>
      <c r="AC58" s="562"/>
    </row>
    <row r="59" spans="1:29" ht="12" x14ac:dyDescent="0.2">
      <c r="B59" s="54" t="s">
        <v>82</v>
      </c>
      <c r="C59" s="87">
        <f>43+10+1+29+3</f>
        <v>86</v>
      </c>
      <c r="D59" s="312">
        <f>4682192+446741+11269+2163096+19249</f>
        <v>7322547</v>
      </c>
      <c r="E59" s="612">
        <f>Dean_VM!E61+Anatomy_Phy!E56+Path!E55+Clincial_Sci!E55</f>
        <v>82</v>
      </c>
      <c r="F59" s="659">
        <f>Dean_VM!F61+Anatomy_Phy!F56+Path!F55+Clincial_Sci!F55</f>
        <v>7661401</v>
      </c>
      <c r="G59" s="612">
        <f>Dean_VM!G61+Anatomy_Phy!G56+Path!G55+Clincial_Sci!G55</f>
        <v>91</v>
      </c>
      <c r="H59" s="659">
        <f>Dean_VM!H61+Anatomy_Phy!H56+Path!H55+Clincial_Sci!H55</f>
        <v>9696536</v>
      </c>
      <c r="I59" s="612">
        <f>Dean_VM!I61+Anatomy_Phy!I56+Path!I55+Clincial_Sci!I55</f>
        <v>142</v>
      </c>
      <c r="J59" s="659">
        <f>Dean_VM!J61+Anatomy_Phy!J56+Path!J55+Clincial_Sci!J55</f>
        <v>6524046</v>
      </c>
      <c r="K59" s="612">
        <f>Dean_VM!K61+Anatomy_Phy!K56+Path!K55+Clincial_Sci!K55</f>
        <v>88</v>
      </c>
      <c r="L59" s="660">
        <f>Dean_VM!L61+Anatomy_Phy!L56+Path!L55+Clincial_Sci!L55</f>
        <v>12734006</v>
      </c>
      <c r="M59" s="654">
        <f>Dean_VM!M61+Anatomy_Phy!M56+Path!M55+Clincial_Sci!M55</f>
        <v>66</v>
      </c>
      <c r="N59" s="670">
        <f>Dean_VM!N61+Anatomy_Phy!N56+Path!N55+Clincial_Sci!N55</f>
        <v>13532421</v>
      </c>
      <c r="O59" s="654">
        <f>Dean_VM!O61+Anatomy_Phy!O56+Path!O55+Clincial_Sci!O55+'Veterinary Health Center'!O31</f>
        <v>73</v>
      </c>
      <c r="P59" s="670">
        <f>Dean_VM!P61+Anatomy_Phy!P56+Path!P55+Clincial_Sci!P55+'Veterinary Health Center'!P31</f>
        <v>16130119</v>
      </c>
      <c r="Q59" s="654">
        <f>Dean_VM!Q61+Anatomy_Phy!Q56+Path!Q55+Clincial_Sci!Q55+'Veterinary Health Center'!Q31</f>
        <v>81</v>
      </c>
      <c r="R59" s="670">
        <f>Dean_VM!R61+Anatomy_Phy!R56+Path!R55+Clincial_Sci!R55+'Veterinary Health Center'!R31</f>
        <v>17136268</v>
      </c>
      <c r="S59" s="654">
        <f>Dean_VM!S61+Anatomy_Phy!S56+Path!S55+Clincial_Sci!S55+'Veterinary Health Center'!S31</f>
        <v>75</v>
      </c>
      <c r="T59" s="670">
        <f>Dean_VM!T61+Anatomy_Phy!T56+Path!T55+Clincial_Sci!T55+'Veterinary Health Center'!T31</f>
        <v>13501422</v>
      </c>
      <c r="U59" s="654">
        <f>Dean_VM!U61+Anatomy_Phy!U56+Path!U55+Clincial_Sci!U55+'Veterinary Health Center'!U31</f>
        <v>83</v>
      </c>
      <c r="V59" s="670">
        <f>Dean_VM!V61+Anatomy_Phy!V56+Path!V55+Clincial_Sci!V55+'Veterinary Health Center'!V31</f>
        <v>19610079</v>
      </c>
      <c r="W59" s="654">
        <f>Dean_VM!W61+Anatomy_Phy!W56+Path!W55+Clincial_Sci!W55+'Veterinary Health Center'!W31</f>
        <v>87</v>
      </c>
      <c r="X59" s="670">
        <f>Dean_VM!X61+Anatomy_Phy!X56+Path!X55+Clincial_Sci!X55+'Veterinary Health Center'!X31</f>
        <v>12887900</v>
      </c>
      <c r="Y59" s="662"/>
      <c r="Z59" s="663"/>
      <c r="AA59" s="506"/>
      <c r="AB59" s="653">
        <f t="shared" ref="AB59:AB61" si="18">AVERAGE(Q59,Y59,W59,U59,S59)</f>
        <v>81.5</v>
      </c>
      <c r="AC59" s="563">
        <f t="shared" ref="AC59:AC61" si="19">AVERAGE(R59,Z59,X59,V59,T59)</f>
        <v>15783917.25</v>
      </c>
    </row>
    <row r="60" spans="1:29" ht="11.45" customHeight="1" x14ac:dyDescent="0.2">
      <c r="B60" s="55" t="s">
        <v>79</v>
      </c>
      <c r="C60" s="85"/>
      <c r="D60" s="401"/>
      <c r="E60" s="85">
        <f>'Veterinary Health Center'!E31</f>
        <v>2</v>
      </c>
      <c r="F60" s="660">
        <f>'Veterinary Health Center'!F31</f>
        <v>6850</v>
      </c>
      <c r="G60" s="85">
        <f>'Veterinary Health Center'!G31</f>
        <v>3</v>
      </c>
      <c r="H60" s="660">
        <f>'Veterinary Health Center'!H31</f>
        <v>29339</v>
      </c>
      <c r="I60" s="85">
        <f>'Veterinary Health Center'!I31</f>
        <v>2</v>
      </c>
      <c r="J60" s="660">
        <f>'Veterinary Health Center'!J31</f>
        <v>20700</v>
      </c>
      <c r="K60" s="85">
        <f>'Veterinary Health Center'!K31</f>
        <v>1</v>
      </c>
      <c r="L60" s="660">
        <f>'Veterinary Health Center'!L31</f>
        <v>14000</v>
      </c>
      <c r="M60" s="320">
        <f>'Veterinary Health Center'!M31</f>
        <v>4</v>
      </c>
      <c r="N60" s="646">
        <f>'Veterinary Health Center'!N31</f>
        <v>85417</v>
      </c>
      <c r="O60" s="320">
        <v>5</v>
      </c>
      <c r="P60" s="646">
        <v>220517</v>
      </c>
      <c r="Q60" s="320">
        <v>6</v>
      </c>
      <c r="R60" s="646">
        <v>465217</v>
      </c>
      <c r="S60" s="320">
        <v>3</v>
      </c>
      <c r="T60" s="646">
        <v>61860</v>
      </c>
      <c r="U60" s="320">
        <v>7</v>
      </c>
      <c r="V60" s="646">
        <v>231875</v>
      </c>
      <c r="W60" s="320">
        <v>3</v>
      </c>
      <c r="X60" s="646">
        <v>50127</v>
      </c>
      <c r="Y60" s="664"/>
      <c r="Z60" s="665"/>
      <c r="AA60" s="506"/>
      <c r="AB60" s="653">
        <f t="shared" si="18"/>
        <v>4.75</v>
      </c>
      <c r="AC60" s="563">
        <f t="shared" si="19"/>
        <v>202269.75</v>
      </c>
    </row>
    <row r="61" spans="1:29" ht="12" customHeight="1" thickBot="1" x14ac:dyDescent="0.25">
      <c r="B61" s="51" t="s">
        <v>84</v>
      </c>
      <c r="C61" s="85">
        <f>SUM(C59:C60)</f>
        <v>86</v>
      </c>
      <c r="D61" s="401">
        <f>SUM(D59:D60)</f>
        <v>7322547</v>
      </c>
      <c r="E61" s="402">
        <f>SUM(E59:E60)</f>
        <v>84</v>
      </c>
      <c r="F61" s="403">
        <f>SUM(F59:F60)</f>
        <v>7668251</v>
      </c>
      <c r="G61" s="402">
        <f t="shared" ref="G61:N61" si="20">SUM(G59:G60)</f>
        <v>94</v>
      </c>
      <c r="H61" s="403">
        <f t="shared" si="20"/>
        <v>9725875</v>
      </c>
      <c r="I61" s="402">
        <f t="shared" si="20"/>
        <v>144</v>
      </c>
      <c r="J61" s="403">
        <f t="shared" si="20"/>
        <v>6544746</v>
      </c>
      <c r="K61" s="402">
        <f t="shared" si="20"/>
        <v>89</v>
      </c>
      <c r="L61" s="403">
        <f t="shared" si="20"/>
        <v>12748006</v>
      </c>
      <c r="M61" s="625">
        <f t="shared" si="20"/>
        <v>70</v>
      </c>
      <c r="N61" s="645">
        <f t="shared" si="20"/>
        <v>13617838</v>
      </c>
      <c r="O61" s="625">
        <f t="shared" ref="O61:T61" si="21">SUM(O59:O60)</f>
        <v>78</v>
      </c>
      <c r="P61" s="645">
        <f t="shared" si="21"/>
        <v>16350636</v>
      </c>
      <c r="Q61" s="625">
        <f t="shared" si="21"/>
        <v>87</v>
      </c>
      <c r="R61" s="645">
        <f t="shared" si="21"/>
        <v>17601485</v>
      </c>
      <c r="S61" s="625">
        <f t="shared" si="21"/>
        <v>78</v>
      </c>
      <c r="T61" s="645">
        <f t="shared" si="21"/>
        <v>13563282</v>
      </c>
      <c r="U61" s="625">
        <f t="shared" ref="U61:V61" si="22">SUM(U59:U60)</f>
        <v>90</v>
      </c>
      <c r="V61" s="645">
        <f t="shared" si="22"/>
        <v>19841954</v>
      </c>
      <c r="W61" s="625">
        <f t="shared" ref="W61:X61" si="23">SUM(W59:W60)</f>
        <v>90</v>
      </c>
      <c r="X61" s="645">
        <f t="shared" si="23"/>
        <v>12938027</v>
      </c>
      <c r="Y61" s="666"/>
      <c r="Z61" s="667"/>
      <c r="AA61" s="506"/>
      <c r="AB61" s="620">
        <f t="shared" si="18"/>
        <v>86.25</v>
      </c>
      <c r="AC61" s="568">
        <f t="shared" si="19"/>
        <v>15986187</v>
      </c>
    </row>
    <row r="62" spans="1:29" ht="12" x14ac:dyDescent="0.2">
      <c r="B62" s="273" t="s">
        <v>46</v>
      </c>
      <c r="C62" s="150"/>
      <c r="D62" s="161"/>
      <c r="E62" s="106"/>
      <c r="F62" s="221"/>
      <c r="G62" s="266"/>
      <c r="H62" s="337"/>
      <c r="I62" s="323"/>
      <c r="J62" s="337"/>
      <c r="K62" s="323"/>
      <c r="L62" s="392"/>
      <c r="M62" s="266"/>
      <c r="N62" s="337"/>
      <c r="O62" s="323"/>
      <c r="P62" s="337"/>
      <c r="Q62" s="323"/>
      <c r="R62" s="337"/>
      <c r="S62" s="323"/>
      <c r="T62" s="337"/>
      <c r="U62" s="323"/>
      <c r="V62" s="337"/>
      <c r="W62" s="323"/>
      <c r="X62" s="337"/>
      <c r="Y62" s="323"/>
      <c r="Z62" s="337"/>
      <c r="AA62" s="506"/>
      <c r="AC62" s="563"/>
    </row>
    <row r="63" spans="1:29" ht="6.75" customHeight="1" x14ac:dyDescent="0.2">
      <c r="B63" s="278" t="s">
        <v>47</v>
      </c>
      <c r="C63" s="151"/>
      <c r="D63" s="162"/>
      <c r="E63" s="73"/>
      <c r="F63" s="222"/>
      <c r="G63" s="267"/>
      <c r="H63" s="338"/>
      <c r="I63" s="242"/>
      <c r="J63" s="338"/>
      <c r="K63" s="242"/>
      <c r="L63" s="233"/>
      <c r="M63" s="267"/>
      <c r="N63" s="338"/>
      <c r="O63" s="242"/>
      <c r="P63" s="338"/>
      <c r="Q63" s="242"/>
      <c r="R63" s="338"/>
      <c r="S63" s="242"/>
      <c r="T63" s="338"/>
      <c r="U63" s="242"/>
      <c r="V63" s="338"/>
      <c r="W63" s="242"/>
      <c r="X63" s="338"/>
      <c r="Y63" s="242"/>
      <c r="Z63" s="338"/>
      <c r="AA63" s="506"/>
      <c r="AC63" s="563"/>
    </row>
    <row r="64" spans="1:29" ht="12" x14ac:dyDescent="0.2">
      <c r="B64" s="279" t="s">
        <v>77</v>
      </c>
      <c r="C64" s="198"/>
      <c r="D64" s="153">
        <f>Dean_VM!D64+Path!D58+Clincial_Sci!D58+Anatomy_Phy!D59+'Veterinary Health Center'!D34</f>
        <v>3761101.7899999996</v>
      </c>
      <c r="E64" s="46"/>
      <c r="F64" s="153">
        <f>Dean_VM!F64+Path!F58+Clincial_Sci!F58+Anatomy_Phy!F59+'Veterinary Health Center'!F34</f>
        <v>1930536.6700000002</v>
      </c>
      <c r="G64" s="268"/>
      <c r="H64" s="153">
        <f>Dean_VM!H64+Path!H58+Clincial_Sci!H58+Anatomy_Phy!H59+'Veterinary Health Center'!H34</f>
        <v>3181929.0500000003</v>
      </c>
      <c r="I64" s="400"/>
      <c r="J64" s="446">
        <f>Dean_VM!J64+Path!J58+Clincial_Sci!J58+Anatomy_Phy!J59+'Veterinary Health Center'!J34</f>
        <v>3345894</v>
      </c>
      <c r="K64" s="445"/>
      <c r="L64" s="445">
        <f>Dean_VM!L64+Path!L58+Clincial_Sci!L58+Anatomy_Phy!L59+'Veterinary Health Center'!L34</f>
        <v>2193221.52</v>
      </c>
      <c r="M64" s="268"/>
      <c r="N64" s="446">
        <f>Dean_VM!N64+Path!N58+Clincial_Sci!N58+Anatomy_Phy!N59+'Veterinary Health Center'!N34</f>
        <v>2086377</v>
      </c>
      <c r="O64" s="268"/>
      <c r="P64" s="446">
        <f>Dean_VM!P64+Path!P58+Clincial_Sci!P58+Anatomy_Phy!P59+'Veterinary Health Center'!P34</f>
        <v>1886429</v>
      </c>
      <c r="Q64" s="445"/>
      <c r="R64" s="446">
        <f>Dean_VM!R64+Path!R58+Clincial_Sci!R58+Anatomy_Phy!R59+'Veterinary Health Center'!R34</f>
        <v>2047446.4200000002</v>
      </c>
      <c r="S64" s="445"/>
      <c r="T64" s="446">
        <f>Dean_VM!T64+Path!T58+Clincial_Sci!T58+Anatomy_Phy!T59+'Veterinary Health Center'!T34</f>
        <v>4127792.4899999998</v>
      </c>
      <c r="U64" s="445"/>
      <c r="V64" s="446">
        <f>Dean_VM!V64+Path!V58+Clincial_Sci!V58+Anatomy_Phy!V59+'Veterinary Health Center'!V34</f>
        <v>1813907.48</v>
      </c>
      <c r="W64" s="445"/>
      <c r="X64" s="446">
        <f>Dean_VM!X64+Path!X58+Clincial_Sci!X58+Anatomy_Phy!X59+'Veterinary Health Center'!X34</f>
        <v>2718187.98</v>
      </c>
      <c r="Y64" s="445"/>
      <c r="Z64" s="746"/>
      <c r="AA64" s="506"/>
      <c r="AC64" s="563">
        <f t="shared" ref="AC64:AC65" si="24">AVERAGE(R64,P64,X64,V64,T64)</f>
        <v>2518752.6740000001</v>
      </c>
    </row>
    <row r="65" spans="1:29" thickBot="1" x14ac:dyDescent="0.25">
      <c r="B65" s="280" t="s">
        <v>78</v>
      </c>
      <c r="C65" s="199"/>
      <c r="D65" s="214">
        <f>Dean_VM!D65+Path!D59+Clincial_Sci!D59+Anatomy_Phy!D60+'Veterinary Health Center'!D35</f>
        <v>5791088.5600000005</v>
      </c>
      <c r="E65" s="47"/>
      <c r="F65" s="214">
        <v>5990596</v>
      </c>
      <c r="G65" s="269"/>
      <c r="H65" s="379">
        <v>5990596</v>
      </c>
      <c r="I65" s="380"/>
      <c r="J65" s="379">
        <v>5990596</v>
      </c>
      <c r="K65" s="380"/>
      <c r="L65" s="380">
        <f>Dean_VM!L65+Path!L59+Clincial_Sci!L59+Anatomy_Phy!L60+'Veterinary Health Center'!L35</f>
        <v>7241119.5200000005</v>
      </c>
      <c r="M65" s="502"/>
      <c r="N65" s="379">
        <f>Dean_VM!N65+Path!N59+Clincial_Sci!N59+Anatomy_Phy!N60+'Veterinary Health Center'!N35</f>
        <v>6442967.2999999998</v>
      </c>
      <c r="O65" s="502"/>
      <c r="P65" s="379">
        <f>Dean_VM!P65+Path!P59+Clincial_Sci!P59+Anatomy_Phy!P60+'Veterinary Health Center'!P35</f>
        <v>6834312</v>
      </c>
      <c r="Q65" s="380"/>
      <c r="R65" s="379">
        <f>Dean_VM!R65+Path!R59+Clincial_Sci!R59+Anatomy_Phy!R60+'Veterinary Health Center'!R35</f>
        <v>7885905.4199999999</v>
      </c>
      <c r="S65" s="380"/>
      <c r="T65" s="379">
        <f>Dean_VM!T65+Path!T59+Clincial_Sci!T59+Anatomy_Phy!T60+'Veterinary Health Center'!T35</f>
        <v>9158340.8500000015</v>
      </c>
      <c r="U65" s="380"/>
      <c r="V65" s="379">
        <f>Dean_VM!V65+Path!V59+Clincial_Sci!V59+Anatomy_Phy!V60+'Veterinary Health Center'!V35</f>
        <v>9803140.7199999988</v>
      </c>
      <c r="W65" s="380"/>
      <c r="X65" s="379">
        <f>Dean_VM!X65+Path!X59+Clincial_Sci!X59+Anatomy_Phy!X60+'Veterinary Health Center'!X35</f>
        <v>11411678.68</v>
      </c>
      <c r="Y65" s="380"/>
      <c r="Z65" s="747"/>
      <c r="AA65" s="506"/>
      <c r="AB65" s="565"/>
      <c r="AC65" s="566">
        <f t="shared" si="24"/>
        <v>9018675.534</v>
      </c>
    </row>
    <row r="66" spans="1:29" thickTop="1" x14ac:dyDescent="0.2">
      <c r="B66" s="115"/>
      <c r="C66" s="73"/>
      <c r="D66" s="74"/>
      <c r="E66" s="73"/>
      <c r="F66" s="75"/>
      <c r="G66" s="242"/>
      <c r="H66" s="240"/>
      <c r="I66" s="242"/>
      <c r="J66" s="240"/>
      <c r="K66" s="242"/>
      <c r="L66" s="240"/>
      <c r="M66" s="242"/>
      <c r="N66" s="240"/>
      <c r="O66" s="242"/>
      <c r="P66" s="240"/>
      <c r="Q66" s="242"/>
      <c r="R66" s="240"/>
      <c r="S66" s="242"/>
      <c r="T66" s="240"/>
      <c r="U66" s="242"/>
      <c r="V66" s="240"/>
      <c r="W66" s="242"/>
      <c r="X66" s="240"/>
      <c r="Y66" s="242"/>
      <c r="Z66" s="240"/>
    </row>
    <row r="67" spans="1:29" x14ac:dyDescent="0.2">
      <c r="A67" s="3" t="s">
        <v>115</v>
      </c>
      <c r="B67" s="5"/>
      <c r="C67" s="73"/>
      <c r="D67" s="74"/>
      <c r="E67" s="73"/>
      <c r="F67" s="75"/>
      <c r="G67" s="242"/>
      <c r="H67" s="240"/>
      <c r="I67" s="242"/>
      <c r="J67" s="240"/>
      <c r="K67" s="242"/>
      <c r="L67" s="240"/>
      <c r="M67" s="242"/>
      <c r="N67" s="240"/>
      <c r="O67" s="242"/>
      <c r="P67" s="240"/>
      <c r="Q67" s="242"/>
      <c r="R67" s="240" t="s">
        <v>20</v>
      </c>
      <c r="S67" s="242"/>
      <c r="T67" s="240"/>
      <c r="U67" s="242"/>
      <c r="V67" s="240"/>
      <c r="W67" s="242"/>
      <c r="X67" s="240"/>
      <c r="Y67" s="242"/>
      <c r="Z67" s="240"/>
    </row>
    <row r="68" spans="1:29" thickBot="1" x14ac:dyDescent="0.25">
      <c r="B68" s="26" t="s">
        <v>137</v>
      </c>
      <c r="C68" s="73"/>
      <c r="D68" s="74"/>
      <c r="E68" s="73"/>
      <c r="F68" s="75"/>
      <c r="G68" s="242"/>
      <c r="H68" s="240"/>
      <c r="I68" s="242"/>
      <c r="J68" s="240"/>
      <c r="K68" s="242"/>
      <c r="L68" s="240"/>
      <c r="M68" s="242"/>
      <c r="N68" s="240"/>
      <c r="O68" s="242"/>
      <c r="P68" s="240"/>
      <c r="Q68" s="242"/>
      <c r="R68" s="240"/>
      <c r="S68" s="242"/>
      <c r="T68" s="240"/>
      <c r="U68" s="242"/>
      <c r="V68" s="240"/>
      <c r="W68" s="242"/>
      <c r="X68" s="240"/>
      <c r="Y68" s="242"/>
      <c r="Z68" s="240"/>
    </row>
    <row r="69" spans="1:29" ht="14.25" thickTop="1" thickBot="1" x14ac:dyDescent="0.25">
      <c r="B69" s="281"/>
      <c r="C69" s="811" t="s">
        <v>24</v>
      </c>
      <c r="D69" s="795"/>
      <c r="E69" s="813" t="s">
        <v>25</v>
      </c>
      <c r="F69" s="795"/>
      <c r="G69" s="792" t="s">
        <v>76</v>
      </c>
      <c r="H69" s="828"/>
      <c r="I69" s="792" t="s">
        <v>86</v>
      </c>
      <c r="J69" s="828"/>
      <c r="K69" s="792" t="s">
        <v>87</v>
      </c>
      <c r="L69" s="829"/>
      <c r="M69" s="798" t="s">
        <v>90</v>
      </c>
      <c r="N69" s="828"/>
      <c r="O69" s="798" t="s">
        <v>113</v>
      </c>
      <c r="P69" s="828"/>
      <c r="Q69" s="798" t="s">
        <v>118</v>
      </c>
      <c r="R69" s="828"/>
      <c r="S69" s="798" t="s">
        <v>131</v>
      </c>
      <c r="T69" s="828"/>
      <c r="U69" s="798" t="s">
        <v>139</v>
      </c>
      <c r="V69" s="828"/>
      <c r="W69" s="798" t="s">
        <v>141</v>
      </c>
      <c r="X69" s="828"/>
      <c r="Y69" s="798" t="s">
        <v>143</v>
      </c>
      <c r="Z69" s="828"/>
      <c r="AB69" s="823" t="s">
        <v>105</v>
      </c>
      <c r="AC69" s="824"/>
    </row>
    <row r="70" spans="1:29" ht="12" x14ac:dyDescent="0.2">
      <c r="B70" s="51" t="s">
        <v>26</v>
      </c>
      <c r="C70" s="127"/>
      <c r="D70" s="128"/>
      <c r="E70" s="7"/>
      <c r="F70" s="128"/>
      <c r="G70" s="234"/>
      <c r="H70" s="335"/>
      <c r="I70" s="234"/>
      <c r="J70" s="335"/>
      <c r="K70" s="234"/>
      <c r="L70" s="234"/>
      <c r="M70" s="299"/>
      <c r="N70" s="335"/>
      <c r="O70" s="299"/>
      <c r="P70" s="335"/>
      <c r="Q70" s="299"/>
      <c r="R70" s="335"/>
      <c r="S70" s="299"/>
      <c r="T70" s="335"/>
      <c r="U70" s="299"/>
      <c r="V70" s="335"/>
      <c r="W70" s="299"/>
      <c r="X70" s="335"/>
      <c r="Y70" s="299"/>
      <c r="Z70" s="335"/>
      <c r="AB70" s="560"/>
      <c r="AC70" s="506"/>
    </row>
    <row r="71" spans="1:29" ht="12" x14ac:dyDescent="0.2">
      <c r="B71" s="52" t="s">
        <v>27</v>
      </c>
      <c r="C71" s="129"/>
      <c r="D71" s="166"/>
      <c r="E71" s="4"/>
      <c r="F71" s="218"/>
      <c r="G71" s="235"/>
      <c r="H71" s="328"/>
      <c r="I71" s="235"/>
      <c r="J71" s="328"/>
      <c r="K71" s="235"/>
      <c r="L71" s="248"/>
      <c r="M71" s="258"/>
      <c r="N71" s="328"/>
      <c r="O71" s="258"/>
      <c r="P71" s="328"/>
      <c r="Q71" s="258"/>
      <c r="R71" s="328"/>
      <c r="S71" s="258"/>
      <c r="T71" s="328"/>
      <c r="U71" s="258"/>
      <c r="V71" s="328"/>
      <c r="W71" s="258"/>
      <c r="X71" s="328"/>
      <c r="Y71" s="258"/>
      <c r="Z71" s="328"/>
      <c r="AB71" s="211"/>
      <c r="AC71" s="575"/>
    </row>
    <row r="72" spans="1:29" ht="12" x14ac:dyDescent="0.2">
      <c r="B72" s="57" t="s">
        <v>28</v>
      </c>
      <c r="C72" s="194"/>
      <c r="D72" s="132">
        <f>Dean_VM!D72+Path!D66+Clincial_Sci!D66+Anatomy_Phy!D67</f>
        <v>58</v>
      </c>
      <c r="E72" s="39"/>
      <c r="F72" s="132">
        <f>Dean_VM!F72+Path!F66+Clincial_Sci!F66+Anatomy_Phy!F67</f>
        <v>54</v>
      </c>
      <c r="G72" s="239"/>
      <c r="H72" s="329">
        <v>52</v>
      </c>
      <c r="I72" s="239"/>
      <c r="J72" s="132">
        <f>Dean_VM!J72+Path!J66+Clincial_Sci!J66+Anatomy_Phy!J67</f>
        <v>56</v>
      </c>
      <c r="K72" s="239"/>
      <c r="L72" s="239">
        <f>Dean_VM!L72+Path!L66+Clincial_Sci!L66+Anatomy_Phy!L67</f>
        <v>56</v>
      </c>
      <c r="M72" s="260"/>
      <c r="N72" s="329">
        <f>Dean_VM!N72+Path!N66+Clincial_Sci!N66+Anatomy_Phy!N67</f>
        <v>56</v>
      </c>
      <c r="O72" s="260"/>
      <c r="P72" s="329">
        <f>Dean_VM!P72+Path!P66+Clincial_Sci!P66+Anatomy_Phy!P67</f>
        <v>50</v>
      </c>
      <c r="Q72" s="260"/>
      <c r="R72" s="329">
        <f>Dean_VM!R72+Anatomy_Phy!R67+Path!R66+Clincial_Sci!R66</f>
        <v>53</v>
      </c>
      <c r="S72" s="260"/>
      <c r="T72" s="329">
        <f>Dean_VM!T72+Anatomy_Phy!T67+Path!T66+Clincial_Sci!T66</f>
        <v>49</v>
      </c>
      <c r="U72" s="260"/>
      <c r="V72" s="329">
        <f>Dean_VM!V72+Anatomy_Phy!V67+Path!V66+Clincial_Sci!V66</f>
        <v>50</v>
      </c>
      <c r="W72" s="260"/>
      <c r="X72" s="329">
        <f>Dean_VM!X72+Anatomy_Phy!X67+Path!X66+Clincial_Sci!X66</f>
        <v>45</v>
      </c>
      <c r="Y72" s="260"/>
      <c r="Z72" s="329">
        <f>Dean_VM!Z72+Anatomy_Phy!Z67+Path!Z66+Clincial_Sci!Z66</f>
        <v>45</v>
      </c>
      <c r="AB72" s="209"/>
      <c r="AC72" s="13">
        <f t="shared" ref="AC72:AC73" si="25">AVERAGE(R72,Z72,X72,V72,T72)</f>
        <v>48.4</v>
      </c>
    </row>
    <row r="73" spans="1:29" ht="12" x14ac:dyDescent="0.2">
      <c r="B73" s="57" t="s">
        <v>104</v>
      </c>
      <c r="C73" s="194"/>
      <c r="D73" s="132">
        <f>Dean_VM!D73+Path!D67+Clincial_Sci!D67+Anatomy_Phy!D68</f>
        <v>3</v>
      </c>
      <c r="E73" s="4"/>
      <c r="F73" s="218">
        <f>Dean_VM!F73+Path!F67+Clincial_Sci!F67+Anatomy_Phy!F68</f>
        <v>7</v>
      </c>
      <c r="G73" s="235"/>
      <c r="H73" s="328">
        <v>6</v>
      </c>
      <c r="I73" s="235"/>
      <c r="J73" s="218">
        <f>Dean_VM!J73+Path!J67+Clincial_Sci!J67+Anatomy_Phy!J68</f>
        <v>3</v>
      </c>
      <c r="K73" s="235"/>
      <c r="L73" s="248">
        <f>Dean_VM!L73+Path!L67+Clincial_Sci!L67+Anatomy_Phy!L68</f>
        <v>4</v>
      </c>
      <c r="M73" s="258"/>
      <c r="N73" s="328">
        <f>Dean_VM!N73+Path!N67+Clincial_Sci!N67+Anatomy_Phy!N68</f>
        <v>3</v>
      </c>
      <c r="O73" s="258"/>
      <c r="P73" s="328">
        <f>Dean_VM!P73+Path!P67+Clincial_Sci!P67+Anatomy_Phy!P68</f>
        <v>2</v>
      </c>
      <c r="Q73" s="258"/>
      <c r="R73" s="329">
        <f>Dean_VM!R73+Anatomy_Phy!R68+Path!R67+Clincial_Sci!R67</f>
        <v>7</v>
      </c>
      <c r="S73" s="258"/>
      <c r="T73" s="329">
        <f>Dean_VM!T73+Anatomy_Phy!T68+Path!T67+Clincial_Sci!T67</f>
        <v>8</v>
      </c>
      <c r="U73" s="258"/>
      <c r="V73" s="329">
        <f>Dean_VM!V73+Anatomy_Phy!V68+Path!V67+Clincial_Sci!V67</f>
        <v>9</v>
      </c>
      <c r="W73" s="258"/>
      <c r="X73" s="329">
        <f>Dean_VM!X73+Anatomy_Phy!X68+Path!X67+Clincial_Sci!X67</f>
        <v>9</v>
      </c>
      <c r="Y73" s="258"/>
      <c r="Z73" s="329">
        <f>Dean_VM!Z73+Anatomy_Phy!Z68+Path!Z67+Clincial_Sci!Z67</f>
        <v>7</v>
      </c>
      <c r="AB73" s="209"/>
      <c r="AC73" s="13">
        <f t="shared" si="25"/>
        <v>8</v>
      </c>
    </row>
    <row r="74" spans="1:29" ht="12" x14ac:dyDescent="0.2">
      <c r="B74" s="52" t="s">
        <v>29</v>
      </c>
      <c r="C74" s="129"/>
      <c r="D74" s="132"/>
      <c r="E74" s="4"/>
      <c r="F74" s="132"/>
      <c r="G74" s="235"/>
      <c r="H74" s="329"/>
      <c r="I74" s="235"/>
      <c r="J74" s="329"/>
      <c r="K74" s="235"/>
      <c r="L74" s="239"/>
      <c r="M74" s="258"/>
      <c r="N74" s="329"/>
      <c r="O74" s="258"/>
      <c r="P74" s="329"/>
      <c r="Q74" s="258"/>
      <c r="R74" s="329"/>
      <c r="S74" s="258"/>
      <c r="T74" s="329"/>
      <c r="U74" s="258"/>
      <c r="V74" s="329"/>
      <c r="W74" s="258"/>
      <c r="X74" s="329"/>
      <c r="Y74" s="258"/>
      <c r="Z74" s="329"/>
      <c r="AB74" s="209"/>
      <c r="AC74" s="13"/>
    </row>
    <row r="75" spans="1:29" ht="12" x14ac:dyDescent="0.2">
      <c r="B75" s="57" t="s">
        <v>28</v>
      </c>
      <c r="C75" s="200"/>
      <c r="D75" s="132">
        <f>Dean_VM!D75+Path!D69+Clincial_Sci!D69+Anatomy_Phy!D70</f>
        <v>27</v>
      </c>
      <c r="E75" s="4"/>
      <c r="F75" s="132">
        <f>Dean_VM!F75+Path!F69+Clincial_Sci!F69+Anatomy_Phy!F70</f>
        <v>29</v>
      </c>
      <c r="G75" s="235"/>
      <c r="H75" s="329">
        <v>33</v>
      </c>
      <c r="I75" s="235"/>
      <c r="J75" s="132">
        <f>Dean_VM!J75+Path!J69+Clincial_Sci!J69+Anatomy_Phy!J70</f>
        <v>25</v>
      </c>
      <c r="K75" s="235"/>
      <c r="L75" s="239">
        <f>Dean_VM!L75+Path!L69+Clincial_Sci!L69+Anatomy_Phy!L70</f>
        <v>27</v>
      </c>
      <c r="M75" s="258"/>
      <c r="N75" s="329">
        <f>Dean_VM!N75+Path!N69+Clincial_Sci!N69+Anatomy_Phy!N70</f>
        <v>29</v>
      </c>
      <c r="O75" s="258"/>
      <c r="P75" s="329">
        <f>Dean_VM!P75+Path!P69+Clincial_Sci!P69+Anatomy_Phy!P70</f>
        <v>35</v>
      </c>
      <c r="Q75" s="258"/>
      <c r="R75" s="329">
        <f>Dean_VM!R75+Anatomy_Phy!R70+Path!R69+Clincial_Sci!R69</f>
        <v>37</v>
      </c>
      <c r="S75" s="258"/>
      <c r="T75" s="329">
        <f>Dean_VM!T75+Anatomy_Phy!T70+Path!T69+Clincial_Sci!T69</f>
        <v>40</v>
      </c>
      <c r="U75" s="258"/>
      <c r="V75" s="329">
        <f>Dean_VM!V75+Anatomy_Phy!V70+Path!V69+Clincial_Sci!V69</f>
        <v>43</v>
      </c>
      <c r="W75" s="258"/>
      <c r="X75" s="329">
        <f>Dean_VM!X75+Anatomy_Phy!X70+Path!X69+Clincial_Sci!X69</f>
        <v>57</v>
      </c>
      <c r="Y75" s="258"/>
      <c r="Z75" s="329">
        <f>Dean_VM!Z75+Anatomy_Phy!Z70+Path!Z69+Clincial_Sci!Z69</f>
        <v>68</v>
      </c>
      <c r="AB75" s="209"/>
      <c r="AC75" s="13">
        <f t="shared" ref="AC75:AC77" si="26">AVERAGE(R75,Z75,X75,V75,T75)</f>
        <v>49</v>
      </c>
    </row>
    <row r="76" spans="1:29" ht="12" x14ac:dyDescent="0.2">
      <c r="B76" s="282" t="s">
        <v>104</v>
      </c>
      <c r="C76" s="200"/>
      <c r="D76" s="132">
        <f>Dean_VM!D76+Path!D70+Clincial_Sci!D70+Anatomy_Phy!D71</f>
        <v>4</v>
      </c>
      <c r="E76" s="4"/>
      <c r="F76" s="132">
        <f>Dean_VM!F76+Path!F70+Clincial_Sci!F70+Anatomy_Phy!F71</f>
        <v>3</v>
      </c>
      <c r="G76" s="235"/>
      <c r="H76" s="329">
        <v>4</v>
      </c>
      <c r="I76" s="235"/>
      <c r="J76" s="132">
        <f>Dean_VM!J76+Path!J70+Clincial_Sci!J70+Anatomy_Phy!J71</f>
        <v>3</v>
      </c>
      <c r="K76" s="235"/>
      <c r="L76" s="239">
        <f>Dean_VM!L76+Path!L70+Clincial_Sci!L70+Anatomy_Phy!L71</f>
        <v>4</v>
      </c>
      <c r="M76" s="258"/>
      <c r="N76" s="329">
        <f>Dean_VM!N76+Path!N70+Clincial_Sci!N70+Anatomy_Phy!N71</f>
        <v>4</v>
      </c>
      <c r="O76" s="258"/>
      <c r="P76" s="329">
        <f>Dean_VM!P76+Path!P70+Clincial_Sci!P70+Anatomy_Phy!P71</f>
        <v>4</v>
      </c>
      <c r="Q76" s="258"/>
      <c r="R76" s="329">
        <f>Dean_VM!R76+Anatomy_Phy!R71+Path!R70+Clincial_Sci!R70</f>
        <v>3</v>
      </c>
      <c r="S76" s="258"/>
      <c r="T76" s="329">
        <f>Dean_VM!T76+Anatomy_Phy!T71+Path!T70+Clincial_Sci!T70</f>
        <v>3</v>
      </c>
      <c r="U76" s="258"/>
      <c r="V76" s="329">
        <f>Dean_VM!V76+Anatomy_Phy!V71+Path!V70+Clincial_Sci!V70</f>
        <v>2</v>
      </c>
      <c r="W76" s="258"/>
      <c r="X76" s="329">
        <f>Dean_VM!X76+Anatomy_Phy!X71+Path!X70+Clincial_Sci!X70</f>
        <v>4</v>
      </c>
      <c r="Y76" s="258"/>
      <c r="Z76" s="329">
        <f>Dean_VM!Z76+Anatomy_Phy!Z71+Path!Z70+Clincial_Sci!Z70</f>
        <v>5</v>
      </c>
      <c r="AB76" s="209"/>
      <c r="AC76" s="13">
        <f t="shared" si="26"/>
        <v>3.4</v>
      </c>
    </row>
    <row r="77" spans="1:29" thickBot="1" x14ac:dyDescent="0.25">
      <c r="B77" s="283" t="s">
        <v>14</v>
      </c>
      <c r="C77" s="201"/>
      <c r="D77" s="204">
        <f>SUM(D72:D76)</f>
        <v>92</v>
      </c>
      <c r="E77" s="113"/>
      <c r="F77" s="223">
        <f>SUM(F72:F76)</f>
        <v>93</v>
      </c>
      <c r="G77" s="243"/>
      <c r="H77" s="336">
        <v>95</v>
      </c>
      <c r="I77" s="243"/>
      <c r="J77" s="204">
        <f>SUM(J72:J76)</f>
        <v>87</v>
      </c>
      <c r="K77" s="243"/>
      <c r="L77" s="496">
        <f>SUM(L72:L76)</f>
        <v>91</v>
      </c>
      <c r="M77" s="501"/>
      <c r="N77" s="652">
        <f>SUM(N72:N76)</f>
        <v>92</v>
      </c>
      <c r="O77" s="501"/>
      <c r="P77" s="652">
        <f>SUM(P72:P76)</f>
        <v>91</v>
      </c>
      <c r="Q77" s="501"/>
      <c r="R77" s="652">
        <f>Dean_VM!R77+Anatomy_Phy!R72+Path!R71+Clincial_Sci!R71</f>
        <v>100</v>
      </c>
      <c r="S77" s="501"/>
      <c r="T77" s="652">
        <f>Dean_VM!T77+Anatomy_Phy!T72+Path!T71+Clincial_Sci!T71</f>
        <v>100</v>
      </c>
      <c r="U77" s="501"/>
      <c r="V77" s="652">
        <f>Dean_VM!V77+Anatomy_Phy!V72+Path!V71+Clincial_Sci!V71</f>
        <v>104</v>
      </c>
      <c r="W77" s="501"/>
      <c r="X77" s="652">
        <f>Dean_VM!X77+Anatomy_Phy!X72+Path!X71+Clincial_Sci!X71</f>
        <v>115</v>
      </c>
      <c r="Y77" s="501"/>
      <c r="Z77" s="652">
        <f>Dean_VM!Z77+Anatomy_Phy!Z72+Path!Z71+Clincial_Sci!Z71</f>
        <v>125</v>
      </c>
      <c r="AB77" s="560"/>
      <c r="AC77" s="413">
        <f t="shared" si="26"/>
        <v>108.8</v>
      </c>
    </row>
    <row r="78" spans="1:29" thickTop="1" x14ac:dyDescent="0.2">
      <c r="B78" s="284" t="s">
        <v>71</v>
      </c>
      <c r="C78" s="202" t="s">
        <v>69</v>
      </c>
      <c r="D78" s="203" t="s">
        <v>70</v>
      </c>
      <c r="E78" s="202" t="s">
        <v>69</v>
      </c>
      <c r="F78" s="203" t="s">
        <v>70</v>
      </c>
      <c r="G78" s="202" t="s">
        <v>69</v>
      </c>
      <c r="H78" s="203" t="s">
        <v>70</v>
      </c>
      <c r="I78" s="202" t="s">
        <v>69</v>
      </c>
      <c r="J78" s="203" t="s">
        <v>70</v>
      </c>
      <c r="K78" s="202" t="s">
        <v>69</v>
      </c>
      <c r="L78" s="203" t="s">
        <v>70</v>
      </c>
      <c r="M78" s="202" t="s">
        <v>69</v>
      </c>
      <c r="N78" s="203" t="s">
        <v>70</v>
      </c>
      <c r="O78" s="202" t="s">
        <v>69</v>
      </c>
      <c r="P78" s="203" t="s">
        <v>70</v>
      </c>
      <c r="Q78" s="726" t="s">
        <v>69</v>
      </c>
      <c r="R78" s="727" t="s">
        <v>70</v>
      </c>
      <c r="S78" s="726" t="s">
        <v>69</v>
      </c>
      <c r="T78" s="727" t="s">
        <v>70</v>
      </c>
      <c r="U78" s="726" t="s">
        <v>69</v>
      </c>
      <c r="V78" s="727" t="s">
        <v>70</v>
      </c>
      <c r="W78" s="726" t="s">
        <v>69</v>
      </c>
      <c r="X78" s="727" t="s">
        <v>70</v>
      </c>
      <c r="Y78" s="726" t="s">
        <v>69</v>
      </c>
      <c r="Z78" s="727" t="s">
        <v>70</v>
      </c>
      <c r="AB78" s="576" t="s">
        <v>69</v>
      </c>
      <c r="AC78" s="577" t="s">
        <v>70</v>
      </c>
    </row>
    <row r="79" spans="1:29" ht="12" x14ac:dyDescent="0.2">
      <c r="B79" s="57" t="s">
        <v>53</v>
      </c>
      <c r="C79" s="200">
        <f>Dean_VM!C79+Path!C73+Clincial_Sci!C73+Anatomy_Phy!C74</f>
        <v>80</v>
      </c>
      <c r="D79" s="207">
        <f>C79/D$77</f>
        <v>0.86956521739130432</v>
      </c>
      <c r="E79" s="126">
        <f>Dean_VM!E79+Path!E73+Clincial_Sci!E73+Anatomy_Phy!E74</f>
        <v>79</v>
      </c>
      <c r="F79" s="207">
        <f>E79/F$77</f>
        <v>0.84946236559139787</v>
      </c>
      <c r="G79" s="244">
        <v>80</v>
      </c>
      <c r="H79" s="36">
        <f>G79/H$77</f>
        <v>0.84210526315789469</v>
      </c>
      <c r="I79" s="244">
        <f>Dean_VM!I79+Path!I73+Clincial_Sci!I73+Anatomy_Phy!I74</f>
        <v>69</v>
      </c>
      <c r="J79" s="404">
        <f>I79/J$77</f>
        <v>0.7931034482758621</v>
      </c>
      <c r="K79" s="244">
        <f>Dean_VM!K79+Path!K73+Clincial_Sci!K73+Anatomy_Phy!K74</f>
        <v>65</v>
      </c>
      <c r="L79" s="497">
        <f>K79/L$77</f>
        <v>0.7142857142857143</v>
      </c>
      <c r="M79" s="381">
        <f>Dean_VM!M79+Path!M73+Clincial_Sci!M73+Anatomy_Phy!M74</f>
        <v>70</v>
      </c>
      <c r="N79" s="404">
        <f>M79/N$77</f>
        <v>0.76086956521739135</v>
      </c>
      <c r="O79" s="381">
        <f>Dean_VM!O79+Path!O73+Clincial_Sci!O73+Anatomy_Phy!O74</f>
        <v>71</v>
      </c>
      <c r="P79" s="404">
        <f>O79/P$77</f>
        <v>0.78021978021978022</v>
      </c>
      <c r="Q79" s="381">
        <f>Dean_VM!Q79+Path!Q73+Clincial_Sci!Q73+Anatomy_Phy!Q74</f>
        <v>79</v>
      </c>
      <c r="R79" s="404">
        <f>Q79/R$77</f>
        <v>0.79</v>
      </c>
      <c r="S79" s="381">
        <f>Dean_VM!S79+Path!S73+Clincial_Sci!S73+Anatomy_Phy!S74</f>
        <v>80</v>
      </c>
      <c r="T79" s="404">
        <f t="shared" ref="T79:T86" si="27">S79/T$77</f>
        <v>0.8</v>
      </c>
      <c r="U79" s="381">
        <f>Dean_VM!U79+Anatomy_Phy!U74+Path!U73+Clincial_Sci!U73</f>
        <v>80</v>
      </c>
      <c r="V79" s="404">
        <f t="shared" ref="V79:V86" si="28">U79/V$77</f>
        <v>0.76923076923076927</v>
      </c>
      <c r="W79" s="381">
        <f>Dean_VM!W79+Anatomy_Phy!W74+Path!W73+Clincial_Sci!W73</f>
        <v>85</v>
      </c>
      <c r="X79" s="404">
        <f t="shared" ref="X79:X86" si="29">W79/X$77</f>
        <v>0.73913043478260865</v>
      </c>
      <c r="Y79" s="381">
        <f>Dean_VM!Y79+Anatomy_Phy!Y74+Path!Y73+Clincial_Sci!Y73</f>
        <v>89</v>
      </c>
      <c r="Z79" s="404">
        <f t="shared" ref="Z79:Z86" si="30">Y79/Z$77</f>
        <v>0.71199999999999997</v>
      </c>
      <c r="AA79" s="506"/>
      <c r="AB79" s="578">
        <f t="shared" ref="AB79:AB86" si="31">AVERAGE(Q79,Y79,W79,U79,S79)</f>
        <v>82.6</v>
      </c>
      <c r="AC79" s="580">
        <f t="shared" ref="AC79:AC86" si="32">AVERAGE(R79,Z79,X79,V79,T79)</f>
        <v>0.76207224080267566</v>
      </c>
    </row>
    <row r="80" spans="1:29" ht="12" x14ac:dyDescent="0.2">
      <c r="B80" s="102" t="s">
        <v>54</v>
      </c>
      <c r="C80" s="200">
        <f>Dean_VM!C80+Path!C74+Clincial_Sci!C74+Anatomy_Phy!C75</f>
        <v>1</v>
      </c>
      <c r="D80" s="207">
        <f t="shared" ref="D80:F98" si="33">C80/$D$77</f>
        <v>1.0869565217391304E-2</v>
      </c>
      <c r="E80" s="206">
        <f>Dean_VM!E80+Path!E74+Clincial_Sci!E74+Anatomy_Phy!E75</f>
        <v>1</v>
      </c>
      <c r="F80" s="207">
        <f t="shared" si="33"/>
        <v>1.0869565217391304E-2</v>
      </c>
      <c r="G80" s="245">
        <v>0</v>
      </c>
      <c r="H80" s="36">
        <f t="shared" ref="H80:H98" si="34">G80/H$77</f>
        <v>0</v>
      </c>
      <c r="I80" s="381">
        <f>Dean_VM!I80+Path!I74+Clincial_Sci!I74+Anatomy_Phy!I75</f>
        <v>0</v>
      </c>
      <c r="J80" s="404">
        <f t="shared" ref="J80:J97" si="35">I80/J$77</f>
        <v>0</v>
      </c>
      <c r="K80" s="244">
        <f>Dean_VM!K80+Path!K74+Clincial_Sci!K74+Anatomy_Phy!K75</f>
        <v>0</v>
      </c>
      <c r="L80" s="497">
        <f t="shared" ref="L80:L98" si="36">K80/L$77</f>
        <v>0</v>
      </c>
      <c r="M80" s="381">
        <f>Dean_VM!M80+Path!M74+Clincial_Sci!M74+Anatomy_Phy!M75</f>
        <v>0</v>
      </c>
      <c r="N80" s="404">
        <f t="shared" ref="N80:N98" si="37">M80/N$77</f>
        <v>0</v>
      </c>
      <c r="O80" s="381">
        <f>Dean_VM!O80+Path!O74+Clincial_Sci!O74+Anatomy_Phy!O75</f>
        <v>0</v>
      </c>
      <c r="P80" s="404">
        <f t="shared" ref="P80:P98" si="38">O80/P$77</f>
        <v>0</v>
      </c>
      <c r="Q80" s="381">
        <f>Dean_VM!Q80+Path!Q74+Clincial_Sci!Q74+Anatomy_Phy!Q75</f>
        <v>0</v>
      </c>
      <c r="R80" s="404">
        <f t="shared" ref="R80:R98" si="39">Q80/R$77</f>
        <v>0</v>
      </c>
      <c r="S80" s="381">
        <f>Dean_VM!S80+Path!S74+Clincial_Sci!S74+Anatomy_Phy!S75</f>
        <v>0</v>
      </c>
      <c r="T80" s="404">
        <f t="shared" si="27"/>
        <v>0</v>
      </c>
      <c r="U80" s="381">
        <f>Dean_VM!U80+Anatomy_Phy!U75+Path!U74+Clincial_Sci!U74</f>
        <v>0</v>
      </c>
      <c r="V80" s="404">
        <f t="shared" si="28"/>
        <v>0</v>
      </c>
      <c r="W80" s="381">
        <f>Dean_VM!W80+Anatomy_Phy!W75+Path!W74+Clincial_Sci!W74</f>
        <v>1</v>
      </c>
      <c r="X80" s="404">
        <f t="shared" si="29"/>
        <v>8.6956521739130436E-3</v>
      </c>
      <c r="Y80" s="381">
        <f>Dean_VM!Y80+Anatomy_Phy!Y75+Path!Y74+Clincial_Sci!Y74</f>
        <v>1</v>
      </c>
      <c r="Z80" s="404">
        <f t="shared" si="30"/>
        <v>8.0000000000000002E-3</v>
      </c>
      <c r="AA80" s="506"/>
      <c r="AB80" s="578">
        <f t="shared" si="31"/>
        <v>0.4</v>
      </c>
      <c r="AC80" s="580">
        <f t="shared" si="32"/>
        <v>3.3391304347826084E-3</v>
      </c>
    </row>
    <row r="81" spans="2:31" ht="12" x14ac:dyDescent="0.2">
      <c r="B81" s="102" t="s">
        <v>55</v>
      </c>
      <c r="C81" s="200">
        <f>Dean_VM!C81+Path!C75+Clincial_Sci!C75+Anatomy_Phy!C76</f>
        <v>1</v>
      </c>
      <c r="D81" s="207">
        <f t="shared" si="33"/>
        <v>1.0869565217391304E-2</v>
      </c>
      <c r="E81" s="206">
        <f>Dean_VM!E81+Path!E75+Clincial_Sci!E75+Anatomy_Phy!E76</f>
        <v>1</v>
      </c>
      <c r="F81" s="207">
        <f t="shared" si="33"/>
        <v>1.0869565217391304E-2</v>
      </c>
      <c r="G81" s="245">
        <v>1</v>
      </c>
      <c r="H81" s="36">
        <f t="shared" si="34"/>
        <v>1.0526315789473684E-2</v>
      </c>
      <c r="I81" s="245">
        <f>Dean_VM!I81+Path!I75+Clincial_Sci!I75+Anatomy_Phy!I76</f>
        <v>1</v>
      </c>
      <c r="J81" s="404">
        <f t="shared" si="35"/>
        <v>1.1494252873563218E-2</v>
      </c>
      <c r="K81" s="245">
        <f>Dean_VM!K81+Path!K75+Clincial_Sci!K75+Anatomy_Phy!K76</f>
        <v>1</v>
      </c>
      <c r="L81" s="497">
        <f t="shared" si="36"/>
        <v>1.098901098901099E-2</v>
      </c>
      <c r="M81" s="447">
        <f>Dean_VM!M81+Path!M75+Clincial_Sci!M75+Anatomy_Phy!M76</f>
        <v>0</v>
      </c>
      <c r="N81" s="404">
        <f t="shared" si="37"/>
        <v>0</v>
      </c>
      <c r="O81" s="447">
        <f>Dean_VM!O81+Path!O75+Clincial_Sci!O75+Anatomy_Phy!O76</f>
        <v>0</v>
      </c>
      <c r="P81" s="404">
        <f t="shared" si="38"/>
        <v>0</v>
      </c>
      <c r="Q81" s="381">
        <f>Dean_VM!Q81+Path!Q75+Clincial_Sci!Q75+Anatomy_Phy!Q76</f>
        <v>0</v>
      </c>
      <c r="R81" s="404">
        <f t="shared" si="39"/>
        <v>0</v>
      </c>
      <c r="S81" s="381">
        <f>Dean_VM!S81+Path!S75+Clincial_Sci!S75+Anatomy_Phy!S76</f>
        <v>0</v>
      </c>
      <c r="T81" s="404">
        <f t="shared" si="27"/>
        <v>0</v>
      </c>
      <c r="U81" s="381">
        <f>Dean_VM!U81+Anatomy_Phy!U76+Path!U75+Clincial_Sci!U75</f>
        <v>0</v>
      </c>
      <c r="V81" s="404">
        <f t="shared" si="28"/>
        <v>0</v>
      </c>
      <c r="W81" s="381">
        <f>Dean_VM!W81+Anatomy_Phy!W76+Path!W75+Clincial_Sci!W75</f>
        <v>0</v>
      </c>
      <c r="X81" s="404">
        <f t="shared" si="29"/>
        <v>0</v>
      </c>
      <c r="Y81" s="381">
        <f>Dean_VM!Y81+Anatomy_Phy!Y76+Path!Y75+Clincial_Sci!Y75</f>
        <v>0</v>
      </c>
      <c r="Z81" s="404">
        <f t="shared" si="30"/>
        <v>0</v>
      </c>
      <c r="AA81" s="506"/>
      <c r="AB81" s="578">
        <f t="shared" si="31"/>
        <v>0</v>
      </c>
      <c r="AC81" s="580">
        <f t="shared" si="32"/>
        <v>0</v>
      </c>
    </row>
    <row r="82" spans="2:31" ht="12" x14ac:dyDescent="0.2">
      <c r="B82" s="102" t="s">
        <v>56</v>
      </c>
      <c r="C82" s="200">
        <f>Dean_VM!C82+Path!C76+Clincial_Sci!C76+Anatomy_Phy!C77</f>
        <v>1</v>
      </c>
      <c r="D82" s="207">
        <f t="shared" si="33"/>
        <v>1.0869565217391304E-2</v>
      </c>
      <c r="E82" s="206">
        <f>Dean_VM!E82+Path!E76+Clincial_Sci!E76+Anatomy_Phy!E77</f>
        <v>0</v>
      </c>
      <c r="F82" s="207">
        <f t="shared" si="33"/>
        <v>0</v>
      </c>
      <c r="G82" s="245">
        <v>0</v>
      </c>
      <c r="H82" s="36">
        <f t="shared" si="34"/>
        <v>0</v>
      </c>
      <c r="I82" s="245">
        <f>Dean_VM!I82+Path!I76+Clincial_Sci!I76+Anatomy_Phy!I77</f>
        <v>0</v>
      </c>
      <c r="J82" s="404">
        <f t="shared" si="35"/>
        <v>0</v>
      </c>
      <c r="K82" s="245">
        <f>Dean_VM!K82+Path!K76+Clincial_Sci!K76+Anatomy_Phy!K77</f>
        <v>0</v>
      </c>
      <c r="L82" s="497">
        <f t="shared" si="36"/>
        <v>0</v>
      </c>
      <c r="M82" s="447">
        <f>Dean_VM!M82+Path!M76+Clincial_Sci!M76+Anatomy_Phy!M77</f>
        <v>0</v>
      </c>
      <c r="N82" s="404">
        <f t="shared" si="37"/>
        <v>0</v>
      </c>
      <c r="O82" s="447">
        <f>Dean_VM!O82+Path!O76+Clincial_Sci!O76+Anatomy_Phy!O77</f>
        <v>0</v>
      </c>
      <c r="P82" s="404">
        <f t="shared" si="38"/>
        <v>0</v>
      </c>
      <c r="Q82" s="381">
        <f>Dean_VM!Q82+Path!Q76+Clincial_Sci!Q76+Anatomy_Phy!Q77</f>
        <v>0</v>
      </c>
      <c r="R82" s="404">
        <f t="shared" si="39"/>
        <v>0</v>
      </c>
      <c r="S82" s="381">
        <f>Dean_VM!S82+Path!S76+Clincial_Sci!S76+Anatomy_Phy!S77</f>
        <v>0</v>
      </c>
      <c r="T82" s="404">
        <f t="shared" si="27"/>
        <v>0</v>
      </c>
      <c r="U82" s="381">
        <f>Dean_VM!U82+Anatomy_Phy!U77+Path!U76+Clincial_Sci!U76</f>
        <v>0</v>
      </c>
      <c r="V82" s="404">
        <f t="shared" si="28"/>
        <v>0</v>
      </c>
      <c r="W82" s="381">
        <f>Dean_VM!W82+Anatomy_Phy!W77+Path!W76+Clincial_Sci!W76</f>
        <v>0</v>
      </c>
      <c r="X82" s="404">
        <f t="shared" si="29"/>
        <v>0</v>
      </c>
      <c r="Y82" s="381">
        <f>Dean_VM!Y82+Anatomy_Phy!Y77+Path!Y76+Clincial_Sci!Y76</f>
        <v>0</v>
      </c>
      <c r="Z82" s="404">
        <f t="shared" si="30"/>
        <v>0</v>
      </c>
      <c r="AA82" s="506"/>
      <c r="AB82" s="578">
        <f t="shared" si="31"/>
        <v>0</v>
      </c>
      <c r="AC82" s="580">
        <f t="shared" si="32"/>
        <v>0</v>
      </c>
    </row>
    <row r="83" spans="2:31" ht="12" x14ac:dyDescent="0.2">
      <c r="B83" s="102" t="s">
        <v>57</v>
      </c>
      <c r="C83" s="200">
        <f>Dean_VM!C83+Path!C77+Clincial_Sci!C77+Anatomy_Phy!C78</f>
        <v>7</v>
      </c>
      <c r="D83" s="207">
        <f t="shared" si="33"/>
        <v>7.6086956521739135E-2</v>
      </c>
      <c r="E83" s="206">
        <f>Dean_VM!E83+Path!E77+Clincial_Sci!E77+Anatomy_Phy!E78</f>
        <v>8</v>
      </c>
      <c r="F83" s="207">
        <f t="shared" si="33"/>
        <v>8.6956521739130432E-2</v>
      </c>
      <c r="G83" s="245">
        <v>9</v>
      </c>
      <c r="H83" s="36">
        <f t="shared" si="34"/>
        <v>9.4736842105263161E-2</v>
      </c>
      <c r="I83" s="245">
        <f>Dean_VM!I83+Path!I77+Clincial_Sci!I77+Anatomy_Phy!I78</f>
        <v>8</v>
      </c>
      <c r="J83" s="404">
        <f t="shared" si="35"/>
        <v>9.1954022988505746E-2</v>
      </c>
      <c r="K83" s="245">
        <f>Dean_VM!K83+Path!K77+Clincial_Sci!K77+Anatomy_Phy!K78</f>
        <v>11</v>
      </c>
      <c r="L83" s="497">
        <f t="shared" si="36"/>
        <v>0.12087912087912088</v>
      </c>
      <c r="M83" s="447">
        <f>Dean_VM!M83+Path!M77+Clincial_Sci!M77+Anatomy_Phy!M78</f>
        <v>10</v>
      </c>
      <c r="N83" s="404">
        <f t="shared" si="37"/>
        <v>0.10869565217391304</v>
      </c>
      <c r="O83" s="447">
        <f>Dean_VM!O83+Path!O77+Clincial_Sci!O77+Anatomy_Phy!O78</f>
        <v>12</v>
      </c>
      <c r="P83" s="404">
        <f t="shared" si="38"/>
        <v>0.13186813186813187</v>
      </c>
      <c r="Q83" s="381">
        <f>Dean_VM!Q83+Path!Q77+Clincial_Sci!Q77+Anatomy_Phy!Q78</f>
        <v>14</v>
      </c>
      <c r="R83" s="404">
        <f t="shared" si="39"/>
        <v>0.14000000000000001</v>
      </c>
      <c r="S83" s="381">
        <f>Dean_VM!S83+Path!S77+Clincial_Sci!S77+Anatomy_Phy!S78</f>
        <v>15</v>
      </c>
      <c r="T83" s="404">
        <f t="shared" si="27"/>
        <v>0.15</v>
      </c>
      <c r="U83" s="381">
        <f>Dean_VM!U83+Anatomy_Phy!U78+Path!U77+Clincial_Sci!U77</f>
        <v>18</v>
      </c>
      <c r="V83" s="404">
        <f t="shared" si="28"/>
        <v>0.17307692307692307</v>
      </c>
      <c r="W83" s="381">
        <f>Dean_VM!W83+Anatomy_Phy!W78+Path!W77+Clincial_Sci!W77</f>
        <v>22</v>
      </c>
      <c r="X83" s="404">
        <f t="shared" si="29"/>
        <v>0.19130434782608696</v>
      </c>
      <c r="Y83" s="381">
        <f>Dean_VM!Y83+Anatomy_Phy!Y78+Path!Y77+Clincial_Sci!Y77</f>
        <v>25</v>
      </c>
      <c r="Z83" s="404">
        <f t="shared" si="30"/>
        <v>0.2</v>
      </c>
      <c r="AA83" s="506"/>
      <c r="AB83" s="578">
        <f t="shared" si="31"/>
        <v>18.8</v>
      </c>
      <c r="AC83" s="580">
        <f t="shared" si="32"/>
        <v>0.17087625418060204</v>
      </c>
    </row>
    <row r="84" spans="2:31" ht="12" x14ac:dyDescent="0.2">
      <c r="B84" s="102" t="s">
        <v>58</v>
      </c>
      <c r="C84" s="200">
        <f>Dean_VM!C84+Path!C78+Clincial_Sci!C78+Anatomy_Phy!C79</f>
        <v>2</v>
      </c>
      <c r="D84" s="207">
        <f t="shared" si="33"/>
        <v>2.1739130434782608E-2</v>
      </c>
      <c r="E84" s="206">
        <f>Dean_VM!E84+Path!E78+Clincial_Sci!E78+Anatomy_Phy!E79</f>
        <v>4</v>
      </c>
      <c r="F84" s="207">
        <f t="shared" si="33"/>
        <v>4.3478260869565216E-2</v>
      </c>
      <c r="G84" s="245">
        <v>5</v>
      </c>
      <c r="H84" s="36">
        <f t="shared" si="34"/>
        <v>5.2631578947368418E-2</v>
      </c>
      <c r="I84" s="245">
        <f>Dean_VM!I84+Path!I78+Clincial_Sci!I78+Anatomy_Phy!I79</f>
        <v>9</v>
      </c>
      <c r="J84" s="404">
        <f t="shared" si="35"/>
        <v>0.10344827586206896</v>
      </c>
      <c r="K84" s="245">
        <f>Dean_VM!K84+Path!K78+Clincial_Sci!K78+Anatomy_Phy!K79</f>
        <v>14</v>
      </c>
      <c r="L84" s="497">
        <f t="shared" si="36"/>
        <v>0.15384615384615385</v>
      </c>
      <c r="M84" s="447">
        <f>Dean_VM!M84+Path!M78+Clincial_Sci!M78+Anatomy_Phy!M79</f>
        <v>10</v>
      </c>
      <c r="N84" s="404">
        <f t="shared" si="37"/>
        <v>0.10869565217391304</v>
      </c>
      <c r="O84" s="447">
        <f>Dean_VM!O84+Path!O78+Clincial_Sci!O78+Anatomy_Phy!O79</f>
        <v>6</v>
      </c>
      <c r="P84" s="404">
        <f t="shared" si="38"/>
        <v>6.5934065934065936E-2</v>
      </c>
      <c r="Q84" s="381">
        <f>Dean_VM!Q84+Path!Q78+Clincial_Sci!Q78+Anatomy_Phy!Q79</f>
        <v>6</v>
      </c>
      <c r="R84" s="404">
        <f t="shared" si="39"/>
        <v>0.06</v>
      </c>
      <c r="S84" s="381">
        <f>Dean_VM!S84+Path!S78+Clincial_Sci!S78+Anatomy_Phy!S79</f>
        <v>4</v>
      </c>
      <c r="T84" s="404">
        <f t="shared" si="27"/>
        <v>0.04</v>
      </c>
      <c r="U84" s="381">
        <f>Dean_VM!U84+Anatomy_Phy!U79+Path!U78+Clincial_Sci!U78</f>
        <v>6</v>
      </c>
      <c r="V84" s="404">
        <f t="shared" si="28"/>
        <v>5.7692307692307696E-2</v>
      </c>
      <c r="W84" s="381">
        <f>Dean_VM!W84+Anatomy_Phy!W79+Path!W78+Clincial_Sci!W78</f>
        <v>7</v>
      </c>
      <c r="X84" s="404">
        <f t="shared" si="29"/>
        <v>6.0869565217391307E-2</v>
      </c>
      <c r="Y84" s="381">
        <f>Dean_VM!Y84+Anatomy_Phy!Y79+Path!Y78+Clincial_Sci!Y78</f>
        <v>9</v>
      </c>
      <c r="Z84" s="404">
        <f t="shared" si="30"/>
        <v>7.1999999999999995E-2</v>
      </c>
      <c r="AA84" s="506"/>
      <c r="AB84" s="578">
        <f t="shared" si="31"/>
        <v>6.4</v>
      </c>
      <c r="AC84" s="580">
        <f t="shared" si="32"/>
        <v>5.8112374581939796E-2</v>
      </c>
    </row>
    <row r="85" spans="2:31" ht="12" x14ac:dyDescent="0.2">
      <c r="B85" s="102" t="s">
        <v>126</v>
      </c>
      <c r="C85" s="200"/>
      <c r="D85" s="207"/>
      <c r="E85" s="206"/>
      <c r="F85" s="207"/>
      <c r="G85" s="728"/>
      <c r="H85" s="729"/>
      <c r="I85" s="728"/>
      <c r="J85" s="729"/>
      <c r="K85" s="728"/>
      <c r="L85" s="730"/>
      <c r="M85" s="731"/>
      <c r="N85" s="729"/>
      <c r="O85" s="731"/>
      <c r="P85" s="729"/>
      <c r="Q85" s="381">
        <f>Dean_VM!Q85+Path!Q79+Clincial_Sci!Q79+Anatomy_Phy!Q80</f>
        <v>0</v>
      </c>
      <c r="R85" s="404">
        <f t="shared" si="39"/>
        <v>0</v>
      </c>
      <c r="S85" s="381">
        <f>Dean_VM!S85+Path!S79+Clincial_Sci!S79+Anatomy_Phy!S80</f>
        <v>0</v>
      </c>
      <c r="T85" s="404">
        <f t="shared" si="27"/>
        <v>0</v>
      </c>
      <c r="U85" s="381">
        <f>Dean_VM!U85+Anatomy_Phy!U80+Path!U79+Clincial_Sci!U79</f>
        <v>0</v>
      </c>
      <c r="V85" s="404">
        <f t="shared" si="28"/>
        <v>0</v>
      </c>
      <c r="W85" s="381">
        <f>Dean_VM!W85+Anatomy_Phy!W80+Path!W79+Clincial_Sci!W79</f>
        <v>0</v>
      </c>
      <c r="X85" s="404">
        <f t="shared" si="29"/>
        <v>0</v>
      </c>
      <c r="Y85" s="381">
        <f>Dean_VM!Y85+Anatomy_Phy!Y80+Path!Y79+Clincial_Sci!Y79</f>
        <v>1</v>
      </c>
      <c r="Z85" s="404">
        <f t="shared" si="30"/>
        <v>8.0000000000000002E-3</v>
      </c>
      <c r="AA85" s="506"/>
      <c r="AB85" s="578">
        <f t="shared" si="31"/>
        <v>0.2</v>
      </c>
      <c r="AC85" s="580">
        <f t="shared" si="32"/>
        <v>1.6000000000000001E-3</v>
      </c>
      <c r="AE85" s="1" t="s">
        <v>20</v>
      </c>
    </row>
    <row r="86" spans="2:31" ht="12" x14ac:dyDescent="0.2">
      <c r="B86" s="57" t="s">
        <v>59</v>
      </c>
      <c r="C86" s="200">
        <f>Dean_VM!C86+Path!C80+Clincial_Sci!C80+Anatomy_Phy!C81</f>
        <v>0</v>
      </c>
      <c r="D86" s="207">
        <f t="shared" si="33"/>
        <v>0</v>
      </c>
      <c r="E86" s="126">
        <f>Dean_VM!E86+Path!E80+Clincial_Sci!E80+Anatomy_Phy!E81</f>
        <v>0</v>
      </c>
      <c r="F86" s="207">
        <f t="shared" si="33"/>
        <v>0</v>
      </c>
      <c r="G86" s="244">
        <v>0</v>
      </c>
      <c r="H86" s="36">
        <f t="shared" si="34"/>
        <v>0</v>
      </c>
      <c r="I86" s="244">
        <f>Dean_VM!I86+Path!I80+Clincial_Sci!I80+Anatomy_Phy!I81</f>
        <v>0</v>
      </c>
      <c r="J86" s="404">
        <f t="shared" si="35"/>
        <v>0</v>
      </c>
      <c r="K86" s="244">
        <f>Dean_VM!K86+Path!K80+Clincial_Sci!K80+Anatomy_Phy!K81</f>
        <v>0</v>
      </c>
      <c r="L86" s="497">
        <f t="shared" si="36"/>
        <v>0</v>
      </c>
      <c r="M86" s="381">
        <f>Dean_VM!M86+Path!M80+Clincial_Sci!M80+Anatomy_Phy!M81</f>
        <v>2</v>
      </c>
      <c r="N86" s="404">
        <f t="shared" si="37"/>
        <v>2.1739130434782608E-2</v>
      </c>
      <c r="O86" s="381">
        <f>Dean_VM!O86+Path!O80+Clincial_Sci!O80+Anatomy_Phy!O81</f>
        <v>2</v>
      </c>
      <c r="P86" s="404">
        <f t="shared" si="38"/>
        <v>2.197802197802198E-2</v>
      </c>
      <c r="Q86" s="381">
        <f>Dean_VM!Q86+Path!Q80+Clincial_Sci!Q80+Anatomy_Phy!Q81</f>
        <v>1</v>
      </c>
      <c r="R86" s="404">
        <f t="shared" si="39"/>
        <v>0.01</v>
      </c>
      <c r="S86" s="381">
        <f>Dean_VM!S86+Path!S80+Clincial_Sci!S80+Anatomy_Phy!S81</f>
        <v>1</v>
      </c>
      <c r="T86" s="404">
        <f t="shared" si="27"/>
        <v>0.01</v>
      </c>
      <c r="U86" s="381">
        <f>Dean_VM!U86+Anatomy_Phy!U81+Path!U80+Clincial_Sci!U80</f>
        <v>0</v>
      </c>
      <c r="V86" s="404">
        <f t="shared" si="28"/>
        <v>0</v>
      </c>
      <c r="W86" s="381">
        <f>Dean_VM!W86+Anatomy_Phy!W81+Path!W80+Clincial_Sci!W80</f>
        <v>0</v>
      </c>
      <c r="X86" s="404">
        <f t="shared" si="29"/>
        <v>0</v>
      </c>
      <c r="Y86" s="381">
        <f>Dean_VM!Y86+Anatomy_Phy!Y81+Path!Y80+Clincial_Sci!Y80</f>
        <v>0</v>
      </c>
      <c r="Z86" s="404">
        <f t="shared" si="30"/>
        <v>0</v>
      </c>
      <c r="AA86" s="506"/>
      <c r="AB86" s="578">
        <f t="shared" si="31"/>
        <v>0.4</v>
      </c>
      <c r="AC86" s="580">
        <f t="shared" si="32"/>
        <v>4.0000000000000001E-3</v>
      </c>
    </row>
    <row r="87" spans="2:31" ht="12" x14ac:dyDescent="0.2">
      <c r="B87" s="285" t="s">
        <v>72</v>
      </c>
      <c r="C87" s="200"/>
      <c r="D87" s="207"/>
      <c r="E87" s="126"/>
      <c r="F87" s="207"/>
      <c r="G87" s="244"/>
      <c r="H87" s="36"/>
      <c r="I87" s="244"/>
      <c r="J87" s="404"/>
      <c r="K87" s="244"/>
      <c r="L87" s="497"/>
      <c r="M87" s="381"/>
      <c r="N87" s="404"/>
      <c r="O87" s="381"/>
      <c r="P87" s="404"/>
      <c r="Q87" s="381"/>
      <c r="R87" s="404"/>
      <c r="S87" s="381"/>
      <c r="T87" s="404"/>
      <c r="U87" s="381"/>
      <c r="V87" s="404"/>
      <c r="W87" s="381"/>
      <c r="X87" s="404"/>
      <c r="Y87" s="381"/>
      <c r="Z87" s="404"/>
      <c r="AA87" s="684"/>
      <c r="AB87" s="578"/>
      <c r="AC87" s="580"/>
    </row>
    <row r="88" spans="2:31" ht="12" x14ac:dyDescent="0.2">
      <c r="B88" s="57" t="s">
        <v>60</v>
      </c>
      <c r="C88" s="200">
        <f>Dean_VM!C88+Path!C82+Clincial_Sci!C82+Anatomy_Phy!C83</f>
        <v>61</v>
      </c>
      <c r="D88" s="207">
        <f t="shared" si="33"/>
        <v>0.66304347826086951</v>
      </c>
      <c r="E88" s="126">
        <f>Dean_VM!E88+Path!E82+Clincial_Sci!E82+Anatomy_Phy!E83</f>
        <v>59</v>
      </c>
      <c r="F88" s="207">
        <f t="shared" si="33"/>
        <v>0.64130434782608692</v>
      </c>
      <c r="G88" s="244">
        <v>63</v>
      </c>
      <c r="H88" s="36">
        <f t="shared" si="34"/>
        <v>0.66315789473684206</v>
      </c>
      <c r="I88" s="244">
        <f>Dean_VM!I88+Path!I82+Clincial_Sci!I82+Anatomy_Phy!I83</f>
        <v>63</v>
      </c>
      <c r="J88" s="404">
        <f t="shared" si="35"/>
        <v>0.72413793103448276</v>
      </c>
      <c r="K88" s="244">
        <f>Dean_VM!K88+Path!K82+Clincial_Sci!K82+Anatomy_Phy!K83</f>
        <v>65</v>
      </c>
      <c r="L88" s="497">
        <f t="shared" si="36"/>
        <v>0.7142857142857143</v>
      </c>
      <c r="M88" s="381">
        <f>Dean_VM!M88+Path!M82+Clincial_Sci!M82+Anatomy_Phy!M83</f>
        <v>64</v>
      </c>
      <c r="N88" s="404">
        <f t="shared" si="37"/>
        <v>0.69565217391304346</v>
      </c>
      <c r="O88" s="381">
        <f>Dean_VM!O88+Path!O82+Clincial_Sci!O82+Anatomy_Phy!O83</f>
        <v>62</v>
      </c>
      <c r="P88" s="404">
        <f t="shared" si="38"/>
        <v>0.68131868131868134</v>
      </c>
      <c r="Q88" s="381">
        <f>Dean_VM!Q88+Path!Q82+Clincial_Sci!Q82+Anatomy_Phy!Q83</f>
        <v>63</v>
      </c>
      <c r="R88" s="404">
        <f t="shared" si="39"/>
        <v>0.63</v>
      </c>
      <c r="S88" s="381">
        <f>Dean_VM!S88+Path!S82+Clincial_Sci!S82+Anatomy_Phy!S83</f>
        <v>60</v>
      </c>
      <c r="T88" s="404">
        <f>S88/T$77</f>
        <v>0.6</v>
      </c>
      <c r="U88" s="381">
        <f>Dean_VM!U88+Anatomy_Phy!U83+Path!U82+Clincial_Sci!U82</f>
        <v>63</v>
      </c>
      <c r="V88" s="404">
        <f>U88/V$77</f>
        <v>0.60576923076923073</v>
      </c>
      <c r="W88" s="381">
        <f>Dean_VM!W88+Anatomy_Phy!W83+Path!W82+Clincial_Sci!W82</f>
        <v>69</v>
      </c>
      <c r="X88" s="404">
        <f>W88/X$77</f>
        <v>0.6</v>
      </c>
      <c r="Y88" s="381">
        <f>Dean_VM!Y88+Anatomy_Phy!Y83+Path!Y82+Clincial_Sci!Y82</f>
        <v>76</v>
      </c>
      <c r="Z88" s="404">
        <f>Y88/Z$77</f>
        <v>0.60799999999999998</v>
      </c>
      <c r="AA88" s="684"/>
      <c r="AB88" s="578">
        <f t="shared" ref="AB88:AB89" si="40">AVERAGE(Q88,Y88,W88,U88,S88)</f>
        <v>66.2</v>
      </c>
      <c r="AC88" s="580">
        <f t="shared" ref="AC88:AC89" si="41">AVERAGE(R88,Z88,X88,V88,T88)</f>
        <v>0.6087538461538462</v>
      </c>
    </row>
    <row r="89" spans="2:31" ht="12" x14ac:dyDescent="0.2">
      <c r="B89" s="57" t="s">
        <v>61</v>
      </c>
      <c r="C89" s="200">
        <f>Dean_VM!C89+Path!C83+Clincial_Sci!C83+Anatomy_Phy!C84</f>
        <v>31</v>
      </c>
      <c r="D89" s="207">
        <f t="shared" si="33"/>
        <v>0.33695652173913043</v>
      </c>
      <c r="E89" s="126">
        <f>Dean_VM!E89+Path!E83+Clincial_Sci!E83+Anatomy_Phy!E84</f>
        <v>34</v>
      </c>
      <c r="F89" s="207">
        <f t="shared" si="33"/>
        <v>0.36956521739130432</v>
      </c>
      <c r="G89" s="244">
        <v>32</v>
      </c>
      <c r="H89" s="36">
        <f t="shared" si="34"/>
        <v>0.33684210526315789</v>
      </c>
      <c r="I89" s="244">
        <f>Dean_VM!I89+Path!I83+Clincial_Sci!I83+Anatomy_Phy!I84</f>
        <v>24</v>
      </c>
      <c r="J89" s="404">
        <f t="shared" si="35"/>
        <v>0.27586206896551724</v>
      </c>
      <c r="K89" s="244">
        <f>Dean_VM!K89+Path!K83+Clincial_Sci!K83+Anatomy_Phy!K84</f>
        <v>26</v>
      </c>
      <c r="L89" s="497">
        <f t="shared" si="36"/>
        <v>0.2857142857142857</v>
      </c>
      <c r="M89" s="381">
        <f>Dean_VM!M89+Path!M83+Clincial_Sci!M83+Anatomy_Phy!M84</f>
        <v>28</v>
      </c>
      <c r="N89" s="404">
        <f t="shared" si="37"/>
        <v>0.30434782608695654</v>
      </c>
      <c r="O89" s="381">
        <f>Dean_VM!O89+Path!O83+Clincial_Sci!O83+Anatomy_Phy!O84</f>
        <v>29</v>
      </c>
      <c r="P89" s="404">
        <f t="shared" si="38"/>
        <v>0.31868131868131866</v>
      </c>
      <c r="Q89" s="381">
        <f>Dean_VM!Q89+Path!Q83+Clincial_Sci!Q83+Anatomy_Phy!Q84</f>
        <v>37</v>
      </c>
      <c r="R89" s="404">
        <f t="shared" si="39"/>
        <v>0.37</v>
      </c>
      <c r="S89" s="381">
        <f>Dean_VM!S89+Path!S83+Clincial_Sci!S83+Anatomy_Phy!S84</f>
        <v>40</v>
      </c>
      <c r="T89" s="404">
        <f>S89/T$77</f>
        <v>0.4</v>
      </c>
      <c r="U89" s="381">
        <f>Dean_VM!U89+Anatomy_Phy!U84+Path!U83+Clincial_Sci!U83</f>
        <v>41</v>
      </c>
      <c r="V89" s="404">
        <f>U89/V$77</f>
        <v>0.39423076923076922</v>
      </c>
      <c r="W89" s="381">
        <f>Dean_VM!W89+Anatomy_Phy!W84+Path!W83+Clincial_Sci!W83</f>
        <v>46</v>
      </c>
      <c r="X89" s="404">
        <f>W89/X$77</f>
        <v>0.4</v>
      </c>
      <c r="Y89" s="381">
        <f>Dean_VM!Y89+Anatomy_Phy!Y84+Path!Y83+Clincial_Sci!Y83</f>
        <v>49</v>
      </c>
      <c r="Z89" s="404">
        <f>Y89/Z$77</f>
        <v>0.39200000000000002</v>
      </c>
      <c r="AA89" s="684"/>
      <c r="AB89" s="578">
        <f t="shared" si="40"/>
        <v>42.6</v>
      </c>
      <c r="AC89" s="580">
        <f t="shared" si="41"/>
        <v>0.3912461538461538</v>
      </c>
    </row>
    <row r="90" spans="2:31" ht="12" x14ac:dyDescent="0.2">
      <c r="B90" s="286" t="s">
        <v>73</v>
      </c>
      <c r="C90" s="200"/>
      <c r="D90" s="207"/>
      <c r="E90" s="126"/>
      <c r="F90" s="207"/>
      <c r="G90" s="244"/>
      <c r="H90" s="36"/>
      <c r="I90" s="244"/>
      <c r="J90" s="404"/>
      <c r="K90" s="244"/>
      <c r="L90" s="497"/>
      <c r="M90" s="381"/>
      <c r="N90" s="404"/>
      <c r="O90" s="381"/>
      <c r="P90" s="404"/>
      <c r="Q90" s="381"/>
      <c r="R90" s="404"/>
      <c r="S90" s="381"/>
      <c r="T90" s="404"/>
      <c r="U90" s="381"/>
      <c r="V90" s="404"/>
      <c r="W90" s="381"/>
      <c r="X90" s="404"/>
      <c r="Y90" s="381"/>
      <c r="Z90" s="404"/>
      <c r="AA90" s="684"/>
      <c r="AB90" s="578"/>
      <c r="AC90" s="580"/>
    </row>
    <row r="91" spans="2:31" ht="12" x14ac:dyDescent="0.2">
      <c r="B91" s="57" t="s">
        <v>62</v>
      </c>
      <c r="C91" s="200">
        <f>Dean_VM!C91+Path!C85+Clincial_Sci!C85+Anatomy_Phy!C86</f>
        <v>52</v>
      </c>
      <c r="D91" s="207">
        <f t="shared" si="33"/>
        <v>0.56521739130434778</v>
      </c>
      <c r="E91" s="126">
        <f>Dean_VM!E91+Path!E85+Clincial_Sci!E85+Anatomy_Phy!E86</f>
        <v>56</v>
      </c>
      <c r="F91" s="207">
        <f t="shared" si="33"/>
        <v>0.60869565217391308</v>
      </c>
      <c r="G91" s="244">
        <v>48</v>
      </c>
      <c r="H91" s="36">
        <f t="shared" si="34"/>
        <v>0.50526315789473686</v>
      </c>
      <c r="I91" s="244">
        <f>Dean_VM!I91+Path!I85+Clincial_Sci!I85+Anatomy_Phy!I86</f>
        <v>51</v>
      </c>
      <c r="J91" s="404">
        <f t="shared" si="35"/>
        <v>0.58620689655172409</v>
      </c>
      <c r="K91" s="244">
        <f>Dean_VM!K91+Path!K85+Clincial_Sci!K85+Anatomy_Phy!K86</f>
        <v>50</v>
      </c>
      <c r="L91" s="497">
        <f t="shared" si="36"/>
        <v>0.5494505494505495</v>
      </c>
      <c r="M91" s="381">
        <f>Dean_VM!M91+Path!M85+Clincial_Sci!M85+Anatomy_Phy!M86</f>
        <v>54</v>
      </c>
      <c r="N91" s="404">
        <f t="shared" si="37"/>
        <v>0.58695652173913049</v>
      </c>
      <c r="O91" s="381">
        <f>Dean_VM!O91+Path!O85+Clincial_Sci!O85+Anatomy_Phy!O86</f>
        <v>53</v>
      </c>
      <c r="P91" s="404">
        <f t="shared" si="38"/>
        <v>0.58241758241758246</v>
      </c>
      <c r="Q91" s="381">
        <f>Dean_VM!Q91+Path!Q85+Clincial_Sci!Q85+Anatomy_Phy!Q86</f>
        <v>58</v>
      </c>
      <c r="R91" s="404">
        <f t="shared" si="39"/>
        <v>0.57999999999999996</v>
      </c>
      <c r="S91" s="381">
        <f>Dean_VM!S91+Path!S85+Clincial_Sci!S85+Anatomy_Phy!S86</f>
        <v>57</v>
      </c>
      <c r="T91" s="404">
        <f>S91/T$77</f>
        <v>0.56999999999999995</v>
      </c>
      <c r="U91" s="381">
        <f>Dean_VM!U91+Anatomy_Phy!U86+Path!U85+Clincial_Sci!U85</f>
        <v>64</v>
      </c>
      <c r="V91" s="404">
        <f>U91/V$77</f>
        <v>0.61538461538461542</v>
      </c>
      <c r="W91" s="381">
        <f>Dean_VM!W91+Anatomy_Phy!W86+Path!W85+Clincial_Sci!W85</f>
        <v>63</v>
      </c>
      <c r="X91" s="404">
        <f>W91/X$77</f>
        <v>0.54782608695652169</v>
      </c>
      <c r="Y91" s="381">
        <f>Dean_VM!Y91+Anatomy_Phy!Y86+Path!Y85+Clincial_Sci!Y85</f>
        <v>63</v>
      </c>
      <c r="Z91" s="404">
        <f>Y91/Z$77</f>
        <v>0.504</v>
      </c>
      <c r="AA91" s="684"/>
      <c r="AB91" s="578">
        <f t="shared" ref="AB91:AB93" si="42">AVERAGE(Q91,Y91,W91,U91,S91)</f>
        <v>61</v>
      </c>
      <c r="AC91" s="580">
        <f t="shared" ref="AC91:AC93" si="43">AVERAGE(R91,Z91,X91,V91,T91)</f>
        <v>0.56344214046822738</v>
      </c>
    </row>
    <row r="92" spans="2:31" ht="12" x14ac:dyDescent="0.2">
      <c r="B92" s="57" t="s">
        <v>63</v>
      </c>
      <c r="C92" s="200">
        <f>Dean_VM!C92+Path!C86+Clincial_Sci!C86+Anatomy_Phy!C87</f>
        <v>16</v>
      </c>
      <c r="D92" s="207">
        <f t="shared" si="33"/>
        <v>0.17391304347826086</v>
      </c>
      <c r="E92" s="126">
        <f>Dean_VM!E92+Path!E86+Clincial_Sci!E86+Anatomy_Phy!E87</f>
        <v>12</v>
      </c>
      <c r="F92" s="207">
        <f t="shared" si="33"/>
        <v>0.13043478260869565</v>
      </c>
      <c r="G92" s="244">
        <v>18</v>
      </c>
      <c r="H92" s="36">
        <f t="shared" si="34"/>
        <v>0.18947368421052632</v>
      </c>
      <c r="I92" s="244">
        <f>Dean_VM!I92+Path!I86+Clincial_Sci!I86+Anatomy_Phy!I87</f>
        <v>24</v>
      </c>
      <c r="J92" s="404">
        <f t="shared" si="35"/>
        <v>0.27586206896551724</v>
      </c>
      <c r="K92" s="244">
        <f>Dean_VM!K92+Path!K86+Clincial_Sci!K86+Anatomy_Phy!K87</f>
        <v>24</v>
      </c>
      <c r="L92" s="497">
        <f t="shared" si="36"/>
        <v>0.26373626373626374</v>
      </c>
      <c r="M92" s="381">
        <f>Dean_VM!M92+Path!M86+Clincial_Sci!M86+Anatomy_Phy!M87</f>
        <v>21</v>
      </c>
      <c r="N92" s="404">
        <f t="shared" si="37"/>
        <v>0.22826086956521738</v>
      </c>
      <c r="O92" s="381">
        <f>Dean_VM!O92+Path!O86+Clincial_Sci!O86+Anatomy_Phy!O87</f>
        <v>20</v>
      </c>
      <c r="P92" s="404">
        <f t="shared" si="38"/>
        <v>0.21978021978021978</v>
      </c>
      <c r="Q92" s="381">
        <f>Dean_VM!Q92+Path!Q86+Clincial_Sci!Q86+Anatomy_Phy!Q87</f>
        <v>15</v>
      </c>
      <c r="R92" s="404">
        <f t="shared" si="39"/>
        <v>0.15</v>
      </c>
      <c r="S92" s="381">
        <f>Dean_VM!S92+Path!S86+Clincial_Sci!S86+Anatomy_Phy!S87</f>
        <v>12</v>
      </c>
      <c r="T92" s="404">
        <f>S92/T$77</f>
        <v>0.12</v>
      </c>
      <c r="U92" s="381">
        <f>Dean_VM!U92+Anatomy_Phy!U87+Path!U86+Clincial_Sci!U86</f>
        <v>8</v>
      </c>
      <c r="V92" s="404">
        <f>U92/V$77</f>
        <v>7.6923076923076927E-2</v>
      </c>
      <c r="W92" s="381">
        <f>Dean_VM!W92+Anatomy_Phy!W87+Path!W86+Clincial_Sci!W86</f>
        <v>9</v>
      </c>
      <c r="X92" s="404">
        <f>W92/X$77</f>
        <v>7.8260869565217397E-2</v>
      </c>
      <c r="Y92" s="381">
        <f>Dean_VM!Y92+Anatomy_Phy!Y87+Path!Y86+Clincial_Sci!Y86</f>
        <v>15</v>
      </c>
      <c r="Z92" s="404">
        <f>Y92/Z$77</f>
        <v>0.12</v>
      </c>
      <c r="AA92" s="684"/>
      <c r="AB92" s="578">
        <f t="shared" si="42"/>
        <v>11.8</v>
      </c>
      <c r="AC92" s="580">
        <f t="shared" si="43"/>
        <v>0.10903678929765888</v>
      </c>
    </row>
    <row r="93" spans="2:31" ht="12" x14ac:dyDescent="0.2">
      <c r="B93" s="57" t="s">
        <v>64</v>
      </c>
      <c r="C93" s="200">
        <f>Dean_VM!C93+Path!C87+Clincial_Sci!C87+Anatomy_Phy!C88</f>
        <v>24</v>
      </c>
      <c r="D93" s="207">
        <f t="shared" si="33"/>
        <v>0.2608695652173913</v>
      </c>
      <c r="E93" s="126">
        <f>Dean_VM!E93+Path!E87+Clincial_Sci!E87+Anatomy_Phy!E88</f>
        <v>25</v>
      </c>
      <c r="F93" s="207">
        <f t="shared" si="33"/>
        <v>0.27173913043478259</v>
      </c>
      <c r="G93" s="244">
        <v>29</v>
      </c>
      <c r="H93" s="36">
        <f t="shared" si="34"/>
        <v>0.30526315789473685</v>
      </c>
      <c r="I93" s="244">
        <f>Dean_VM!I93+Path!I87+Clincial_Sci!I87+Anatomy_Phy!I88</f>
        <v>12</v>
      </c>
      <c r="J93" s="404">
        <f t="shared" si="35"/>
        <v>0.13793103448275862</v>
      </c>
      <c r="K93" s="244">
        <f>Dean_VM!K93+Path!K87+Clincial_Sci!K87+Anatomy_Phy!K88</f>
        <v>17</v>
      </c>
      <c r="L93" s="497">
        <f t="shared" si="36"/>
        <v>0.18681318681318682</v>
      </c>
      <c r="M93" s="381">
        <f>Dean_VM!M93+Path!M87+Clincial_Sci!M87+Anatomy_Phy!M88</f>
        <v>17</v>
      </c>
      <c r="N93" s="404">
        <f t="shared" si="37"/>
        <v>0.18478260869565216</v>
      </c>
      <c r="O93" s="381">
        <f>Dean_VM!O93+Path!O87+Clincial_Sci!O87+Anatomy_Phy!O88</f>
        <v>18</v>
      </c>
      <c r="P93" s="404">
        <f t="shared" si="38"/>
        <v>0.19780219780219779</v>
      </c>
      <c r="Q93" s="381">
        <f>Dean_VM!Q93+Path!Q87+Clincial_Sci!Q87+Anatomy_Phy!Q88</f>
        <v>27</v>
      </c>
      <c r="R93" s="404">
        <f t="shared" si="39"/>
        <v>0.27</v>
      </c>
      <c r="S93" s="381">
        <f>Dean_VM!S93+Path!S87+Clincial_Sci!S87+Anatomy_Phy!S88</f>
        <v>31</v>
      </c>
      <c r="T93" s="404">
        <f>S93/T$77</f>
        <v>0.31</v>
      </c>
      <c r="U93" s="381">
        <f>Dean_VM!U93+Anatomy_Phy!U88+Path!U87+Clincial_Sci!U87</f>
        <v>32</v>
      </c>
      <c r="V93" s="404">
        <f>U93/V$77</f>
        <v>0.30769230769230771</v>
      </c>
      <c r="W93" s="381">
        <f>Dean_VM!W93+Anatomy_Phy!W88+Path!W87+Clincial_Sci!W87</f>
        <v>43</v>
      </c>
      <c r="X93" s="404">
        <f>W93/X$77</f>
        <v>0.37391304347826088</v>
      </c>
      <c r="Y93" s="381">
        <f>Dean_VM!Y93+Anatomy_Phy!Y88+Path!Y87+Clincial_Sci!Y87</f>
        <v>47</v>
      </c>
      <c r="Z93" s="404">
        <f>Y93/Z$77</f>
        <v>0.376</v>
      </c>
      <c r="AA93" s="684"/>
      <c r="AB93" s="578">
        <f t="shared" si="42"/>
        <v>36</v>
      </c>
      <c r="AC93" s="580">
        <f t="shared" si="43"/>
        <v>0.3275210702341137</v>
      </c>
    </row>
    <row r="94" spans="2:31" ht="12" x14ac:dyDescent="0.2">
      <c r="B94" s="286" t="s">
        <v>74</v>
      </c>
      <c r="C94" s="200"/>
      <c r="D94" s="207"/>
      <c r="E94" s="126"/>
      <c r="F94" s="207"/>
      <c r="G94" s="244"/>
      <c r="H94" s="36"/>
      <c r="I94" s="244"/>
      <c r="J94" s="404"/>
      <c r="K94" s="244"/>
      <c r="L94" s="497"/>
      <c r="M94" s="381"/>
      <c r="N94" s="404"/>
      <c r="O94" s="381"/>
      <c r="P94" s="404"/>
      <c r="Q94" s="381"/>
      <c r="R94" s="404"/>
      <c r="S94" s="381"/>
      <c r="T94" s="404"/>
      <c r="U94" s="381"/>
      <c r="V94" s="404"/>
      <c r="W94" s="381"/>
      <c r="X94" s="404"/>
      <c r="Y94" s="381"/>
      <c r="Z94" s="404"/>
      <c r="AA94" s="684"/>
      <c r="AB94" s="578"/>
      <c r="AC94" s="580"/>
    </row>
    <row r="95" spans="2:31" ht="12" x14ac:dyDescent="0.2">
      <c r="B95" s="57" t="s">
        <v>65</v>
      </c>
      <c r="C95" s="200">
        <f>Dean_VM!C95+Path!C89+Clincial_Sci!C89+Anatomy_Phy!C90</f>
        <v>87</v>
      </c>
      <c r="D95" s="207">
        <f t="shared" si="33"/>
        <v>0.94565217391304346</v>
      </c>
      <c r="E95" s="126">
        <f>Dean_VM!E95+Path!E89+Clincial_Sci!E89+Anatomy_Phy!E90</f>
        <v>89</v>
      </c>
      <c r="F95" s="207">
        <f t="shared" si="33"/>
        <v>0.96739130434782605</v>
      </c>
      <c r="G95" s="244">
        <v>93</v>
      </c>
      <c r="H95" s="36">
        <f t="shared" si="34"/>
        <v>0.97894736842105268</v>
      </c>
      <c r="I95" s="244">
        <f>Dean_VM!I95+Path!I89+Clincial_Sci!I89+Anatomy_Phy!I90</f>
        <v>83</v>
      </c>
      <c r="J95" s="404">
        <f t="shared" si="35"/>
        <v>0.95402298850574707</v>
      </c>
      <c r="K95" s="244">
        <f>Dean_VM!K95+Path!K89+Clincial_Sci!K89+Anatomy_Phy!K90</f>
        <v>88</v>
      </c>
      <c r="L95" s="497">
        <f t="shared" si="36"/>
        <v>0.96703296703296704</v>
      </c>
      <c r="M95" s="381">
        <f>Dean_VM!M95+Path!M89+Clincial_Sci!M89+Anatomy_Phy!M90</f>
        <v>88</v>
      </c>
      <c r="N95" s="404">
        <f t="shared" si="37"/>
        <v>0.95652173913043481</v>
      </c>
      <c r="O95" s="381">
        <f>Dean_VM!O95+Path!O89+Clincial_Sci!O89+Anatomy_Phy!O90</f>
        <v>87</v>
      </c>
      <c r="P95" s="404">
        <f t="shared" si="38"/>
        <v>0.95604395604395609</v>
      </c>
      <c r="Q95" s="381">
        <f>Dean_VM!Q95+Path!Q89+Clincial_Sci!Q89+Anatomy_Phy!Q90</f>
        <v>97</v>
      </c>
      <c r="R95" s="404">
        <f t="shared" si="39"/>
        <v>0.97</v>
      </c>
      <c r="S95" s="381">
        <f>Dean_VM!S95+Path!S89+Clincial_Sci!S89+Anatomy_Phy!S90</f>
        <v>97</v>
      </c>
      <c r="T95" s="404">
        <f>S95/T$77</f>
        <v>0.97</v>
      </c>
      <c r="U95" s="381">
        <f>Dean_VM!U95+Anatomy_Phy!U90+Path!U89+Clincial_Sci!U89</f>
        <v>101</v>
      </c>
      <c r="V95" s="404">
        <f>U95/V$77</f>
        <v>0.97115384615384615</v>
      </c>
      <c r="W95" s="381">
        <f>Dean_VM!W95+Anatomy_Phy!W90+Path!W89+Clincial_Sci!W89</f>
        <v>112</v>
      </c>
      <c r="X95" s="404">
        <f>W95/X$77</f>
        <v>0.97391304347826091</v>
      </c>
      <c r="Y95" s="381">
        <f>Dean_VM!Y95+Anatomy_Phy!Y90+Path!Y89+Clincial_Sci!Y89</f>
        <v>124</v>
      </c>
      <c r="Z95" s="404">
        <f>Y95/Z$77</f>
        <v>0.99199999999999999</v>
      </c>
      <c r="AA95" s="684"/>
      <c r="AB95" s="578">
        <f t="shared" ref="AB95:AB98" si="44">AVERAGE(Q95,Y95,W95,U95,S95)</f>
        <v>106.2</v>
      </c>
      <c r="AC95" s="580">
        <f t="shared" ref="AC95:AC98" si="45">AVERAGE(R95,Z95,X95,V95,T95)</f>
        <v>0.97541337792642135</v>
      </c>
    </row>
    <row r="96" spans="2:31" ht="12" x14ac:dyDescent="0.2">
      <c r="B96" s="57" t="s">
        <v>66</v>
      </c>
      <c r="C96" s="200">
        <f>Dean_VM!C96+Path!C90+Clincial_Sci!C90+Anatomy_Phy!C91</f>
        <v>4</v>
      </c>
      <c r="D96" s="207">
        <f t="shared" si="33"/>
        <v>4.3478260869565216E-2</v>
      </c>
      <c r="E96" s="126">
        <f>Dean_VM!E96+Path!E90+Clincial_Sci!E90+Anatomy_Phy!E91</f>
        <v>4</v>
      </c>
      <c r="F96" s="207">
        <f t="shared" si="33"/>
        <v>4.3478260869565216E-2</v>
      </c>
      <c r="G96" s="244">
        <v>2</v>
      </c>
      <c r="H96" s="36">
        <f t="shared" si="34"/>
        <v>2.1052631578947368E-2</v>
      </c>
      <c r="I96" s="244">
        <f>Dean_VM!I96+Path!I90+Clincial_Sci!I90+Anatomy_Phy!I91</f>
        <v>4</v>
      </c>
      <c r="J96" s="404">
        <f t="shared" si="35"/>
        <v>4.5977011494252873E-2</v>
      </c>
      <c r="K96" s="244">
        <f>Dean_VM!K96+Path!K90+Clincial_Sci!K90+Anatomy_Phy!K91</f>
        <v>3</v>
      </c>
      <c r="L96" s="497">
        <f t="shared" si="36"/>
        <v>3.2967032967032968E-2</v>
      </c>
      <c r="M96" s="381">
        <f>Dean_VM!M96+Path!M90+Clincial_Sci!M90+Anatomy_Phy!M91</f>
        <v>4</v>
      </c>
      <c r="N96" s="404">
        <f t="shared" si="37"/>
        <v>4.3478260869565216E-2</v>
      </c>
      <c r="O96" s="381">
        <f>Dean_VM!O96+Path!O90+Clincial_Sci!O90+Anatomy_Phy!O91</f>
        <v>4</v>
      </c>
      <c r="P96" s="404">
        <f t="shared" si="38"/>
        <v>4.3956043956043959E-2</v>
      </c>
      <c r="Q96" s="381">
        <f>Dean_VM!Q96+Path!Q90+Clincial_Sci!Q90+Anatomy_Phy!Q91</f>
        <v>3</v>
      </c>
      <c r="R96" s="404">
        <f t="shared" si="39"/>
        <v>0.03</v>
      </c>
      <c r="S96" s="381">
        <f>Dean_VM!S96+Path!S90+Clincial_Sci!S90+Anatomy_Phy!S91</f>
        <v>3</v>
      </c>
      <c r="T96" s="404">
        <f>S96/T$77</f>
        <v>0.03</v>
      </c>
      <c r="U96" s="381">
        <f>Dean_VM!U96+Anatomy_Phy!U91+Path!U90+Clincial_Sci!U90</f>
        <v>3</v>
      </c>
      <c r="V96" s="404">
        <f>U96/V$77</f>
        <v>2.8846153846153848E-2</v>
      </c>
      <c r="W96" s="381">
        <f>Dean_VM!W96+Anatomy_Phy!W91+Path!W90+Clincial_Sci!W90</f>
        <v>3</v>
      </c>
      <c r="X96" s="404">
        <f>W96/X$77</f>
        <v>2.6086956521739129E-2</v>
      </c>
      <c r="Y96" s="381">
        <f>Dean_VM!Y96+Anatomy_Phy!Y91+Path!Y90+Clincial_Sci!Y90</f>
        <v>1</v>
      </c>
      <c r="Z96" s="404">
        <f>Y96/Z$77</f>
        <v>8.0000000000000002E-3</v>
      </c>
      <c r="AA96" s="684"/>
      <c r="AB96" s="578">
        <f t="shared" si="44"/>
        <v>2.6</v>
      </c>
      <c r="AC96" s="580">
        <f t="shared" si="45"/>
        <v>2.4586622073578597E-2</v>
      </c>
    </row>
    <row r="97" spans="1:32" ht="12" x14ac:dyDescent="0.2">
      <c r="B97" s="57" t="s">
        <v>67</v>
      </c>
      <c r="C97" s="200">
        <f>Dean_VM!C97+Path!C91+Clincial_Sci!C91+Anatomy_Phy!C92</f>
        <v>1</v>
      </c>
      <c r="D97" s="207">
        <f t="shared" si="33"/>
        <v>1.0869565217391304E-2</v>
      </c>
      <c r="E97" s="126">
        <f>Dean_VM!E97+Path!E91+Clincial_Sci!E91+Anatomy_Phy!E92</f>
        <v>0</v>
      </c>
      <c r="F97" s="207">
        <f t="shared" si="33"/>
        <v>0</v>
      </c>
      <c r="G97" s="244">
        <v>0</v>
      </c>
      <c r="H97" s="36">
        <f t="shared" si="34"/>
        <v>0</v>
      </c>
      <c r="I97" s="244">
        <f>Dean_VM!I97+Path!I91+Clincial_Sci!I91+Anatomy_Phy!I92</f>
        <v>0</v>
      </c>
      <c r="J97" s="404">
        <f t="shared" si="35"/>
        <v>0</v>
      </c>
      <c r="K97" s="244">
        <f>Dean_VM!K97+Path!K91+Clincial_Sci!K91+Anatomy_Phy!K92</f>
        <v>0</v>
      </c>
      <c r="L97" s="497">
        <f t="shared" si="36"/>
        <v>0</v>
      </c>
      <c r="M97" s="381">
        <f>Dean_VM!M97+Path!M91+Clincial_Sci!M91+Anatomy_Phy!M92</f>
        <v>0</v>
      </c>
      <c r="N97" s="404">
        <f t="shared" si="37"/>
        <v>0</v>
      </c>
      <c r="O97" s="381">
        <f>Dean_VM!O97+Path!O91+Clincial_Sci!O91+Anatomy_Phy!O92</f>
        <v>0</v>
      </c>
      <c r="P97" s="404">
        <f t="shared" si="38"/>
        <v>0</v>
      </c>
      <c r="Q97" s="381">
        <f>Dean_VM!Q97+Path!Q91+Clincial_Sci!Q91+Anatomy_Phy!Q92</f>
        <v>0</v>
      </c>
      <c r="R97" s="404">
        <f t="shared" si="39"/>
        <v>0</v>
      </c>
      <c r="S97" s="381">
        <f>Dean_VM!S97+Path!S91+Clincial_Sci!S91+Anatomy_Phy!S92</f>
        <v>0</v>
      </c>
      <c r="T97" s="404">
        <f>S97/T$77</f>
        <v>0</v>
      </c>
      <c r="U97" s="381">
        <f>Dean_VM!U97+Anatomy_Phy!U92+Path!U91+Clincial_Sci!U91</f>
        <v>0</v>
      </c>
      <c r="V97" s="404">
        <f>U97/V$77</f>
        <v>0</v>
      </c>
      <c r="W97" s="381">
        <f>Dean_VM!W97+Anatomy_Phy!W92+Path!W91+Clincial_Sci!W91</f>
        <v>0</v>
      </c>
      <c r="X97" s="404">
        <f>W97/X$77</f>
        <v>0</v>
      </c>
      <c r="Y97" s="381">
        <f>Dean_VM!Y97+Anatomy_Phy!Y92+Path!Y91+Clincial_Sci!Y91</f>
        <v>0</v>
      </c>
      <c r="Z97" s="404">
        <f>Y97/Z$77</f>
        <v>0</v>
      </c>
      <c r="AA97" s="684"/>
      <c r="AB97" s="578">
        <f t="shared" si="44"/>
        <v>0</v>
      </c>
      <c r="AC97" s="580">
        <f t="shared" si="45"/>
        <v>0</v>
      </c>
    </row>
    <row r="98" spans="1:32" thickBot="1" x14ac:dyDescent="0.25">
      <c r="B98" s="53" t="s">
        <v>68</v>
      </c>
      <c r="C98" s="205">
        <f>Dean_VM!C98+Path!C92+Clincial_Sci!C92+Anatomy_Phy!C93</f>
        <v>0</v>
      </c>
      <c r="D98" s="208">
        <f t="shared" si="33"/>
        <v>0</v>
      </c>
      <c r="E98" s="112">
        <f>Dean_VM!E98+Path!E92+Clincial_Sci!E92+Anatomy_Phy!E93</f>
        <v>0</v>
      </c>
      <c r="F98" s="208">
        <f t="shared" si="33"/>
        <v>0</v>
      </c>
      <c r="G98" s="246">
        <v>0</v>
      </c>
      <c r="H98" s="36">
        <f t="shared" si="34"/>
        <v>0</v>
      </c>
      <c r="I98" s="375">
        <f>Dean_VM!I98+Path!I92+Clincial_Sci!I92+Anatomy_Phy!I93</f>
        <v>0</v>
      </c>
      <c r="J98" s="405">
        <f>I98/$D$77</f>
        <v>0</v>
      </c>
      <c r="K98" s="375">
        <f>Dean_VM!K98+Path!K92+Clincial_Sci!K92+Anatomy_Phy!K93</f>
        <v>0</v>
      </c>
      <c r="L98" s="497">
        <f t="shared" si="36"/>
        <v>0</v>
      </c>
      <c r="M98" s="246">
        <f>Dean_VM!M98+Path!M92+Clincial_Sci!M92+Anatomy_Phy!M93</f>
        <v>0</v>
      </c>
      <c r="N98" s="404">
        <f t="shared" si="37"/>
        <v>0</v>
      </c>
      <c r="O98" s="246">
        <f>Dean_VM!O98+Path!O92+Clincial_Sci!O92+Anatomy_Phy!O93</f>
        <v>0</v>
      </c>
      <c r="P98" s="404">
        <f t="shared" si="38"/>
        <v>0</v>
      </c>
      <c r="Q98" s="381">
        <f>Dean_VM!Q98+Path!Q92+Clincial_Sci!Q92+Anatomy_Phy!Q93</f>
        <v>0</v>
      </c>
      <c r="R98" s="404">
        <f t="shared" si="39"/>
        <v>0</v>
      </c>
      <c r="S98" s="381">
        <f>Dean_VM!S98+Path!S92+Clincial_Sci!S92+Anatomy_Phy!S93</f>
        <v>0</v>
      </c>
      <c r="T98" s="404">
        <f>S98/T$77</f>
        <v>0</v>
      </c>
      <c r="U98" s="381">
        <f>Dean_VM!U98+Anatomy_Phy!U93+Path!U92+Clincial_Sci!U92</f>
        <v>0</v>
      </c>
      <c r="V98" s="404">
        <f>U98/V$77</f>
        <v>0</v>
      </c>
      <c r="W98" s="381">
        <f>Dean_VM!W98+Anatomy_Phy!W93+Path!W92+Clincial_Sci!W92</f>
        <v>0</v>
      </c>
      <c r="X98" s="404">
        <f>W98/X$77</f>
        <v>0</v>
      </c>
      <c r="Y98" s="381">
        <f>Dean_VM!Y98+Anatomy_Phy!Y93+Path!Y92+Clincial_Sci!Y92</f>
        <v>0</v>
      </c>
      <c r="Z98" s="404">
        <f>Y98/Z$77</f>
        <v>0</v>
      </c>
      <c r="AA98" s="684"/>
      <c r="AB98" s="581">
        <f t="shared" si="44"/>
        <v>0</v>
      </c>
      <c r="AC98" s="580">
        <f t="shared" si="45"/>
        <v>0</v>
      </c>
    </row>
    <row r="99" spans="1:32" ht="13.5" thickTop="1" thickBot="1" x14ac:dyDescent="0.25">
      <c r="A99" s="506"/>
      <c r="B99" s="507" t="s">
        <v>92</v>
      </c>
      <c r="C99" s="802" t="s">
        <v>93</v>
      </c>
      <c r="D99" s="803"/>
      <c r="E99" s="802" t="s">
        <v>94</v>
      </c>
      <c r="F99" s="803"/>
      <c r="G99" s="804" t="s">
        <v>95</v>
      </c>
      <c r="H99" s="805"/>
      <c r="I99" s="804" t="s">
        <v>96</v>
      </c>
      <c r="J99" s="805"/>
      <c r="K99" s="804" t="s">
        <v>97</v>
      </c>
      <c r="L99" s="805"/>
      <c r="M99" s="788" t="s">
        <v>98</v>
      </c>
      <c r="N99" s="789"/>
      <c r="O99" s="788" t="s">
        <v>114</v>
      </c>
      <c r="P99" s="789"/>
      <c r="Q99" s="788" t="s">
        <v>119</v>
      </c>
      <c r="R99" s="789"/>
      <c r="S99" s="788" t="s">
        <v>132</v>
      </c>
      <c r="T99" s="789"/>
      <c r="U99" s="788" t="s">
        <v>140</v>
      </c>
      <c r="V99" s="789"/>
      <c r="W99" s="788" t="s">
        <v>142</v>
      </c>
      <c r="X99" s="789"/>
      <c r="Y99" s="788" t="s">
        <v>144</v>
      </c>
      <c r="Z99" s="789"/>
      <c r="AA99" s="506"/>
      <c r="AB99" s="823" t="s">
        <v>105</v>
      </c>
      <c r="AC99" s="824"/>
    </row>
    <row r="100" spans="1:32" ht="12" x14ac:dyDescent="0.2">
      <c r="A100" s="506"/>
      <c r="B100" s="508"/>
      <c r="C100" s="509" t="s">
        <v>69</v>
      </c>
      <c r="D100" s="510" t="s">
        <v>18</v>
      </c>
      <c r="E100" s="509" t="s">
        <v>69</v>
      </c>
      <c r="F100" s="536" t="s">
        <v>18</v>
      </c>
      <c r="G100" s="509" t="s">
        <v>69</v>
      </c>
      <c r="H100" s="510" t="s">
        <v>18</v>
      </c>
      <c r="I100" s="509" t="s">
        <v>69</v>
      </c>
      <c r="J100" s="510" t="s">
        <v>18</v>
      </c>
      <c r="K100" s="509" t="s">
        <v>69</v>
      </c>
      <c r="L100" s="510" t="s">
        <v>18</v>
      </c>
      <c r="M100" s="509" t="s">
        <v>69</v>
      </c>
      <c r="N100" s="510" t="s">
        <v>18</v>
      </c>
      <c r="O100" s="509" t="s">
        <v>69</v>
      </c>
      <c r="P100" s="510" t="s">
        <v>18</v>
      </c>
      <c r="Q100" s="622" t="s">
        <v>69</v>
      </c>
      <c r="R100" s="510" t="s">
        <v>18</v>
      </c>
      <c r="S100" s="622" t="s">
        <v>69</v>
      </c>
      <c r="T100" s="510" t="s">
        <v>18</v>
      </c>
      <c r="U100" s="622" t="s">
        <v>69</v>
      </c>
      <c r="V100" s="510" t="s">
        <v>18</v>
      </c>
      <c r="W100" s="622" t="s">
        <v>69</v>
      </c>
      <c r="X100" s="510" t="s">
        <v>18</v>
      </c>
      <c r="Y100" s="622" t="s">
        <v>69</v>
      </c>
      <c r="Z100" s="510" t="s">
        <v>18</v>
      </c>
      <c r="AA100" s="506"/>
      <c r="AB100" s="613" t="s">
        <v>69</v>
      </c>
      <c r="AC100" s="614" t="s">
        <v>18</v>
      </c>
    </row>
    <row r="101" spans="1:32" ht="12" x14ac:dyDescent="0.2">
      <c r="A101" s="506"/>
      <c r="B101" s="282" t="s">
        <v>99</v>
      </c>
      <c r="C101" s="509">
        <f>Dean_VM!C101+Anatomy_Phy!C96+Path!C95+Clincial_Sci!C95+'Veterinary Health Center'!C50</f>
        <v>37</v>
      </c>
      <c r="D101" s="537">
        <f>Dean_VM!D101+Anatomy_Phy!D96+Path!D95+Clincial_Sci!D95+'Veterinary Health Center'!D50</f>
        <v>18.5</v>
      </c>
      <c r="E101" s="509">
        <f>Dean_VM!E101+Anatomy_Phy!E96+Path!E95+Clincial_Sci!E95+'Veterinary Health Center'!E50</f>
        <v>39</v>
      </c>
      <c r="F101" s="537">
        <f>Dean_VM!F101+Anatomy_Phy!F96+Path!F95+Clincial_Sci!F95+'Veterinary Health Center'!F50</f>
        <v>19.100000000000001</v>
      </c>
      <c r="G101" s="509">
        <f>Dean_VM!G101+Anatomy_Phy!G96+Path!G95+Clincial_Sci!G95+'Veterinary Health Center'!G50</f>
        <v>36</v>
      </c>
      <c r="H101" s="537">
        <f>Dean_VM!H101+Anatomy_Phy!H96+Path!H95+Clincial_Sci!H95+'Veterinary Health Center'!H50</f>
        <v>17.100000000000001</v>
      </c>
      <c r="I101" s="509">
        <f>Dean_VM!I101+Anatomy_Phy!I96+Path!I95+Clincial_Sci!I95+'Veterinary Health Center'!I50</f>
        <v>37</v>
      </c>
      <c r="J101" s="537">
        <f>Dean_VM!J101+Anatomy_Phy!J96+Path!J95+Clincial_Sci!J95+'Veterinary Health Center'!J50</f>
        <v>18.2</v>
      </c>
      <c r="K101" s="509">
        <f>Dean_VM!K101+Anatomy_Phy!K96+Path!K95+Clincial_Sci!K95+'Veterinary Health Center'!K50</f>
        <v>45</v>
      </c>
      <c r="L101" s="537">
        <f>Dean_VM!L101+Anatomy_Phy!L96+Path!L95+Clincial_Sci!L95+'Veterinary Health Center'!L50</f>
        <v>21.950000000000003</v>
      </c>
      <c r="M101" s="509">
        <f>Dean_VM!M101+Anatomy_Phy!M96+Path!M95+Clincial_Sci!M95+'Veterinary Health Center'!M50</f>
        <v>47</v>
      </c>
      <c r="N101" s="537">
        <f>Dean_VM!N101+Anatomy_Phy!N96+Path!N95+Clincial_Sci!N95+'Veterinary Health Center'!N50</f>
        <v>23.1</v>
      </c>
      <c r="O101" s="509">
        <f>Dean_VM!O101+Anatomy_Phy!O96+Path!O95+Clincial_Sci!O95+'Veterinary Health Center'!O50</f>
        <v>46</v>
      </c>
      <c r="P101" s="537">
        <f>Dean_VM!P101+Anatomy_Phy!P96+Path!P95+Clincial_Sci!P95+'Veterinary Health Center'!P50</f>
        <v>22.9</v>
      </c>
      <c r="Q101" s="509">
        <f>Dean_VM!Q101+Anatomy_Phy!Q96+Path!Q95+Clincial_Sci!Q95+'Veterinary Health Center'!Q50</f>
        <v>39</v>
      </c>
      <c r="R101" s="537">
        <f>Dean_VM!R101+Anatomy_Phy!R96+Path!R95+Clincial_Sci!R95+'Veterinary Health Center'!R50</f>
        <v>19.25</v>
      </c>
      <c r="S101" s="622">
        <f>Dean_VM!S101+Anatomy_Phy!S96+Path!S95+Clincial_Sci!S95+'Veterinary Health Center'!S50</f>
        <v>46</v>
      </c>
      <c r="T101" s="758">
        <f>Dean_VM!T101+Anatomy_Phy!T96+Path!T95+Clincial_Sci!T95+'Veterinary Health Center'!T50</f>
        <v>22.5</v>
      </c>
      <c r="U101" s="622">
        <f>Dean_VM!U101+Anatomy_Phy!U96+Path!U95+Clincial_Sci!U95+'Veterinary Health Center'!U50</f>
        <v>40</v>
      </c>
      <c r="V101" s="758">
        <f>Dean_VM!V101+Anatomy_Phy!V96+Path!V95+Clincial_Sci!V95+'Veterinary Health Center'!V50</f>
        <v>19.7</v>
      </c>
      <c r="W101" s="622">
        <f>Dean_VM!W101+Anatomy_Phy!W96+Path!W95+Clincial_Sci!W95+'Veterinary Health Center'!W50</f>
        <v>53</v>
      </c>
      <c r="X101" s="758">
        <f>Dean_VM!X101+Anatomy_Phy!X96+Path!X95+Clincial_Sci!X95+'Veterinary Health Center'!X50</f>
        <v>23.6</v>
      </c>
      <c r="Y101" s="622">
        <f>Dean_VM!Y101+Anatomy_Phy!Y96+Path!Y95+Clincial_Sci!Y95+'Veterinary Health Center'!Y50</f>
        <v>53</v>
      </c>
      <c r="Z101" s="758">
        <f>Dean_VM!Z101+Anatomy_Phy!Z96+Path!Z95+Clincial_Sci!Z95+'Veterinary Health Center'!Z50</f>
        <v>25.900000000000002</v>
      </c>
      <c r="AA101" s="506"/>
      <c r="AB101" s="615">
        <f t="shared" ref="AB101:AB103" si="46">AVERAGE(Q101,Y101,W101,U101,S101)</f>
        <v>46.2</v>
      </c>
      <c r="AC101" s="616">
        <f t="shared" ref="AC101:AC103" si="47">AVERAGE(R101,Z101,X101,V101,T101)</f>
        <v>22.19</v>
      </c>
    </row>
    <row r="102" spans="1:32" ht="12" x14ac:dyDescent="0.2">
      <c r="A102" s="506"/>
      <c r="B102" s="282" t="s">
        <v>100</v>
      </c>
      <c r="C102" s="509">
        <f>Dean_VM!C102+Anatomy_Phy!C97+Path!C96+Clincial_Sci!C96+'Veterinary Health Center'!C51</f>
        <v>2</v>
      </c>
      <c r="D102" s="537">
        <f>Dean_VM!D102+Anatomy_Phy!D97+Path!D96+Clincial_Sci!D96+'Veterinary Health Center'!D51</f>
        <v>1</v>
      </c>
      <c r="E102" s="509">
        <f>Dean_VM!E102+Anatomy_Phy!E97+Path!E96+Clincial_Sci!E96+'Veterinary Health Center'!E51</f>
        <v>1</v>
      </c>
      <c r="F102" s="537">
        <f>Dean_VM!F102+Anatomy_Phy!F97+Path!F96+Clincial_Sci!F96+'Veterinary Health Center'!F51</f>
        <v>0.5</v>
      </c>
      <c r="G102" s="509">
        <f>Dean_VM!G102+Anatomy_Phy!G97+Path!G96+Clincial_Sci!G96+'Veterinary Health Center'!G51</f>
        <v>2</v>
      </c>
      <c r="H102" s="537">
        <f>Dean_VM!H102+Anatomy_Phy!H97+Path!H96+Clincial_Sci!H96+'Veterinary Health Center'!H51</f>
        <v>0.6</v>
      </c>
      <c r="I102" s="509">
        <f>Dean_VM!I102+Anatomy_Phy!I97+Path!I96+Clincial_Sci!I96+'Veterinary Health Center'!I51</f>
        <v>0</v>
      </c>
      <c r="J102" s="537">
        <f>Dean_VM!J102+Anatomy_Phy!J97+Path!J96+Clincial_Sci!J96+'Veterinary Health Center'!J51</f>
        <v>0</v>
      </c>
      <c r="K102" s="509">
        <f>Dean_VM!K102+Anatomy_Phy!K97+Path!K96+Clincial_Sci!K96+'Veterinary Health Center'!K51</f>
        <v>0</v>
      </c>
      <c r="L102" s="537">
        <f>Dean_VM!L102+Anatomy_Phy!L97+Path!L96+Clincial_Sci!L96+'Veterinary Health Center'!L51</f>
        <v>0</v>
      </c>
      <c r="M102" s="509">
        <f>Dean_VM!M102+Anatomy_Phy!M97+Path!M96+Clincial_Sci!M96+'Veterinary Health Center'!M51</f>
        <v>0</v>
      </c>
      <c r="N102" s="537">
        <f>Dean_VM!N102+Anatomy_Phy!N97+Path!N96+Clincial_Sci!N96+'Veterinary Health Center'!N51</f>
        <v>0</v>
      </c>
      <c r="O102" s="509">
        <f>Dean_VM!O102+Anatomy_Phy!O97+Path!O96+Clincial_Sci!O96+'Veterinary Health Center'!O51</f>
        <v>0</v>
      </c>
      <c r="P102" s="537">
        <f>Dean_VM!P102+Anatomy_Phy!P97+Path!P96+Clincial_Sci!P96+'Veterinary Health Center'!P51</f>
        <v>0</v>
      </c>
      <c r="Q102" s="509">
        <f>Dean_VM!Q102+Anatomy_Phy!Q97+Path!Q96+Clincial_Sci!Q96+'Veterinary Health Center'!Q51</f>
        <v>0</v>
      </c>
      <c r="R102" s="537">
        <f>Dean_VM!R102+Anatomy_Phy!R97+Path!R96+Clincial_Sci!R96+'Veterinary Health Center'!R51</f>
        <v>0</v>
      </c>
      <c r="S102" s="622">
        <f>Dean_VM!S102+Anatomy_Phy!S97+Path!S96+Clincial_Sci!S96+'Veterinary Health Center'!S51</f>
        <v>0</v>
      </c>
      <c r="T102" s="758">
        <f>Dean_VM!T102+Anatomy_Phy!T97+Path!T96+Clincial_Sci!T96+'Veterinary Health Center'!T51</f>
        <v>0</v>
      </c>
      <c r="U102" s="622">
        <f>Dean_VM!U102+Anatomy_Phy!U97+Path!U96+Clincial_Sci!U96+'Veterinary Health Center'!U51</f>
        <v>2</v>
      </c>
      <c r="V102" s="758">
        <f>Dean_VM!V102+Anatomy_Phy!V97+Path!V96+Clincial_Sci!V96+'Veterinary Health Center'!V51</f>
        <v>1</v>
      </c>
      <c r="W102" s="622">
        <f>Dean_VM!W102+Anatomy_Phy!W97+Path!W96+Clincial_Sci!W96+'Veterinary Health Center'!W51</f>
        <v>1</v>
      </c>
      <c r="X102" s="758">
        <f>Dean_VM!X102+Anatomy_Phy!X97+Path!X96+Clincial_Sci!X96+'Veterinary Health Center'!X51</f>
        <v>0.5</v>
      </c>
      <c r="Y102" s="622">
        <f>Dean_VM!Y102+Anatomy_Phy!Y97+Path!Y96+Clincial_Sci!Y96+'Veterinary Health Center'!Y51</f>
        <v>1</v>
      </c>
      <c r="Z102" s="758">
        <f>Dean_VM!Z102+Anatomy_Phy!Z97+Path!Z96+Clincial_Sci!Z96+'Veterinary Health Center'!Z51</f>
        <v>0.5</v>
      </c>
      <c r="AA102" s="506"/>
      <c r="AB102" s="615">
        <f t="shared" si="46"/>
        <v>0.8</v>
      </c>
      <c r="AC102" s="616">
        <f t="shared" si="47"/>
        <v>0.4</v>
      </c>
    </row>
    <row r="103" spans="1:32" thickBot="1" x14ac:dyDescent="0.25">
      <c r="A103" s="506"/>
      <c r="B103" s="290" t="s">
        <v>101</v>
      </c>
      <c r="C103" s="539">
        <f>Dean_VM!C103+Anatomy_Phy!C98+Path!C97+Clincial_Sci!C97+'Veterinary Health Center'!C52</f>
        <v>0</v>
      </c>
      <c r="D103" s="538">
        <f>Dean_VM!D103+Anatomy_Phy!D98+Path!D97+Clincial_Sci!D97+'Veterinary Health Center'!D52</f>
        <v>0</v>
      </c>
      <c r="E103" s="514">
        <f>Dean_VM!E103+Anatomy_Phy!E98+Path!E97+Clincial_Sci!E97+'Veterinary Health Center'!E52</f>
        <v>0</v>
      </c>
      <c r="F103" s="538">
        <f>Dean_VM!F103+Anatomy_Phy!F98+Path!F97+Clincial_Sci!F97+'Veterinary Health Center'!F52</f>
        <v>0</v>
      </c>
      <c r="G103" s="514">
        <f>Dean_VM!G103+Anatomy_Phy!G98+Path!G97+Clincial_Sci!G97+'Veterinary Health Center'!G52</f>
        <v>0</v>
      </c>
      <c r="H103" s="538">
        <f>Dean_VM!H103+Anatomy_Phy!H98+Path!H97+Clincial_Sci!H97+'Veterinary Health Center'!H52</f>
        <v>0</v>
      </c>
      <c r="I103" s="514">
        <f>Dean_VM!I103+Anatomy_Phy!I98+Path!I97+Clincial_Sci!I97+'Veterinary Health Center'!I52</f>
        <v>0</v>
      </c>
      <c r="J103" s="538">
        <f>Dean_VM!J103+Anatomy_Phy!J98+Path!J97+Clincial_Sci!J97+'Veterinary Health Center'!J52</f>
        <v>0</v>
      </c>
      <c r="K103" s="514">
        <f>Dean_VM!K103+Anatomy_Phy!K98+Path!K97+Clincial_Sci!K97+'Veterinary Health Center'!K52</f>
        <v>0</v>
      </c>
      <c r="L103" s="538">
        <f>Dean_VM!L103+Anatomy_Phy!L98+Path!L97+Clincial_Sci!L97+'Veterinary Health Center'!L52</f>
        <v>0</v>
      </c>
      <c r="M103" s="514">
        <f>Dean_VM!M103+Anatomy_Phy!M98+Path!M97+Clincial_Sci!M97+'Veterinary Health Center'!M52</f>
        <v>0</v>
      </c>
      <c r="N103" s="538">
        <f>Dean_VM!N103+Anatomy_Phy!N98+Path!N97+Clincial_Sci!N97+'Veterinary Health Center'!N52</f>
        <v>0</v>
      </c>
      <c r="O103" s="514">
        <f>Dean_VM!O103+Anatomy_Phy!O98+Path!O97+Clincial_Sci!O97+'Veterinary Health Center'!O52</f>
        <v>0</v>
      </c>
      <c r="P103" s="538">
        <f>Dean_VM!P103+Anatomy_Phy!P98+Path!P97+Clincial_Sci!P97+'Veterinary Health Center'!P52</f>
        <v>0</v>
      </c>
      <c r="Q103" s="514">
        <f>Dean_VM!Q103+Anatomy_Phy!Q98+Path!Q97+Clincial_Sci!Q97+'Veterinary Health Center'!Q52</f>
        <v>0</v>
      </c>
      <c r="R103" s="538">
        <f>Dean_VM!R103+Anatomy_Phy!R98+Path!R97+Clincial_Sci!R97+'Veterinary Health Center'!R52</f>
        <v>0</v>
      </c>
      <c r="S103" s="624">
        <f>Dean_VM!S103+Anatomy_Phy!S98+Path!S97+Clincial_Sci!S97+'Veterinary Health Center'!S52</f>
        <v>0</v>
      </c>
      <c r="T103" s="759">
        <f>Dean_VM!T103+Anatomy_Phy!T98+Path!T97+Clincial_Sci!T97+'Veterinary Health Center'!T52</f>
        <v>0</v>
      </c>
      <c r="U103" s="624">
        <f>Dean_VM!U103+Anatomy_Phy!U98+Path!U97+Clincial_Sci!U97+'Veterinary Health Center'!U52</f>
        <v>0</v>
      </c>
      <c r="V103" s="759">
        <f>Dean_VM!V103+Anatomy_Phy!V98+Path!V97+Clincial_Sci!V97+'Veterinary Health Center'!V52</f>
        <v>0</v>
      </c>
      <c r="W103" s="624">
        <f>Dean_VM!W103+Anatomy_Phy!W98+Path!W97+Clincial_Sci!W97+'Veterinary Health Center'!W52</f>
        <v>0</v>
      </c>
      <c r="X103" s="759">
        <f>Dean_VM!X103+Anatomy_Phy!X98+Path!X97+Clincial_Sci!X97+'Veterinary Health Center'!X52</f>
        <v>0</v>
      </c>
      <c r="Y103" s="624">
        <f>Dean_VM!Y103+Anatomy_Phy!Y98+Path!Y97+Clincial_Sci!Y97+'Veterinary Health Center'!Y52</f>
        <v>0</v>
      </c>
      <c r="Z103" s="759">
        <f>Dean_VM!Z103+Anatomy_Phy!Z98+Path!Z97+Clincial_Sci!Z97+'Veterinary Health Center'!Z52</f>
        <v>0</v>
      </c>
      <c r="AA103" s="506"/>
      <c r="AB103" s="617">
        <f t="shared" si="46"/>
        <v>0</v>
      </c>
      <c r="AC103" s="618">
        <f t="shared" si="47"/>
        <v>0</v>
      </c>
      <c r="AF103" s="26"/>
    </row>
    <row r="104" spans="1:32" thickTop="1" x14ac:dyDescent="0.2">
      <c r="C104" s="1"/>
      <c r="E104" s="1"/>
      <c r="F104" s="1"/>
      <c r="G104" s="215"/>
      <c r="H104" s="215"/>
      <c r="I104" s="215"/>
      <c r="J104" s="215"/>
    </row>
    <row r="105" spans="1:32" ht="12" x14ac:dyDescent="0.2">
      <c r="C105" s="1"/>
      <c r="E105" s="1"/>
      <c r="F105" s="1"/>
      <c r="G105" s="215"/>
      <c r="H105" s="215"/>
      <c r="I105" s="215"/>
      <c r="J105" s="215"/>
    </row>
    <row r="106" spans="1:32" ht="12" x14ac:dyDescent="0.2">
      <c r="C106" s="1"/>
      <c r="E106" s="1"/>
      <c r="F106" s="1"/>
      <c r="G106" s="215"/>
      <c r="H106" s="215"/>
      <c r="I106" s="215"/>
      <c r="J106" s="215"/>
    </row>
    <row r="107" spans="1:32" ht="12" x14ac:dyDescent="0.2">
      <c r="C107" s="1"/>
      <c r="E107" s="1"/>
      <c r="F107" s="1"/>
      <c r="G107" s="215"/>
      <c r="H107" s="215"/>
      <c r="I107" s="215"/>
      <c r="J107" s="215"/>
    </row>
    <row r="108" spans="1:32" ht="12" x14ac:dyDescent="0.2">
      <c r="C108" s="1"/>
      <c r="E108" s="1"/>
      <c r="F108" s="1"/>
      <c r="G108" s="215"/>
      <c r="H108" s="215"/>
      <c r="I108" s="215"/>
      <c r="J108" s="215"/>
    </row>
    <row r="109" spans="1:32" ht="12" x14ac:dyDescent="0.2">
      <c r="C109" s="1"/>
      <c r="E109" s="1"/>
      <c r="F109" s="1"/>
      <c r="G109" s="215"/>
      <c r="H109" s="215"/>
      <c r="I109" s="215"/>
      <c r="J109" s="215"/>
    </row>
    <row r="110" spans="1:32" ht="12" x14ac:dyDescent="0.2">
      <c r="C110" s="1"/>
      <c r="E110" s="1"/>
      <c r="F110" s="1"/>
      <c r="G110" s="215"/>
      <c r="H110" s="215"/>
      <c r="I110" s="215"/>
      <c r="J110" s="215"/>
    </row>
    <row r="111" spans="1:32" ht="12" x14ac:dyDescent="0.2">
      <c r="C111" s="1"/>
      <c r="E111" s="1"/>
      <c r="F111" s="1"/>
      <c r="G111" s="215"/>
      <c r="H111" s="215"/>
      <c r="I111" s="215"/>
      <c r="J111" s="215"/>
    </row>
    <row r="112" spans="1:32" ht="12" x14ac:dyDescent="0.2">
      <c r="C112" s="1"/>
      <c r="E112" s="1"/>
      <c r="F112" s="1"/>
      <c r="G112" s="215"/>
      <c r="H112" s="215"/>
      <c r="I112" s="215"/>
      <c r="J112" s="215"/>
    </row>
    <row r="113" spans="3:10" ht="4.5" customHeight="1" x14ac:dyDescent="0.2">
      <c r="C113" s="1"/>
      <c r="E113" s="1"/>
      <c r="F113" s="1"/>
      <c r="G113" s="215"/>
      <c r="H113" s="215"/>
      <c r="I113" s="215"/>
      <c r="J113" s="215"/>
    </row>
    <row r="114" spans="3:10" hidden="1" x14ac:dyDescent="0.2"/>
  </sheetData>
  <mergeCells count="92">
    <mergeCell ref="Y69:Z69"/>
    <mergeCell ref="Y99:Z99"/>
    <mergeCell ref="AB28:AC28"/>
    <mergeCell ref="AB99:AC99"/>
    <mergeCell ref="W99:X99"/>
    <mergeCell ref="W69:X69"/>
    <mergeCell ref="W5:X5"/>
    <mergeCell ref="W17:X17"/>
    <mergeCell ref="W25:X25"/>
    <mergeCell ref="W28:X28"/>
    <mergeCell ref="W32:X32"/>
    <mergeCell ref="AB5:AC5"/>
    <mergeCell ref="AB17:AC17"/>
    <mergeCell ref="AB32:AC32"/>
    <mergeCell ref="Y5:Z5"/>
    <mergeCell ref="Y17:Z17"/>
    <mergeCell ref="Y25:Z25"/>
    <mergeCell ref="Y28:Z28"/>
    <mergeCell ref="Y32:Z32"/>
    <mergeCell ref="U32:V32"/>
    <mergeCell ref="AB69:AC69"/>
    <mergeCell ref="M99:N99"/>
    <mergeCell ref="S5:T5"/>
    <mergeCell ref="U5:V5"/>
    <mergeCell ref="U17:V17"/>
    <mergeCell ref="U25:V25"/>
    <mergeCell ref="U28:V28"/>
    <mergeCell ref="S17:T17"/>
    <mergeCell ref="S25:T25"/>
    <mergeCell ref="O17:P17"/>
    <mergeCell ref="O25:P25"/>
    <mergeCell ref="O32:P32"/>
    <mergeCell ref="O5:P5"/>
    <mergeCell ref="Q5:R5"/>
    <mergeCell ref="U69:V69"/>
    <mergeCell ref="U99:V99"/>
    <mergeCell ref="I69:J69"/>
    <mergeCell ref="Q99:R99"/>
    <mergeCell ref="Q28:R28"/>
    <mergeCell ref="Q32:R32"/>
    <mergeCell ref="S99:T99"/>
    <mergeCell ref="S28:T28"/>
    <mergeCell ref="S32:T32"/>
    <mergeCell ref="S69:T69"/>
    <mergeCell ref="O69:P69"/>
    <mergeCell ref="O99:P99"/>
    <mergeCell ref="K28:L28"/>
    <mergeCell ref="M32:N32"/>
    <mergeCell ref="M69:N69"/>
    <mergeCell ref="I99:J99"/>
    <mergeCell ref="O28:P28"/>
    <mergeCell ref="K99:L99"/>
    <mergeCell ref="I32:J32"/>
    <mergeCell ref="I28:J28"/>
    <mergeCell ref="I25:J25"/>
    <mergeCell ref="G25:H25"/>
    <mergeCell ref="G17:H17"/>
    <mergeCell ref="G32:H32"/>
    <mergeCell ref="G27:H27"/>
    <mergeCell ref="G28:H28"/>
    <mergeCell ref="I26:J26"/>
    <mergeCell ref="G26:H26"/>
    <mergeCell ref="I17:J17"/>
    <mergeCell ref="I27:J27"/>
    <mergeCell ref="C32:D32"/>
    <mergeCell ref="C17:D17"/>
    <mergeCell ref="E32:F32"/>
    <mergeCell ref="E26:F26"/>
    <mergeCell ref="C25:D25"/>
    <mergeCell ref="E28:F28"/>
    <mergeCell ref="C28:D28"/>
    <mergeCell ref="C27:D27"/>
    <mergeCell ref="E27:F27"/>
    <mergeCell ref="E17:F17"/>
    <mergeCell ref="C26:D26"/>
    <mergeCell ref="E25:F25"/>
    <mergeCell ref="C69:D69"/>
    <mergeCell ref="E69:F69"/>
    <mergeCell ref="C99:D99"/>
    <mergeCell ref="E99:F99"/>
    <mergeCell ref="G99:H99"/>
    <mergeCell ref="G69:H69"/>
    <mergeCell ref="M25:N25"/>
    <mergeCell ref="M28:N28"/>
    <mergeCell ref="K17:L17"/>
    <mergeCell ref="Q69:R69"/>
    <mergeCell ref="M17:N17"/>
    <mergeCell ref="Q17:R17"/>
    <mergeCell ref="Q25:R25"/>
    <mergeCell ref="K25:L25"/>
    <mergeCell ref="K69:L69"/>
    <mergeCell ref="K32:L32"/>
  </mergeCells>
  <phoneticPr fontId="0" type="noConversion"/>
  <printOptions horizontalCentered="1"/>
  <pageMargins left="0.5" right="0.5" top="0.5" bottom="0.5" header="0.5" footer="0.5"/>
  <pageSetup scale="60" fitToHeight="0" orientation="landscape" r:id="rId1"/>
  <headerFooter alignWithMargins="0">
    <oddFooter>&amp;R&amp;P of &amp;N
&amp;D</oddFooter>
  </headerFooter>
  <rowBreaks count="1" manualBreakCount="1">
    <brk id="65" max="25" man="1"/>
  </rowBreaks>
  <ignoredErrors>
    <ignoredError sqref="I98:K98 I79:O79 I86:I97 K86:K97 I80:I84 K80:K84 M98 M86:M97 M80:M84 O98 O86:O97 O80:O84 Q79:Q98 S79:S98 U79:U98 W79:Y98" formula="1"/>
    <ignoredError sqref="T79:T98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Dean_VM</vt:lpstr>
      <vt:lpstr>Anatomy_Phy</vt:lpstr>
      <vt:lpstr>Path</vt:lpstr>
      <vt:lpstr>Clincial_Sci</vt:lpstr>
      <vt:lpstr>Veterinary Health Center</vt:lpstr>
      <vt:lpstr>Vet Med Summary</vt:lpstr>
      <vt:lpstr>Anatomy_Phy!Print_Area</vt:lpstr>
      <vt:lpstr>Clincial_Sci!Print_Area</vt:lpstr>
      <vt:lpstr>Dean_VM!Print_Area</vt:lpstr>
      <vt:lpstr>Path!Print_Area</vt:lpstr>
      <vt:lpstr>'Vet Med Summary'!Print_Area</vt:lpstr>
      <vt:lpstr>'Veterinary Health Center'!Print_Area</vt:lpstr>
      <vt:lpstr>Anatomy_Phy!Print_Titles</vt:lpstr>
      <vt:lpstr>Clincial_Sci!Print_Titles</vt:lpstr>
      <vt:lpstr>Dean_VM!Print_Titles</vt:lpstr>
      <vt:lpstr>Path!Print_Titles</vt:lpstr>
      <vt:lpstr>'Vet Med Summary'!Print_Titles</vt:lpstr>
      <vt:lpstr>'Veterinary Health Center'!Print_Titles</vt:lpstr>
    </vt:vector>
  </TitlesOfParts>
  <Company>Computing &amp; Network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 Cox</dc:creator>
  <cp:lastModifiedBy>NancyBaker</cp:lastModifiedBy>
  <cp:lastPrinted>2014-12-18T14:36:03Z</cp:lastPrinted>
  <dcterms:created xsi:type="dcterms:W3CDTF">1998-07-17T17:21:28Z</dcterms:created>
  <dcterms:modified xsi:type="dcterms:W3CDTF">2014-12-18T20:23:33Z</dcterms:modified>
</cp:coreProperties>
</file>