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767" firstSheet="4" activeTab="4"/>
  </bookViews>
  <sheets>
    <sheet name="Dean's Office " sheetId="34" state="hidden" r:id="rId1"/>
    <sheet name="Anatomy and Physiology" sheetId="31" state="hidden" r:id="rId2"/>
    <sheet name="Diagnostic Med Pathobiology" sheetId="32" state="hidden" r:id="rId3"/>
    <sheet name="Clinical Sciences" sheetId="33" state="hidden" r:id="rId4"/>
    <sheet name="Vet Med Summary" sheetId="25" r:id="rId5"/>
  </sheets>
  <definedNames>
    <definedName name="_xlnm.Print_Area" localSheetId="1">'Anatomy and Physiology'!$A$9:$X$65</definedName>
    <definedName name="_xlnm.Print_Area" localSheetId="3">'Clinical Sciences'!$A$2:$X$61</definedName>
    <definedName name="_xlnm.Print_Area" localSheetId="0">'Dean''s Office '!$A$8:$X$67</definedName>
    <definedName name="_xlnm.Print_Area" localSheetId="2">'Diagnostic Med Pathobiology'!$A$9:$X$65</definedName>
    <definedName name="_xlnm.Print_Area" localSheetId="4">'Vet Med Summary'!$A$1:$U$63</definedName>
    <definedName name="_xlnm.Print_Titles" localSheetId="1">'Anatomy and Physiology'!$A:$A,'Anatomy and Physiology'!$1:$7</definedName>
    <definedName name="_xlnm.Print_Titles" localSheetId="3">'Clinical Sciences'!$A:$A,'Clinical Sciences'!$1:$8</definedName>
    <definedName name="_xlnm.Print_Titles" localSheetId="0">'Dean''s Office '!$A:$A,'Dean''s Office '!$1:$7</definedName>
    <definedName name="_xlnm.Print_Titles" localSheetId="2">'Diagnostic Med Pathobiology'!$A:$A,'Diagnostic Med Pathobiology'!$1:$7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25" l="1"/>
  <c r="T6" i="34"/>
  <c r="F12" i="25" l="1"/>
  <c r="G12" i="25"/>
  <c r="H12" i="25"/>
  <c r="I12" i="25"/>
  <c r="J12" i="25"/>
  <c r="K12" i="25"/>
  <c r="L12" i="25"/>
  <c r="M12" i="25"/>
  <c r="N12" i="25"/>
  <c r="O12" i="25"/>
  <c r="P12" i="25"/>
  <c r="Q12" i="25"/>
  <c r="S12" i="25"/>
  <c r="D12" i="25"/>
  <c r="E12" i="25"/>
  <c r="R12" i="25"/>
  <c r="B12" i="25"/>
  <c r="B11" i="25"/>
  <c r="C11" i="25"/>
  <c r="C12" i="25"/>
  <c r="B13" i="25"/>
  <c r="C13" i="25"/>
  <c r="B14" i="25"/>
  <c r="C14" i="25"/>
  <c r="C18" i="25"/>
  <c r="C19" i="25"/>
  <c r="C20" i="25"/>
  <c r="C22" i="25" s="1"/>
  <c r="C21" i="25"/>
  <c r="C31" i="25"/>
  <c r="C32" i="25"/>
  <c r="C33" i="25"/>
  <c r="C36" i="25"/>
  <c r="C37" i="25"/>
  <c r="C38" i="25"/>
  <c r="C41" i="25" s="1"/>
  <c r="C39" i="25"/>
  <c r="C40" i="25"/>
  <c r="B44" i="25"/>
  <c r="C44" i="25"/>
  <c r="B45" i="25"/>
  <c r="C45" i="25" s="1"/>
  <c r="B46" i="25"/>
  <c r="C46" i="25"/>
  <c r="B47" i="25"/>
  <c r="C47" i="25"/>
  <c r="B48" i="25"/>
  <c r="C48" i="25"/>
  <c r="B49" i="25"/>
  <c r="C49" i="25" s="1"/>
  <c r="B50" i="25"/>
  <c r="C50" i="25"/>
  <c r="B51" i="25"/>
  <c r="C51" i="25"/>
  <c r="B53" i="25"/>
  <c r="C53" i="25"/>
  <c r="B54" i="25"/>
  <c r="C54" i="25" s="1"/>
  <c r="B56" i="25"/>
  <c r="C56" i="25"/>
  <c r="B57" i="25"/>
  <c r="C57" i="25"/>
  <c r="B58" i="25"/>
  <c r="C58" i="25"/>
  <c r="B60" i="25"/>
  <c r="C60" i="25" s="1"/>
  <c r="B61" i="25"/>
  <c r="C61" i="25"/>
  <c r="B62" i="25"/>
  <c r="C62" i="25"/>
  <c r="B63" i="25"/>
  <c r="C63" i="25"/>
  <c r="X16" i="33"/>
  <c r="X14" i="33"/>
  <c r="X13" i="33"/>
  <c r="X29" i="33"/>
  <c r="W60" i="33"/>
  <c r="W59" i="33"/>
  <c r="W58" i="33"/>
  <c r="W57" i="33"/>
  <c r="W55" i="33"/>
  <c r="W54" i="33"/>
  <c r="W53" i="33"/>
  <c r="W51" i="33"/>
  <c r="W50" i="33"/>
  <c r="W48" i="33"/>
  <c r="W47" i="33"/>
  <c r="W46" i="33"/>
  <c r="W45" i="33"/>
  <c r="W44" i="33"/>
  <c r="W43" i="33"/>
  <c r="W42" i="33"/>
  <c r="W41" i="33"/>
  <c r="X38" i="33"/>
  <c r="W38" i="33"/>
  <c r="X37" i="33"/>
  <c r="W37" i="33"/>
  <c r="X35" i="33"/>
  <c r="W35" i="33"/>
  <c r="X34" i="33"/>
  <c r="W34" i="33"/>
  <c r="X30" i="33"/>
  <c r="X65" i="32"/>
  <c r="W65" i="32"/>
  <c r="X64" i="32"/>
  <c r="W64" i="32"/>
  <c r="X63" i="32"/>
  <c r="W63" i="32"/>
  <c r="X62" i="32"/>
  <c r="W62" i="32"/>
  <c r="X60" i="32"/>
  <c r="W60" i="32"/>
  <c r="X59" i="32"/>
  <c r="W59" i="32"/>
  <c r="X58" i="32"/>
  <c r="W58" i="32"/>
  <c r="X56" i="32"/>
  <c r="W56" i="32"/>
  <c r="X55" i="32"/>
  <c r="W55" i="32"/>
  <c r="X53" i="32"/>
  <c r="W53" i="32"/>
  <c r="X52" i="32"/>
  <c r="W52" i="32"/>
  <c r="X51" i="32"/>
  <c r="W51" i="32"/>
  <c r="X50" i="32"/>
  <c r="W50" i="32"/>
  <c r="X49" i="32"/>
  <c r="W49" i="32"/>
  <c r="X48" i="32"/>
  <c r="W48" i="32"/>
  <c r="X47" i="32"/>
  <c r="W47" i="32"/>
  <c r="X46" i="32"/>
  <c r="W46" i="32"/>
  <c r="X44" i="32"/>
  <c r="W44" i="32"/>
  <c r="X43" i="32"/>
  <c r="W43" i="32"/>
  <c r="X42" i="32"/>
  <c r="W42" i="32"/>
  <c r="X40" i="32"/>
  <c r="W40" i="32"/>
  <c r="X39" i="32"/>
  <c r="W39" i="32"/>
  <c r="X36" i="32"/>
  <c r="X35" i="32"/>
  <c r="X34" i="32"/>
  <c r="W29" i="32"/>
  <c r="X25" i="32"/>
  <c r="X22" i="32"/>
  <c r="X21" i="32"/>
  <c r="X20" i="32"/>
  <c r="X19" i="32"/>
  <c r="X18" i="32"/>
  <c r="X14" i="32"/>
  <c r="X65" i="31"/>
  <c r="W65" i="31"/>
  <c r="X64" i="31"/>
  <c r="W64" i="31"/>
  <c r="X63" i="31"/>
  <c r="W63" i="31"/>
  <c r="X62" i="31"/>
  <c r="W62" i="31"/>
  <c r="X60" i="31"/>
  <c r="W60" i="31"/>
  <c r="X59" i="31"/>
  <c r="W59" i="31"/>
  <c r="X58" i="31"/>
  <c r="W58" i="31"/>
  <c r="X56" i="31"/>
  <c r="W56" i="31"/>
  <c r="X55" i="31"/>
  <c r="W55" i="31"/>
  <c r="X53" i="31"/>
  <c r="W53" i="31"/>
  <c r="X52" i="31"/>
  <c r="W52" i="31"/>
  <c r="X51" i="31"/>
  <c r="W51" i="31"/>
  <c r="X50" i="31"/>
  <c r="W50" i="31"/>
  <c r="X49" i="31"/>
  <c r="W49" i="31"/>
  <c r="X48" i="31"/>
  <c r="W48" i="31"/>
  <c r="X47" i="31"/>
  <c r="W47" i="31"/>
  <c r="X46" i="31"/>
  <c r="W46" i="31"/>
  <c r="X44" i="31"/>
  <c r="W44" i="31"/>
  <c r="X43" i="31"/>
  <c r="W43" i="31"/>
  <c r="X42" i="31"/>
  <c r="W42" i="31"/>
  <c r="X40" i="31"/>
  <c r="W40" i="31"/>
  <c r="X39" i="31"/>
  <c r="W39" i="31"/>
  <c r="X36" i="31"/>
  <c r="X35" i="31"/>
  <c r="X34" i="31"/>
  <c r="W29" i="31"/>
  <c r="X25" i="31"/>
  <c r="X22" i="31"/>
  <c r="X21" i="31"/>
  <c r="X20" i="31"/>
  <c r="X13" i="31"/>
  <c r="X42" i="34"/>
  <c r="W39" i="34"/>
  <c r="W32" i="34"/>
  <c r="X28" i="34"/>
  <c r="X25" i="34"/>
  <c r="X23" i="34"/>
  <c r="X19" i="34"/>
  <c r="X18" i="34"/>
  <c r="X16" i="34"/>
  <c r="X12" i="34"/>
  <c r="W12" i="34"/>
  <c r="X26" i="32" l="1"/>
  <c r="W14" i="32"/>
  <c r="X26" i="31"/>
  <c r="X16" i="31"/>
  <c r="W13" i="31"/>
  <c r="X29" i="34"/>
  <c r="W33" i="34"/>
  <c r="W19" i="34"/>
  <c r="W18" i="34"/>
  <c r="W16" i="34"/>
  <c r="W14" i="34"/>
  <c r="X66" i="34" l="1"/>
  <c r="W66" i="34"/>
  <c r="X65" i="34"/>
  <c r="W65" i="34"/>
  <c r="X64" i="34"/>
  <c r="W64" i="34"/>
  <c r="X63" i="34"/>
  <c r="W63" i="34"/>
  <c r="X61" i="34"/>
  <c r="W61" i="34"/>
  <c r="X60" i="34"/>
  <c r="W60" i="34"/>
  <c r="X59" i="34"/>
  <c r="W59" i="34"/>
  <c r="X57" i="34"/>
  <c r="W57" i="34"/>
  <c r="X56" i="34"/>
  <c r="W56" i="34"/>
  <c r="X54" i="34"/>
  <c r="W54" i="34"/>
  <c r="X53" i="34"/>
  <c r="W53" i="34"/>
  <c r="X52" i="34"/>
  <c r="W52" i="34"/>
  <c r="X51" i="34"/>
  <c r="W51" i="34"/>
  <c r="X50" i="34"/>
  <c r="W50" i="34"/>
  <c r="X49" i="34"/>
  <c r="W49" i="34"/>
  <c r="X48" i="34"/>
  <c r="W48" i="34"/>
  <c r="X47" i="34"/>
  <c r="W47" i="34"/>
  <c r="X43" i="34"/>
  <c r="W43" i="34"/>
  <c r="W42" i="34"/>
  <c r="X40" i="34"/>
  <c r="W40" i="34"/>
  <c r="X39" i="34"/>
  <c r="T63" i="25" l="1"/>
  <c r="T62" i="25"/>
  <c r="T61" i="25"/>
  <c r="T60" i="25"/>
  <c r="T58" i="25"/>
  <c r="T57" i="25"/>
  <c r="T56" i="25"/>
  <c r="T54" i="25"/>
  <c r="T53" i="25"/>
  <c r="T51" i="25"/>
  <c r="T50" i="25"/>
  <c r="T49" i="25"/>
  <c r="T48" i="25"/>
  <c r="T47" i="25"/>
  <c r="T46" i="25"/>
  <c r="T45" i="25"/>
  <c r="T44" i="25"/>
  <c r="U40" i="25"/>
  <c r="T40" i="25"/>
  <c r="U39" i="25"/>
  <c r="T39" i="25"/>
  <c r="U38" i="25"/>
  <c r="T38" i="25"/>
  <c r="U37" i="25"/>
  <c r="T37" i="25"/>
  <c r="U36" i="25"/>
  <c r="T36" i="25"/>
  <c r="U33" i="25"/>
  <c r="U32" i="25"/>
  <c r="U31" i="25"/>
  <c r="T26" i="25"/>
  <c r="T25" i="25"/>
  <c r="T14" i="25"/>
  <c r="T13" i="25"/>
  <c r="T11" i="25"/>
  <c r="U39" i="33"/>
  <c r="U60" i="33" s="1"/>
  <c r="T39" i="33"/>
  <c r="U16" i="33"/>
  <c r="U44" i="32"/>
  <c r="U65" i="32" s="1"/>
  <c r="T44" i="32"/>
  <c r="U29" i="32"/>
  <c r="T27" i="32"/>
  <c r="U22" i="32"/>
  <c r="U44" i="31"/>
  <c r="U65" i="31" s="1"/>
  <c r="T44" i="31"/>
  <c r="U29" i="31"/>
  <c r="T27" i="31"/>
  <c r="U22" i="31"/>
  <c r="U44" i="34"/>
  <c r="U66" i="34" s="1"/>
  <c r="T44" i="34"/>
  <c r="U33" i="34"/>
  <c r="U32" i="34"/>
  <c r="T30" i="34"/>
  <c r="U25" i="34"/>
  <c r="T41" i="25" l="1"/>
  <c r="U41" i="25"/>
  <c r="U25" i="25"/>
  <c r="U26" i="25"/>
  <c r="U46" i="31"/>
  <c r="U42" i="33"/>
  <c r="U44" i="33"/>
  <c r="U46" i="33"/>
  <c r="U48" i="33"/>
  <c r="U51" i="33"/>
  <c r="U54" i="33"/>
  <c r="U57" i="33"/>
  <c r="U59" i="33"/>
  <c r="U41" i="33"/>
  <c r="U43" i="33"/>
  <c r="U45" i="33"/>
  <c r="U47" i="33"/>
  <c r="U50" i="33"/>
  <c r="U53" i="33"/>
  <c r="U55" i="33"/>
  <c r="U58" i="33"/>
  <c r="U47" i="32"/>
  <c r="U49" i="32"/>
  <c r="U51" i="32"/>
  <c r="U53" i="32"/>
  <c r="U55" i="32"/>
  <c r="U56" i="32"/>
  <c r="U59" i="32"/>
  <c r="U62" i="32"/>
  <c r="U64" i="32"/>
  <c r="U46" i="32"/>
  <c r="U48" i="32"/>
  <c r="U50" i="32"/>
  <c r="U52" i="32"/>
  <c r="U58" i="32"/>
  <c r="U60" i="32"/>
  <c r="U63" i="32"/>
  <c r="U47" i="31"/>
  <c r="U49" i="31"/>
  <c r="U51" i="31"/>
  <c r="U53" i="31"/>
  <c r="U56" i="31"/>
  <c r="U59" i="31"/>
  <c r="U62" i="31"/>
  <c r="U64" i="31"/>
  <c r="U48" i="31"/>
  <c r="U50" i="31"/>
  <c r="U52" i="31"/>
  <c r="U55" i="31"/>
  <c r="U58" i="31"/>
  <c r="U60" i="31"/>
  <c r="U63" i="31"/>
  <c r="U48" i="34"/>
  <c r="U50" i="34"/>
  <c r="U52" i="34"/>
  <c r="U54" i="34"/>
  <c r="U57" i="34"/>
  <c r="U60" i="34"/>
  <c r="U63" i="34"/>
  <c r="U65" i="34"/>
  <c r="U47" i="34"/>
  <c r="U49" i="34"/>
  <c r="U51" i="34"/>
  <c r="U53" i="34"/>
  <c r="U56" i="34"/>
  <c r="U59" i="34"/>
  <c r="U61" i="34"/>
  <c r="U64" i="34"/>
  <c r="R13" i="25"/>
  <c r="P13" i="25"/>
  <c r="N13" i="25"/>
  <c r="L13" i="25"/>
  <c r="J13" i="25"/>
  <c r="H13" i="25"/>
  <c r="R63" i="25" l="1"/>
  <c r="R62" i="25"/>
  <c r="R61" i="25"/>
  <c r="R60" i="25"/>
  <c r="R58" i="25"/>
  <c r="R57" i="25"/>
  <c r="R56" i="25"/>
  <c r="R54" i="25"/>
  <c r="R53" i="25"/>
  <c r="R51" i="25"/>
  <c r="R50" i="25"/>
  <c r="R49" i="25"/>
  <c r="R48" i="25"/>
  <c r="R47" i="25"/>
  <c r="R46" i="25"/>
  <c r="R45" i="25"/>
  <c r="R44" i="25"/>
  <c r="P63" i="25"/>
  <c r="P62" i="25"/>
  <c r="P61" i="25"/>
  <c r="P60" i="25"/>
  <c r="P58" i="25"/>
  <c r="P57" i="25"/>
  <c r="P56" i="25"/>
  <c r="P54" i="25"/>
  <c r="P53" i="25"/>
  <c r="P51" i="25"/>
  <c r="P50" i="25"/>
  <c r="P49" i="25"/>
  <c r="P48" i="25"/>
  <c r="P47" i="25"/>
  <c r="P46" i="25"/>
  <c r="P45" i="25"/>
  <c r="P44" i="25"/>
  <c r="N63" i="25"/>
  <c r="N62" i="25"/>
  <c r="N61" i="25"/>
  <c r="N60" i="25"/>
  <c r="N58" i="25"/>
  <c r="N57" i="25"/>
  <c r="N56" i="25"/>
  <c r="N54" i="25"/>
  <c r="N53" i="25"/>
  <c r="N51" i="25"/>
  <c r="N50" i="25"/>
  <c r="N49" i="25"/>
  <c r="N48" i="25"/>
  <c r="N47" i="25"/>
  <c r="N46" i="25"/>
  <c r="N45" i="25"/>
  <c r="N44" i="25"/>
  <c r="L63" i="25"/>
  <c r="L62" i="25"/>
  <c r="L61" i="25"/>
  <c r="L60" i="25"/>
  <c r="L58" i="25"/>
  <c r="L57" i="25"/>
  <c r="L56" i="25"/>
  <c r="L54" i="25"/>
  <c r="L53" i="25"/>
  <c r="L51" i="25"/>
  <c r="L50" i="25"/>
  <c r="L49" i="25"/>
  <c r="L48" i="25"/>
  <c r="L47" i="25"/>
  <c r="L46" i="25"/>
  <c r="L45" i="25"/>
  <c r="L44" i="25"/>
  <c r="H63" i="25"/>
  <c r="H62" i="25"/>
  <c r="H61" i="25"/>
  <c r="H60" i="25"/>
  <c r="H58" i="25"/>
  <c r="H57" i="25"/>
  <c r="H56" i="25"/>
  <c r="H54" i="25"/>
  <c r="H53" i="25"/>
  <c r="H51" i="25"/>
  <c r="H50" i="25"/>
  <c r="H49" i="25"/>
  <c r="H48" i="25"/>
  <c r="H47" i="25"/>
  <c r="H46" i="25"/>
  <c r="H45" i="25"/>
  <c r="H44" i="25"/>
  <c r="F63" i="25"/>
  <c r="F62" i="25"/>
  <c r="F61" i="25"/>
  <c r="F60" i="25"/>
  <c r="F58" i="25"/>
  <c r="F57" i="25"/>
  <c r="F56" i="25"/>
  <c r="F54" i="25"/>
  <c r="F53" i="25"/>
  <c r="F51" i="25"/>
  <c r="F50" i="25"/>
  <c r="F49" i="25"/>
  <c r="F48" i="25"/>
  <c r="F47" i="25"/>
  <c r="F46" i="25"/>
  <c r="F45" i="25"/>
  <c r="F44" i="25"/>
  <c r="D63" i="25"/>
  <c r="D45" i="25"/>
  <c r="D46" i="25"/>
  <c r="D47" i="25"/>
  <c r="D48" i="25"/>
  <c r="D49" i="25"/>
  <c r="D50" i="25"/>
  <c r="D51" i="25"/>
  <c r="D53" i="25"/>
  <c r="D54" i="25"/>
  <c r="D56" i="25"/>
  <c r="D57" i="25"/>
  <c r="D58" i="25"/>
  <c r="D60" i="25"/>
  <c r="D61" i="25"/>
  <c r="D62" i="25"/>
  <c r="D44" i="25"/>
  <c r="E36" i="25"/>
  <c r="G36" i="25"/>
  <c r="I36" i="25"/>
  <c r="J36" i="25"/>
  <c r="K36" i="25"/>
  <c r="L36" i="25"/>
  <c r="M36" i="25"/>
  <c r="N36" i="25"/>
  <c r="O36" i="25"/>
  <c r="P36" i="25"/>
  <c r="Q36" i="25"/>
  <c r="R36" i="25"/>
  <c r="S36" i="25"/>
  <c r="E37" i="25"/>
  <c r="G37" i="25"/>
  <c r="I37" i="25"/>
  <c r="J37" i="25"/>
  <c r="K37" i="25"/>
  <c r="L37" i="25"/>
  <c r="M37" i="25"/>
  <c r="N37" i="25"/>
  <c r="O37" i="25"/>
  <c r="P37" i="25"/>
  <c r="Q37" i="25"/>
  <c r="R37" i="25"/>
  <c r="S37" i="25"/>
  <c r="E38" i="25"/>
  <c r="G38" i="25"/>
  <c r="I38" i="25"/>
  <c r="J38" i="25"/>
  <c r="K38" i="25"/>
  <c r="L38" i="25"/>
  <c r="M38" i="25"/>
  <c r="N38" i="25"/>
  <c r="O38" i="25"/>
  <c r="P38" i="25"/>
  <c r="Q38" i="25"/>
  <c r="R38" i="25"/>
  <c r="S38" i="25"/>
  <c r="E39" i="25"/>
  <c r="G39" i="25"/>
  <c r="I39" i="25"/>
  <c r="J39" i="25"/>
  <c r="K39" i="25"/>
  <c r="L39" i="25"/>
  <c r="M39" i="25"/>
  <c r="N39" i="25"/>
  <c r="O39" i="25"/>
  <c r="P39" i="25"/>
  <c r="Q39" i="25"/>
  <c r="R39" i="25"/>
  <c r="S39" i="25"/>
  <c r="E40" i="25"/>
  <c r="G40" i="25"/>
  <c r="I40" i="25"/>
  <c r="J40" i="25"/>
  <c r="K40" i="25"/>
  <c r="L40" i="25"/>
  <c r="M40" i="25"/>
  <c r="N40" i="25"/>
  <c r="O40" i="25"/>
  <c r="P40" i="25"/>
  <c r="Q40" i="25"/>
  <c r="R40" i="25"/>
  <c r="S40" i="25"/>
  <c r="G31" i="25"/>
  <c r="I31" i="25"/>
  <c r="K31" i="25"/>
  <c r="M31" i="25"/>
  <c r="O31" i="25"/>
  <c r="Q31" i="25"/>
  <c r="S31" i="25"/>
  <c r="G32" i="25"/>
  <c r="I32" i="25"/>
  <c r="K32" i="25"/>
  <c r="M32" i="25"/>
  <c r="O32" i="25"/>
  <c r="Q32" i="25"/>
  <c r="S32" i="25"/>
  <c r="G33" i="25"/>
  <c r="I33" i="25"/>
  <c r="M33" i="25"/>
  <c r="O33" i="25"/>
  <c r="Q33" i="25"/>
  <c r="E32" i="25"/>
  <c r="E31" i="25"/>
  <c r="R25" i="25"/>
  <c r="P25" i="25"/>
  <c r="N25" i="25"/>
  <c r="L25" i="25"/>
  <c r="J25" i="25"/>
  <c r="H25" i="25"/>
  <c r="R26" i="25"/>
  <c r="P26" i="25"/>
  <c r="N26" i="25"/>
  <c r="L26" i="25"/>
  <c r="J26" i="25"/>
  <c r="H26" i="25"/>
  <c r="D13" i="25"/>
  <c r="G18" i="25"/>
  <c r="I18" i="25"/>
  <c r="K18" i="25"/>
  <c r="M18" i="25"/>
  <c r="O18" i="25"/>
  <c r="Q18" i="25"/>
  <c r="S18" i="25"/>
  <c r="G19" i="25"/>
  <c r="I19" i="25"/>
  <c r="K19" i="25"/>
  <c r="M19" i="25"/>
  <c r="O19" i="25"/>
  <c r="Q19" i="25"/>
  <c r="S19" i="25"/>
  <c r="G20" i="25"/>
  <c r="I20" i="25"/>
  <c r="K20" i="25"/>
  <c r="M20" i="25"/>
  <c r="O20" i="25"/>
  <c r="Q20" i="25"/>
  <c r="S20" i="25"/>
  <c r="G21" i="25"/>
  <c r="I21" i="25"/>
  <c r="K21" i="25"/>
  <c r="M21" i="25"/>
  <c r="O21" i="25"/>
  <c r="Q21" i="25"/>
  <c r="S21" i="25"/>
  <c r="E19" i="25"/>
  <c r="E20" i="25"/>
  <c r="E21" i="25"/>
  <c r="E18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E13" i="25"/>
  <c r="F13" i="25"/>
  <c r="G13" i="25"/>
  <c r="I13" i="25"/>
  <c r="K13" i="25"/>
  <c r="M13" i="25"/>
  <c r="O13" i="25"/>
  <c r="Q13" i="25"/>
  <c r="S13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D11" i="25"/>
  <c r="D14" i="25"/>
  <c r="S41" i="25" l="1"/>
  <c r="R41" i="25"/>
  <c r="Q41" i="25"/>
  <c r="Q63" i="25" s="1"/>
  <c r="P41" i="25"/>
  <c r="O41" i="25"/>
  <c r="O63" i="25" s="1"/>
  <c r="N41" i="25"/>
  <c r="M41" i="25"/>
  <c r="M63" i="25" s="1"/>
  <c r="L41" i="25"/>
  <c r="K41" i="25"/>
  <c r="J41" i="25"/>
  <c r="I41" i="25"/>
  <c r="I63" i="25" s="1"/>
  <c r="G41" i="25"/>
  <c r="G63" i="25" s="1"/>
  <c r="E41" i="25"/>
  <c r="E63" i="25" s="1"/>
  <c r="S26" i="25"/>
  <c r="Q26" i="25"/>
  <c r="O26" i="25"/>
  <c r="M26" i="25"/>
  <c r="K26" i="25"/>
  <c r="I26" i="25"/>
  <c r="S25" i="25"/>
  <c r="Q25" i="25"/>
  <c r="O25" i="25"/>
  <c r="M25" i="25"/>
  <c r="K25" i="25"/>
  <c r="I25" i="25"/>
  <c r="S22" i="25"/>
  <c r="Q22" i="25"/>
  <c r="O22" i="25"/>
  <c r="M22" i="25"/>
  <c r="K22" i="25"/>
  <c r="I22" i="25"/>
  <c r="G22" i="25"/>
  <c r="E22" i="25"/>
  <c r="S63" i="25" l="1"/>
  <c r="U48" i="25"/>
  <c r="U44" i="25"/>
  <c r="U57" i="25"/>
  <c r="U58" i="25"/>
  <c r="U53" i="25"/>
  <c r="U49" i="25"/>
  <c r="U63" i="25"/>
  <c r="U51" i="25"/>
  <c r="U56" i="25"/>
  <c r="U47" i="25"/>
  <c r="U60" i="25"/>
  <c r="U45" i="25"/>
  <c r="U50" i="25"/>
  <c r="U54" i="25"/>
  <c r="U61" i="25"/>
  <c r="U46" i="25"/>
  <c r="U62" i="25"/>
  <c r="E44" i="25"/>
  <c r="M44" i="25"/>
  <c r="E45" i="25"/>
  <c r="M45" i="25"/>
  <c r="E46" i="25"/>
  <c r="M46" i="25"/>
  <c r="E47" i="25"/>
  <c r="M47" i="25"/>
  <c r="E48" i="25"/>
  <c r="M48" i="25"/>
  <c r="E49" i="25"/>
  <c r="M49" i="25"/>
  <c r="E50" i="25"/>
  <c r="M50" i="25"/>
  <c r="E51" i="25"/>
  <c r="M51" i="25"/>
  <c r="E53" i="25"/>
  <c r="M53" i="25"/>
  <c r="E54" i="25"/>
  <c r="M54" i="25"/>
  <c r="E56" i="25"/>
  <c r="M56" i="25"/>
  <c r="E57" i="25"/>
  <c r="M57" i="25"/>
  <c r="E58" i="25"/>
  <c r="M58" i="25"/>
  <c r="E60" i="25"/>
  <c r="M60" i="25"/>
  <c r="E61" i="25"/>
  <c r="M61" i="25"/>
  <c r="E62" i="25"/>
  <c r="M62" i="25"/>
  <c r="I44" i="25"/>
  <c r="Q44" i="25"/>
  <c r="I45" i="25"/>
  <c r="Q45" i="25"/>
  <c r="I46" i="25"/>
  <c r="Q46" i="25"/>
  <c r="I47" i="25"/>
  <c r="Q47" i="25"/>
  <c r="I48" i="25"/>
  <c r="Q48" i="25"/>
  <c r="I49" i="25"/>
  <c r="Q49" i="25"/>
  <c r="I50" i="25"/>
  <c r="Q50" i="25"/>
  <c r="I51" i="25"/>
  <c r="Q51" i="25"/>
  <c r="I53" i="25"/>
  <c r="Q53" i="25"/>
  <c r="I54" i="25"/>
  <c r="Q54" i="25"/>
  <c r="I56" i="25"/>
  <c r="Q56" i="25"/>
  <c r="I57" i="25"/>
  <c r="Q57" i="25"/>
  <c r="I58" i="25"/>
  <c r="Q58" i="25"/>
  <c r="I60" i="25"/>
  <c r="Q60" i="25"/>
  <c r="I61" i="25"/>
  <c r="Q61" i="25"/>
  <c r="I62" i="25"/>
  <c r="Q62" i="25"/>
  <c r="G44" i="25"/>
  <c r="O44" i="25"/>
  <c r="S44" i="25"/>
  <c r="G45" i="25"/>
  <c r="O45" i="25"/>
  <c r="S45" i="25"/>
  <c r="G46" i="25"/>
  <c r="O46" i="25"/>
  <c r="S46" i="25"/>
  <c r="G47" i="25"/>
  <c r="O47" i="25"/>
  <c r="S47" i="25"/>
  <c r="G48" i="25"/>
  <c r="O48" i="25"/>
  <c r="S48" i="25"/>
  <c r="G49" i="25"/>
  <c r="O49" i="25"/>
  <c r="S49" i="25"/>
  <c r="G50" i="25"/>
  <c r="O50" i="25"/>
  <c r="S50" i="25"/>
  <c r="G51" i="25"/>
  <c r="O51" i="25"/>
  <c r="S51" i="25"/>
  <c r="G53" i="25"/>
  <c r="O53" i="25"/>
  <c r="S53" i="25"/>
  <c r="G54" i="25"/>
  <c r="O54" i="25"/>
  <c r="S54" i="25"/>
  <c r="G56" i="25"/>
  <c r="O56" i="25"/>
  <c r="S56" i="25"/>
  <c r="G57" i="25"/>
  <c r="O57" i="25"/>
  <c r="S57" i="25"/>
  <c r="G58" i="25"/>
  <c r="O58" i="25"/>
  <c r="S58" i="25"/>
  <c r="G60" i="25"/>
  <c r="O60" i="25"/>
  <c r="S60" i="25"/>
  <c r="G61" i="25"/>
  <c r="O61" i="25"/>
  <c r="S61" i="25"/>
  <c r="G62" i="25"/>
  <c r="O62" i="25"/>
  <c r="S62" i="25"/>
  <c r="R44" i="32" l="1"/>
  <c r="P44" i="32"/>
  <c r="N44" i="32"/>
  <c r="L44" i="32"/>
  <c r="J44" i="32"/>
  <c r="R44" i="31"/>
  <c r="P44" i="31"/>
  <c r="N44" i="31"/>
  <c r="L44" i="31"/>
  <c r="J44" i="31"/>
  <c r="J39" i="33"/>
  <c r="L39" i="33"/>
  <c r="N39" i="33"/>
  <c r="P39" i="33"/>
  <c r="R39" i="33"/>
  <c r="W39" i="33" s="1"/>
  <c r="R44" i="34" l="1"/>
  <c r="W44" i="34" s="1"/>
  <c r="P44" i="34"/>
  <c r="N44" i="34"/>
  <c r="L44" i="34"/>
  <c r="J44" i="34"/>
  <c r="S33" i="34" l="1"/>
  <c r="R46" i="31" l="1"/>
  <c r="R56" i="32" l="1"/>
  <c r="R55" i="32"/>
  <c r="X29" i="31" l="1"/>
  <c r="S36" i="31"/>
  <c r="S31" i="33"/>
  <c r="S36" i="32"/>
  <c r="S33" i="25" l="1"/>
  <c r="X31" i="33"/>
  <c r="K36" i="32"/>
  <c r="E36" i="32"/>
  <c r="K31" i="33" l="1"/>
  <c r="E31" i="33"/>
  <c r="E33" i="25" s="1"/>
  <c r="K33" i="25" l="1"/>
  <c r="K36" i="31"/>
  <c r="E36" i="31"/>
  <c r="I33" i="34" l="1"/>
  <c r="K33" i="34"/>
  <c r="M33" i="34"/>
  <c r="M32" i="34"/>
  <c r="O33" i="34"/>
  <c r="O32" i="34"/>
  <c r="Q32" i="34"/>
  <c r="Q33" i="34"/>
  <c r="S32" i="34"/>
  <c r="X29" i="32" l="1"/>
  <c r="S29" i="32"/>
  <c r="Q29" i="32"/>
  <c r="O29" i="32"/>
  <c r="M29" i="32"/>
  <c r="K29" i="32"/>
  <c r="E29" i="32"/>
  <c r="I29" i="32"/>
  <c r="G29" i="32"/>
  <c r="C29" i="32"/>
  <c r="C23" i="33"/>
  <c r="S29" i="31"/>
  <c r="Q29" i="31"/>
  <c r="O29" i="31"/>
  <c r="M29" i="31"/>
  <c r="K29" i="31"/>
  <c r="I29" i="31"/>
  <c r="S44" i="34"/>
  <c r="Q44" i="34"/>
  <c r="O44" i="34"/>
  <c r="O59" i="34" s="1"/>
  <c r="M44" i="34"/>
  <c r="K44" i="34"/>
  <c r="K63" i="34" s="1"/>
  <c r="I44" i="34"/>
  <c r="G44" i="34"/>
  <c r="G59" i="34" s="1"/>
  <c r="E44" i="34"/>
  <c r="C44" i="34"/>
  <c r="C51" i="34" s="1"/>
  <c r="X33" i="34"/>
  <c r="X30" i="34"/>
  <c r="R30" i="34"/>
  <c r="W30" i="34" s="1"/>
  <c r="P30" i="34"/>
  <c r="N30" i="34"/>
  <c r="L30" i="34"/>
  <c r="J30" i="34"/>
  <c r="F30" i="34"/>
  <c r="D30" i="34"/>
  <c r="S25" i="34"/>
  <c r="Q25" i="34"/>
  <c r="O25" i="34"/>
  <c r="M25" i="34"/>
  <c r="K25" i="34"/>
  <c r="I25" i="34"/>
  <c r="G25" i="34"/>
  <c r="C25" i="34"/>
  <c r="F18" i="34"/>
  <c r="C18" i="34"/>
  <c r="J12" i="34"/>
  <c r="K32" i="34" s="1"/>
  <c r="H12" i="34"/>
  <c r="I32" i="34" s="1"/>
  <c r="F12" i="34"/>
  <c r="S63" i="34" l="1"/>
  <c r="X44" i="34"/>
  <c r="C64" i="34"/>
  <c r="K51" i="34"/>
  <c r="O47" i="34"/>
  <c r="O63" i="34"/>
  <c r="S59" i="34"/>
  <c r="C60" i="34"/>
  <c r="G47" i="34"/>
  <c r="G63" i="34"/>
  <c r="K59" i="34"/>
  <c r="S51" i="34"/>
  <c r="C66" i="34"/>
  <c r="G51" i="34"/>
  <c r="K47" i="34"/>
  <c r="O51" i="34"/>
  <c r="S47" i="34"/>
  <c r="E66" i="34"/>
  <c r="E64" i="34"/>
  <c r="E60" i="34"/>
  <c r="E56" i="34"/>
  <c r="E54" i="34"/>
  <c r="E52" i="34"/>
  <c r="E50" i="34"/>
  <c r="E48" i="34"/>
  <c r="I66" i="34"/>
  <c r="I64" i="34"/>
  <c r="I60" i="34"/>
  <c r="I56" i="34"/>
  <c r="I54" i="34"/>
  <c r="I52" i="34"/>
  <c r="I50" i="34"/>
  <c r="I48" i="34"/>
  <c r="M66" i="34"/>
  <c r="M64" i="34"/>
  <c r="M60" i="34"/>
  <c r="M56" i="34"/>
  <c r="M54" i="34"/>
  <c r="M52" i="34"/>
  <c r="M50" i="34"/>
  <c r="M48" i="34"/>
  <c r="Q66" i="34"/>
  <c r="Q64" i="34"/>
  <c r="Q60" i="34"/>
  <c r="Q56" i="34"/>
  <c r="Q54" i="34"/>
  <c r="Q52" i="34"/>
  <c r="Q50" i="34"/>
  <c r="Q48" i="34"/>
  <c r="E47" i="34"/>
  <c r="E51" i="34"/>
  <c r="E59" i="34"/>
  <c r="E63" i="34"/>
  <c r="I47" i="34"/>
  <c r="I51" i="34"/>
  <c r="I59" i="34"/>
  <c r="I63" i="34"/>
  <c r="M47" i="34"/>
  <c r="M51" i="34"/>
  <c r="M59" i="34"/>
  <c r="M63" i="34"/>
  <c r="Q47" i="34"/>
  <c r="Q51" i="34"/>
  <c r="Q59" i="34"/>
  <c r="Q63" i="34"/>
  <c r="C48" i="34"/>
  <c r="C50" i="34"/>
  <c r="C52" i="34"/>
  <c r="C54" i="34"/>
  <c r="C56" i="34"/>
  <c r="G66" i="34"/>
  <c r="G64" i="34"/>
  <c r="G60" i="34"/>
  <c r="G56" i="34"/>
  <c r="G54" i="34"/>
  <c r="G52" i="34"/>
  <c r="G50" i="34"/>
  <c r="G48" i="34"/>
  <c r="K66" i="34"/>
  <c r="K64" i="34"/>
  <c r="K60" i="34"/>
  <c r="K56" i="34"/>
  <c r="K54" i="34"/>
  <c r="K52" i="34"/>
  <c r="K50" i="34"/>
  <c r="K48" i="34"/>
  <c r="O66" i="34"/>
  <c r="O64" i="34"/>
  <c r="O60" i="34"/>
  <c r="O56" i="34"/>
  <c r="O54" i="34"/>
  <c r="O52" i="34"/>
  <c r="O50" i="34"/>
  <c r="O48" i="34"/>
  <c r="S66" i="34"/>
  <c r="S64" i="34"/>
  <c r="S60" i="34"/>
  <c r="S56" i="34"/>
  <c r="S54" i="34"/>
  <c r="S52" i="34"/>
  <c r="S50" i="34"/>
  <c r="S48" i="34"/>
  <c r="C47" i="34"/>
  <c r="C65" i="34"/>
  <c r="C63" i="34"/>
  <c r="C61" i="34"/>
  <c r="C59" i="34"/>
  <c r="C57" i="34"/>
  <c r="C49" i="34"/>
  <c r="E49" i="34"/>
  <c r="E57" i="34"/>
  <c r="E61" i="34"/>
  <c r="E65" i="34"/>
  <c r="G49" i="34"/>
  <c r="G57" i="34"/>
  <c r="G61" i="34"/>
  <c r="G65" i="34"/>
  <c r="I49" i="34"/>
  <c r="I53" i="34"/>
  <c r="I57" i="34"/>
  <c r="I61" i="34"/>
  <c r="I65" i="34"/>
  <c r="K49" i="34"/>
  <c r="K53" i="34"/>
  <c r="K57" i="34"/>
  <c r="K61" i="34"/>
  <c r="K65" i="34"/>
  <c r="M49" i="34"/>
  <c r="M53" i="34"/>
  <c r="M57" i="34"/>
  <c r="M61" i="34"/>
  <c r="M65" i="34"/>
  <c r="O49" i="34"/>
  <c r="O53" i="34"/>
  <c r="O57" i="34"/>
  <c r="O61" i="34"/>
  <c r="O65" i="34"/>
  <c r="Q49" i="34"/>
  <c r="Q53" i="34"/>
  <c r="Q57" i="34"/>
  <c r="Q61" i="34"/>
  <c r="Q65" i="34"/>
  <c r="S49" i="34"/>
  <c r="S53" i="34"/>
  <c r="S57" i="34"/>
  <c r="S61" i="34"/>
  <c r="S65" i="34"/>
  <c r="X32" i="34"/>
  <c r="J60" i="33" l="1"/>
  <c r="J63" i="25" s="1"/>
  <c r="K63" i="25" s="1"/>
  <c r="J59" i="33"/>
  <c r="J62" i="25" s="1"/>
  <c r="K62" i="25" s="1"/>
  <c r="J58" i="33"/>
  <c r="J61" i="25" s="1"/>
  <c r="K61" i="25" s="1"/>
  <c r="J57" i="33"/>
  <c r="J60" i="25" s="1"/>
  <c r="K60" i="25" s="1"/>
  <c r="J55" i="33"/>
  <c r="J58" i="25" s="1"/>
  <c r="K58" i="25" s="1"/>
  <c r="J54" i="33"/>
  <c r="J57" i="25" s="1"/>
  <c r="K57" i="25" s="1"/>
  <c r="J53" i="33"/>
  <c r="J56" i="25" s="1"/>
  <c r="K56" i="25" s="1"/>
  <c r="J51" i="33"/>
  <c r="J54" i="25" s="1"/>
  <c r="K54" i="25" s="1"/>
  <c r="J50" i="33"/>
  <c r="J53" i="25" s="1"/>
  <c r="K53" i="25" s="1"/>
  <c r="J48" i="33"/>
  <c r="J51" i="25" s="1"/>
  <c r="K51" i="25" s="1"/>
  <c r="J47" i="33"/>
  <c r="J50" i="25" s="1"/>
  <c r="K50" i="25" s="1"/>
  <c r="J46" i="33"/>
  <c r="J49" i="25" s="1"/>
  <c r="K49" i="25" s="1"/>
  <c r="J45" i="33"/>
  <c r="J48" i="25" s="1"/>
  <c r="K48" i="25" s="1"/>
  <c r="J44" i="33"/>
  <c r="J47" i="25" s="1"/>
  <c r="K47" i="25" s="1"/>
  <c r="J43" i="33"/>
  <c r="J46" i="25" s="1"/>
  <c r="K46" i="25" s="1"/>
  <c r="J42" i="33"/>
  <c r="J45" i="25" s="1"/>
  <c r="K45" i="25" s="1"/>
  <c r="J41" i="33"/>
  <c r="J44" i="25" s="1"/>
  <c r="K44" i="25" s="1"/>
  <c r="C20" i="32"/>
  <c r="J65" i="32"/>
  <c r="J64" i="32"/>
  <c r="J63" i="32"/>
  <c r="J62" i="32"/>
  <c r="J60" i="32"/>
  <c r="J59" i="32"/>
  <c r="J58" i="32"/>
  <c r="J56" i="32"/>
  <c r="J55" i="32"/>
  <c r="J53" i="32"/>
  <c r="J52" i="32"/>
  <c r="J51" i="32"/>
  <c r="J50" i="32"/>
  <c r="J49" i="32"/>
  <c r="J48" i="32"/>
  <c r="J47" i="32"/>
  <c r="J46" i="32"/>
  <c r="G22" i="32"/>
  <c r="I22" i="32"/>
  <c r="K22" i="32"/>
  <c r="M22" i="32"/>
  <c r="O22" i="32"/>
  <c r="Q22" i="32"/>
  <c r="C14" i="32"/>
  <c r="C13" i="32"/>
  <c r="J65" i="31" l="1"/>
  <c r="J64" i="31"/>
  <c r="J63" i="31"/>
  <c r="J62" i="31"/>
  <c r="J60" i="31"/>
  <c r="J59" i="31"/>
  <c r="J58" i="31"/>
  <c r="J56" i="31"/>
  <c r="J55" i="31"/>
  <c r="J53" i="31"/>
  <c r="J52" i="31"/>
  <c r="J51" i="31"/>
  <c r="J50" i="31"/>
  <c r="J49" i="31"/>
  <c r="J48" i="31"/>
  <c r="J47" i="31"/>
  <c r="J46" i="31"/>
  <c r="S39" i="33" l="1"/>
  <c r="S60" i="33" s="1"/>
  <c r="Q39" i="33"/>
  <c r="O39" i="33"/>
  <c r="X39" i="33" s="1"/>
  <c r="M39" i="33"/>
  <c r="K39" i="33"/>
  <c r="I39" i="33"/>
  <c r="G39" i="33"/>
  <c r="E39" i="33"/>
  <c r="C39" i="33"/>
  <c r="X21" i="33"/>
  <c r="P21" i="33"/>
  <c r="N21" i="33"/>
  <c r="L21" i="33"/>
  <c r="J21" i="33"/>
  <c r="H21" i="33"/>
  <c r="F21" i="33"/>
  <c r="D21" i="33"/>
  <c r="B21" i="33"/>
  <c r="X20" i="33"/>
  <c r="X19" i="33"/>
  <c r="S16" i="33"/>
  <c r="Q16" i="33"/>
  <c r="O16" i="33"/>
  <c r="M16" i="33"/>
  <c r="K16" i="33"/>
  <c r="I16" i="33"/>
  <c r="G16" i="33"/>
  <c r="E16" i="33"/>
  <c r="C16" i="33"/>
  <c r="S44" i="32"/>
  <c r="Q44" i="32"/>
  <c r="O44" i="32"/>
  <c r="M44" i="32"/>
  <c r="M65" i="32" s="1"/>
  <c r="K44" i="32"/>
  <c r="I44" i="32"/>
  <c r="G44" i="32"/>
  <c r="E44" i="32"/>
  <c r="E65" i="32" s="1"/>
  <c r="C44" i="32"/>
  <c r="X27" i="32"/>
  <c r="R27" i="32"/>
  <c r="W27" i="32" s="1"/>
  <c r="P27" i="32"/>
  <c r="N27" i="32"/>
  <c r="L27" i="32"/>
  <c r="J27" i="32"/>
  <c r="H27" i="32"/>
  <c r="F27" i="32"/>
  <c r="D27" i="32"/>
  <c r="B27" i="32"/>
  <c r="S22" i="32"/>
  <c r="E22" i="32"/>
  <c r="C22" i="32"/>
  <c r="S44" i="31"/>
  <c r="S50" i="31" s="1"/>
  <c r="Q44" i="31"/>
  <c r="O44" i="31"/>
  <c r="M44" i="31"/>
  <c r="K44" i="31"/>
  <c r="K64" i="31" s="1"/>
  <c r="I44" i="31"/>
  <c r="G44" i="31"/>
  <c r="E44" i="31"/>
  <c r="C44" i="31"/>
  <c r="C62" i="31" s="1"/>
  <c r="X27" i="31"/>
  <c r="R27" i="31"/>
  <c r="W27" i="31" s="1"/>
  <c r="P27" i="31"/>
  <c r="N27" i="31"/>
  <c r="L27" i="31"/>
  <c r="J27" i="31"/>
  <c r="H27" i="31"/>
  <c r="F27" i="31"/>
  <c r="D27" i="31"/>
  <c r="B27" i="31"/>
  <c r="S22" i="31"/>
  <c r="Q22" i="31"/>
  <c r="O22" i="31"/>
  <c r="M22" i="31"/>
  <c r="K22" i="31"/>
  <c r="I22" i="31"/>
  <c r="G22" i="31"/>
  <c r="E22" i="31"/>
  <c r="C22" i="31"/>
  <c r="W21" i="33" l="1"/>
  <c r="M47" i="32"/>
  <c r="M49" i="32"/>
  <c r="M51" i="32"/>
  <c r="M52" i="32"/>
  <c r="M55" i="32"/>
  <c r="M58" i="32"/>
  <c r="M60" i="32"/>
  <c r="M63" i="32"/>
  <c r="E47" i="32"/>
  <c r="E49" i="32"/>
  <c r="E51" i="32"/>
  <c r="E55" i="32"/>
  <c r="E58" i="32"/>
  <c r="E60" i="32"/>
  <c r="E63" i="32"/>
  <c r="C46" i="31"/>
  <c r="K48" i="31"/>
  <c r="C50" i="31"/>
  <c r="S53" i="31"/>
  <c r="S56" i="31"/>
  <c r="S59" i="31"/>
  <c r="S62" i="31"/>
  <c r="S64" i="31"/>
  <c r="S46" i="31"/>
  <c r="S48" i="31"/>
  <c r="C53" i="31"/>
  <c r="K56" i="31"/>
  <c r="C59" i="31"/>
  <c r="K62" i="31"/>
  <c r="C64" i="31"/>
  <c r="K46" i="31"/>
  <c r="C48" i="31"/>
  <c r="K50" i="31"/>
  <c r="K53" i="31"/>
  <c r="C56" i="31"/>
  <c r="K59" i="31"/>
  <c r="C60" i="33"/>
  <c r="C58" i="33"/>
  <c r="C55" i="33"/>
  <c r="C53" i="33"/>
  <c r="C50" i="33"/>
  <c r="C46" i="33"/>
  <c r="C44" i="33"/>
  <c r="C42" i="33"/>
  <c r="C59" i="33"/>
  <c r="C57" i="33"/>
  <c r="C54" i="33"/>
  <c r="C51" i="33"/>
  <c r="C48" i="33"/>
  <c r="C45" i="33"/>
  <c r="C43" i="33"/>
  <c r="C41" i="33"/>
  <c r="G60" i="33"/>
  <c r="G58" i="33"/>
  <c r="G55" i="33"/>
  <c r="G53" i="33"/>
  <c r="G50" i="33"/>
  <c r="G46" i="33"/>
  <c r="G44" i="33"/>
  <c r="G42" i="33"/>
  <c r="G59" i="33"/>
  <c r="G57" i="33"/>
  <c r="G54" i="33"/>
  <c r="G51" i="33"/>
  <c r="G48" i="33"/>
  <c r="G45" i="33"/>
  <c r="G43" i="33"/>
  <c r="G41" i="33"/>
  <c r="K60" i="33"/>
  <c r="K58" i="33"/>
  <c r="K55" i="33"/>
  <c r="K53" i="33"/>
  <c r="K50" i="33"/>
  <c r="K47" i="33"/>
  <c r="K46" i="33"/>
  <c r="K44" i="33"/>
  <c r="K42" i="33"/>
  <c r="K59" i="33"/>
  <c r="K57" i="33"/>
  <c r="K54" i="33"/>
  <c r="K51" i="33"/>
  <c r="K48" i="33"/>
  <c r="K45" i="33"/>
  <c r="K43" i="33"/>
  <c r="K41" i="33"/>
  <c r="O60" i="33"/>
  <c r="X60" i="33" s="1"/>
  <c r="O58" i="33"/>
  <c r="X58" i="33" s="1"/>
  <c r="O55" i="33"/>
  <c r="O53" i="33"/>
  <c r="O50" i="33"/>
  <c r="O47" i="33"/>
  <c r="X47" i="33" s="1"/>
  <c r="O46" i="33"/>
  <c r="O44" i="33"/>
  <c r="O42" i="33"/>
  <c r="X42" i="33" s="1"/>
  <c r="O59" i="33"/>
  <c r="X59" i="33" s="1"/>
  <c r="O57" i="33"/>
  <c r="O54" i="33"/>
  <c r="O51" i="33"/>
  <c r="O48" i="33"/>
  <c r="X48" i="33" s="1"/>
  <c r="O45" i="33"/>
  <c r="O43" i="33"/>
  <c r="O41" i="33"/>
  <c r="E59" i="33"/>
  <c r="E57" i="33"/>
  <c r="E54" i="33"/>
  <c r="E51" i="33"/>
  <c r="E48" i="33"/>
  <c r="E45" i="33"/>
  <c r="E43" i="33"/>
  <c r="E41" i="33"/>
  <c r="E60" i="33"/>
  <c r="E58" i="33"/>
  <c r="E55" i="33"/>
  <c r="E53" i="33"/>
  <c r="E50" i="33"/>
  <c r="E46" i="33"/>
  <c r="E44" i="33"/>
  <c r="E42" i="33"/>
  <c r="I59" i="33"/>
  <c r="I57" i="33"/>
  <c r="I54" i="33"/>
  <c r="I51" i="33"/>
  <c r="I48" i="33"/>
  <c r="I45" i="33"/>
  <c r="I43" i="33"/>
  <c r="I41" i="33"/>
  <c r="I60" i="33"/>
  <c r="I58" i="33"/>
  <c r="I55" i="33"/>
  <c r="I53" i="33"/>
  <c r="I50" i="33"/>
  <c r="I47" i="33"/>
  <c r="I46" i="33"/>
  <c r="I44" i="33"/>
  <c r="I42" i="33"/>
  <c r="M59" i="33"/>
  <c r="M57" i="33"/>
  <c r="M54" i="33"/>
  <c r="M51" i="33"/>
  <c r="M48" i="33"/>
  <c r="M45" i="33"/>
  <c r="M43" i="33"/>
  <c r="M41" i="33"/>
  <c r="M60" i="33"/>
  <c r="M58" i="33"/>
  <c r="M55" i="33"/>
  <c r="M53" i="33"/>
  <c r="M50" i="33"/>
  <c r="M47" i="33"/>
  <c r="M46" i="33"/>
  <c r="M44" i="33"/>
  <c r="M42" i="33"/>
  <c r="Q59" i="33"/>
  <c r="Q57" i="33"/>
  <c r="Q54" i="33"/>
  <c r="Q51" i="33"/>
  <c r="Q48" i="33"/>
  <c r="Q45" i="33"/>
  <c r="Q43" i="33"/>
  <c r="Q41" i="33"/>
  <c r="Q60" i="33"/>
  <c r="Q58" i="33"/>
  <c r="Q55" i="33"/>
  <c r="Q53" i="33"/>
  <c r="Q50" i="33"/>
  <c r="Q47" i="33"/>
  <c r="Q46" i="33"/>
  <c r="Q44" i="33"/>
  <c r="Q42" i="33"/>
  <c r="S41" i="33"/>
  <c r="S43" i="33"/>
  <c r="S45" i="33"/>
  <c r="S48" i="33"/>
  <c r="S51" i="33"/>
  <c r="S54" i="33"/>
  <c r="S57" i="33"/>
  <c r="S59" i="33"/>
  <c r="S42" i="33"/>
  <c r="S44" i="33"/>
  <c r="S46" i="33"/>
  <c r="S47" i="33"/>
  <c r="S50" i="33"/>
  <c r="S53" i="33"/>
  <c r="S55" i="33"/>
  <c r="S58" i="33"/>
  <c r="C65" i="32"/>
  <c r="C63" i="32"/>
  <c r="C60" i="32"/>
  <c r="C58" i="32"/>
  <c r="C55" i="32"/>
  <c r="C51" i="32"/>
  <c r="C49" i="32"/>
  <c r="C47" i="32"/>
  <c r="G65" i="32"/>
  <c r="G63" i="32"/>
  <c r="G60" i="32"/>
  <c r="G58" i="32"/>
  <c r="G55" i="32"/>
  <c r="G51" i="32"/>
  <c r="G49" i="32"/>
  <c r="G47" i="32"/>
  <c r="K65" i="32"/>
  <c r="K63" i="32"/>
  <c r="K60" i="32"/>
  <c r="K58" i="32"/>
  <c r="K55" i="32"/>
  <c r="K52" i="32"/>
  <c r="K51" i="32"/>
  <c r="K49" i="32"/>
  <c r="K47" i="32"/>
  <c r="O65" i="32"/>
  <c r="O63" i="32"/>
  <c r="O60" i="32"/>
  <c r="O58" i="32"/>
  <c r="O55" i="32"/>
  <c r="O52" i="32"/>
  <c r="O51" i="32"/>
  <c r="O49" i="32"/>
  <c r="O47" i="32"/>
  <c r="S65" i="32"/>
  <c r="S63" i="32"/>
  <c r="S60" i="32"/>
  <c r="S58" i="32"/>
  <c r="S55" i="32"/>
  <c r="S52" i="32"/>
  <c r="S51" i="32"/>
  <c r="S49" i="32"/>
  <c r="S47" i="32"/>
  <c r="G46" i="32"/>
  <c r="O46" i="32"/>
  <c r="G48" i="32"/>
  <c r="O48" i="32"/>
  <c r="G50" i="32"/>
  <c r="O50" i="32"/>
  <c r="G53" i="32"/>
  <c r="O53" i="32"/>
  <c r="G56" i="32"/>
  <c r="O56" i="32"/>
  <c r="G59" i="32"/>
  <c r="O59" i="32"/>
  <c r="G62" i="32"/>
  <c r="O62" i="32"/>
  <c r="G64" i="32"/>
  <c r="O64" i="32"/>
  <c r="E64" i="32"/>
  <c r="E62" i="32"/>
  <c r="E59" i="32"/>
  <c r="E56" i="32"/>
  <c r="E53" i="32"/>
  <c r="E50" i="32"/>
  <c r="E48" i="32"/>
  <c r="E46" i="32"/>
  <c r="I64" i="32"/>
  <c r="I62" i="32"/>
  <c r="I59" i="32"/>
  <c r="I56" i="32"/>
  <c r="I53" i="32"/>
  <c r="I50" i="32"/>
  <c r="I48" i="32"/>
  <c r="I46" i="32"/>
  <c r="M64" i="32"/>
  <c r="M62" i="32"/>
  <c r="M59" i="32"/>
  <c r="M56" i="32"/>
  <c r="M53" i="32"/>
  <c r="M50" i="32"/>
  <c r="M48" i="32"/>
  <c r="M46" i="32"/>
  <c r="Q64" i="32"/>
  <c r="Q62" i="32"/>
  <c r="Q59" i="32"/>
  <c r="Q56" i="32"/>
  <c r="Q53" i="32"/>
  <c r="Q50" i="32"/>
  <c r="Q48" i="32"/>
  <c r="Q46" i="32"/>
  <c r="C46" i="32"/>
  <c r="K46" i="32"/>
  <c r="S46" i="32"/>
  <c r="I47" i="32"/>
  <c r="Q47" i="32"/>
  <c r="C48" i="32"/>
  <c r="K48" i="32"/>
  <c r="S48" i="32"/>
  <c r="I49" i="32"/>
  <c r="Q49" i="32"/>
  <c r="C50" i="32"/>
  <c r="K50" i="32"/>
  <c r="S50" i="32"/>
  <c r="I51" i="32"/>
  <c r="Q51" i="32"/>
  <c r="I52" i="32"/>
  <c r="Q52" i="32"/>
  <c r="C53" i="32"/>
  <c r="K53" i="32"/>
  <c r="S53" i="32"/>
  <c r="I55" i="32"/>
  <c r="Q55" i="32"/>
  <c r="C56" i="32"/>
  <c r="K56" i="32"/>
  <c r="S56" i="32"/>
  <c r="I58" i="32"/>
  <c r="Q58" i="32"/>
  <c r="C59" i="32"/>
  <c r="K59" i="32"/>
  <c r="S59" i="32"/>
  <c r="I60" i="32"/>
  <c r="Q60" i="32"/>
  <c r="C62" i="32"/>
  <c r="K62" i="32"/>
  <c r="S62" i="32"/>
  <c r="I63" i="32"/>
  <c r="Q63" i="32"/>
  <c r="C64" i="32"/>
  <c r="K64" i="32"/>
  <c r="S64" i="32"/>
  <c r="I65" i="32"/>
  <c r="Q65" i="32"/>
  <c r="E64" i="31"/>
  <c r="E62" i="31"/>
  <c r="E59" i="31"/>
  <c r="E56" i="31"/>
  <c r="E53" i="31"/>
  <c r="E50" i="31"/>
  <c r="E48" i="31"/>
  <c r="E46" i="31"/>
  <c r="I64" i="31"/>
  <c r="I62" i="31"/>
  <c r="I59" i="31"/>
  <c r="I56" i="31"/>
  <c r="I53" i="31"/>
  <c r="I50" i="31"/>
  <c r="I48" i="31"/>
  <c r="I46" i="31"/>
  <c r="M64" i="31"/>
  <c r="M62" i="31"/>
  <c r="M59" i="31"/>
  <c r="M56" i="31"/>
  <c r="M53" i="31"/>
  <c r="M50" i="31"/>
  <c r="M48" i="31"/>
  <c r="M46" i="31"/>
  <c r="Q64" i="31"/>
  <c r="Q62" i="31"/>
  <c r="Q59" i="31"/>
  <c r="Q56" i="31"/>
  <c r="Q53" i="31"/>
  <c r="Q50" i="31"/>
  <c r="Q48" i="31"/>
  <c r="Q46" i="31"/>
  <c r="I47" i="31"/>
  <c r="Q47" i="31"/>
  <c r="I49" i="31"/>
  <c r="Q49" i="31"/>
  <c r="I51" i="31"/>
  <c r="Q51" i="31"/>
  <c r="I52" i="31"/>
  <c r="Q52" i="31"/>
  <c r="I55" i="31"/>
  <c r="Q55" i="31"/>
  <c r="I58" i="31"/>
  <c r="Q58" i="31"/>
  <c r="I60" i="31"/>
  <c r="Q60" i="31"/>
  <c r="I63" i="31"/>
  <c r="Q63" i="31"/>
  <c r="I65" i="31"/>
  <c r="Q65" i="31"/>
  <c r="C65" i="31"/>
  <c r="C63" i="31"/>
  <c r="C60" i="31"/>
  <c r="C58" i="31"/>
  <c r="C55" i="31"/>
  <c r="C51" i="31"/>
  <c r="C49" i="31"/>
  <c r="C47" i="31"/>
  <c r="G65" i="31"/>
  <c r="G63" i="31"/>
  <c r="G60" i="31"/>
  <c r="G58" i="31"/>
  <c r="G55" i="31"/>
  <c r="G51" i="31"/>
  <c r="G49" i="31"/>
  <c r="G47" i="31"/>
  <c r="K65" i="31"/>
  <c r="K63" i="31"/>
  <c r="K60" i="31"/>
  <c r="K58" i="31"/>
  <c r="K55" i="31"/>
  <c r="K52" i="31"/>
  <c r="K51" i="31"/>
  <c r="K49" i="31"/>
  <c r="K47" i="31"/>
  <c r="O65" i="31"/>
  <c r="O63" i="31"/>
  <c r="O60" i="31"/>
  <c r="O58" i="31"/>
  <c r="O55" i="31"/>
  <c r="O52" i="31"/>
  <c r="O51" i="31"/>
  <c r="O49" i="31"/>
  <c r="O47" i="31"/>
  <c r="S65" i="31"/>
  <c r="S63" i="31"/>
  <c r="S60" i="31"/>
  <c r="S58" i="31"/>
  <c r="S55" i="31"/>
  <c r="S52" i="31"/>
  <c r="S51" i="31"/>
  <c r="S49" i="31"/>
  <c r="S47" i="31"/>
  <c r="G46" i="31"/>
  <c r="O46" i="31"/>
  <c r="E47" i="31"/>
  <c r="M47" i="31"/>
  <c r="G48" i="31"/>
  <c r="O48" i="31"/>
  <c r="E49" i="31"/>
  <c r="M49" i="31"/>
  <c r="G50" i="31"/>
  <c r="O50" i="31"/>
  <c r="E51" i="31"/>
  <c r="M51" i="31"/>
  <c r="M52" i="31"/>
  <c r="G53" i="31"/>
  <c r="O53" i="31"/>
  <c r="E55" i="31"/>
  <c r="M55" i="31"/>
  <c r="G56" i="31"/>
  <c r="O56" i="31"/>
  <c r="E58" i="31"/>
  <c r="M58" i="31"/>
  <c r="G59" i="31"/>
  <c r="O59" i="31"/>
  <c r="E60" i="31"/>
  <c r="M60" i="31"/>
  <c r="G62" i="31"/>
  <c r="O62" i="31"/>
  <c r="E63" i="31"/>
  <c r="M63" i="31"/>
  <c r="G64" i="31"/>
  <c r="O64" i="31"/>
  <c r="E65" i="31"/>
  <c r="M65" i="31"/>
  <c r="X41" i="33" l="1"/>
  <c r="X43" i="33"/>
  <c r="X44" i="33"/>
  <c r="X45" i="33"/>
  <c r="X46" i="33"/>
  <c r="X51" i="33"/>
  <c r="X53" i="33"/>
  <c r="X50" i="33"/>
  <c r="X54" i="33"/>
  <c r="X57" i="33"/>
  <c r="X55" i="33"/>
</calcChain>
</file>

<file path=xl/sharedStrings.xml><?xml version="1.0" encoding="utf-8"?>
<sst xmlns="http://schemas.openxmlformats.org/spreadsheetml/2006/main" count="926" uniqueCount="125">
  <si>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</si>
  <si>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</si>
  <si>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</si>
  <si>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</si>
  <si>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</si>
  <si>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</si>
  <si>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</si>
  <si>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</si>
  <si>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</si>
  <si>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Five Year Average</t>
  </si>
  <si>
    <t>Degrees</t>
  </si>
  <si>
    <t xml:space="preserve">Degrees </t>
  </si>
  <si>
    <t>Majors</t>
  </si>
  <si>
    <t>Conferred</t>
  </si>
  <si>
    <t xml:space="preserve"> </t>
  </si>
  <si>
    <t>Master's Program</t>
  </si>
  <si>
    <t># of majors &amp; degrees conferred include second majors.</t>
  </si>
  <si>
    <t>Student Credit Hours Generated:</t>
  </si>
  <si>
    <t>Lower Division (0-299 level)</t>
  </si>
  <si>
    <t>Upper Division (300-699 level)</t>
  </si>
  <si>
    <t>Graduate I (700-899 level)</t>
  </si>
  <si>
    <t>Graduate II (900-999 level)</t>
  </si>
  <si>
    <t>Total</t>
  </si>
  <si>
    <t>% Departmental SCH taken by: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</si>
  <si>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</si>
  <si>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</si>
  <si>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</si>
  <si>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</si>
  <si>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</si>
  <si>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</si>
  <si>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</si>
  <si>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</si>
  <si>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</si>
  <si>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N</t>
  </si>
  <si>
    <t>FTE</t>
  </si>
  <si>
    <t>Headcount</t>
  </si>
  <si>
    <t xml:space="preserve">Instructional </t>
  </si>
  <si>
    <t>Full-time</t>
  </si>
  <si>
    <t>Part-time</t>
  </si>
  <si>
    <t>Research/Public Service</t>
  </si>
  <si>
    <t>Ethnicity</t>
  </si>
  <si>
    <t>%</t>
  </si>
  <si>
    <t>White</t>
  </si>
  <si>
    <t>Black</t>
  </si>
  <si>
    <t>Hispanic</t>
  </si>
  <si>
    <t>Native American</t>
  </si>
  <si>
    <t xml:space="preserve">Asian </t>
  </si>
  <si>
    <t>Non-Resident</t>
  </si>
  <si>
    <t>Two or More Races</t>
  </si>
  <si>
    <t>Unknown</t>
  </si>
  <si>
    <t>Gender</t>
  </si>
  <si>
    <t>Male</t>
  </si>
  <si>
    <t>Female</t>
  </si>
  <si>
    <t>Tenure Status</t>
  </si>
  <si>
    <t>Tenure</t>
  </si>
  <si>
    <t>Tenure-Track</t>
  </si>
  <si>
    <t>Non-Tenured</t>
  </si>
  <si>
    <t>Highest Degree</t>
  </si>
  <si>
    <t>Ph. D.</t>
  </si>
  <si>
    <t>M.S.</t>
  </si>
  <si>
    <t>B.S.</t>
  </si>
  <si>
    <t>Other</t>
  </si>
  <si>
    <t xml:space="preserve">Graduate Assistants </t>
  </si>
  <si>
    <t>Master's students</t>
  </si>
  <si>
    <t>PhD students</t>
  </si>
  <si>
    <t>Outcome</t>
  </si>
  <si>
    <t>% GTA/GRA</t>
  </si>
  <si>
    <t xml:space="preserve">PhD Time to Completion </t>
  </si>
  <si>
    <t xml:space="preserve">Doctorate Program </t>
  </si>
  <si>
    <t>Graduate Certificate Program FPMC (disc. Fall 2011)</t>
  </si>
  <si>
    <t>Veterinary Physiology (Cert. PHD) - 51.2503</t>
  </si>
  <si>
    <t>Pathology/Experimental Pathology - 26.0910</t>
  </si>
  <si>
    <t>Doctorate Program</t>
  </si>
  <si>
    <t>*Master's Program merged into Biomedical Science program in 2009</t>
  </si>
  <si>
    <t>Master's Program*</t>
  </si>
  <si>
    <t>*Master's Program merged into Biomedical Science program in 2009 - see Dean's office</t>
  </si>
  <si>
    <t>Department:   Dean of Veterinary Medicine</t>
  </si>
  <si>
    <t>Biomedical Science-51.2501</t>
  </si>
  <si>
    <t>Masters Program</t>
  </si>
  <si>
    <t>VM Graduate Non-Degree DCE</t>
  </si>
  <si>
    <t>Veterinary Medicine - 51.2401</t>
  </si>
  <si>
    <t>Professional Program (DVM)</t>
  </si>
  <si>
    <t>Public Health- 51.2201</t>
  </si>
  <si>
    <t>Grad Certificate Program (CPHC)</t>
  </si>
  <si>
    <t>XXX</t>
  </si>
  <si>
    <t xml:space="preserve">Research </t>
  </si>
  <si>
    <t>Master's students-Biomedical</t>
  </si>
  <si>
    <t>Master's students-Public Health</t>
  </si>
  <si>
    <t>Total Tenure/Tenure Track Faculty (Headcount)</t>
  </si>
  <si>
    <t>Total Instructional FTE</t>
  </si>
  <si>
    <t>STATISTICAL OVERVIEW</t>
  </si>
  <si>
    <t>Kansas State University</t>
  </si>
  <si>
    <t>Academic Information</t>
  </si>
  <si>
    <t xml:space="preserve">Department:  Anatomy &amp; Physiology </t>
  </si>
  <si>
    <t xml:space="preserve">Department:  Clinical Sciences </t>
  </si>
  <si>
    <t>includes Vet Health center</t>
  </si>
  <si>
    <t xml:space="preserve">Department:  Diagnostic Medicine/Pathobiology </t>
  </si>
  <si>
    <t>Fall</t>
  </si>
  <si>
    <t>Number of Majors &amp; Degrees Conferred</t>
  </si>
  <si>
    <t>Faculty Information:**</t>
  </si>
  <si>
    <t>**Based on November 1st and from HRIS</t>
  </si>
  <si>
    <t>Demographics:</t>
  </si>
  <si>
    <t xml:space="preserve">Headcount </t>
  </si>
  <si>
    <t xml:space="preserve">     Their graduate Majors</t>
  </si>
  <si>
    <t xml:space="preserve">     Their 1st professional Majors</t>
  </si>
  <si>
    <t xml:space="preserve">      Non-Majors</t>
  </si>
  <si>
    <t xml:space="preserve">     Non-Majors</t>
  </si>
  <si>
    <t>Full-Time Instructional Faculty -     
 (50% or more instruction):</t>
  </si>
  <si>
    <t>Tenured/Tenure Track Faculty with Terminal Degrees (headcount)</t>
  </si>
  <si>
    <t>Fall Majors</t>
  </si>
  <si>
    <t>Degrees Conferred</t>
  </si>
  <si>
    <t>Departmental Faculty</t>
  </si>
  <si>
    <t>Demographics</t>
  </si>
  <si>
    <t>Race/Ethnicity</t>
  </si>
  <si>
    <t>Their Graduate Majors</t>
  </si>
  <si>
    <t>Their 1st professional Majors</t>
  </si>
  <si>
    <t>Non-Majors</t>
  </si>
  <si>
    <t>Number of Majors &amp; Degrees Conferred:</t>
  </si>
  <si>
    <t>Master's Programs</t>
  </si>
  <si>
    <t>Graduate Certificate Programs</t>
  </si>
  <si>
    <t>Full-Time Instructional Faculty -              (50% or more instruction):</t>
  </si>
  <si>
    <t>College of Veterinary Medicine</t>
  </si>
  <si>
    <t>Professional Program</t>
  </si>
  <si>
    <t>FY 2017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</si>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</sst>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/>
    <xf numFmtId="10" fontId="6" fillId="0" borderId="0" applyFill="0" applyBorder="0" applyAlignment="0" applyProtection="0"/>
    <xf numFmtId="0" fontId="6" fillId="0" borderId="0"/>
    <xf numFmtId="4" fontId="5" fillId="0" borderId="0" applyFont="0" applyFill="0" applyBorder="0" applyAlignment="0" applyProtection="0"/>
  </cellStyleXfs>
  <cellXfs count="6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1" fontId="1" fillId="0" borderId="28" xfId="0" applyNumberFormat="1" applyFont="1" applyBorder="1"/>
    <xf numFmtId="1" fontId="1" fillId="0" borderId="29" xfId="0" applyNumberFormat="1" applyFont="1" applyBorder="1"/>
    <xf numFmtId="1" fontId="0" fillId="0" borderId="0" xfId="0" applyNumberFormat="1"/>
    <xf numFmtId="1" fontId="1" fillId="0" borderId="29" xfId="0" applyNumberFormat="1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1" fillId="0" borderId="46" xfId="0" applyFont="1" applyFill="1" applyBorder="1"/>
    <xf numFmtId="0" fontId="1" fillId="0" borderId="48" xfId="0" applyFont="1" applyFill="1" applyBorder="1"/>
    <xf numFmtId="3" fontId="1" fillId="0" borderId="47" xfId="1" applyNumberFormat="1" applyFont="1" applyFill="1" applyBorder="1" applyAlignment="1">
      <alignment horizontal="right"/>
    </xf>
    <xf numFmtId="3" fontId="1" fillId="0" borderId="48" xfId="1" applyNumberFormat="1" applyFont="1" applyFill="1" applyBorder="1" applyAlignment="1">
      <alignment horizontal="right"/>
    </xf>
    <xf numFmtId="3" fontId="1" fillId="0" borderId="47" xfId="0" applyNumberFormat="1" applyFont="1" applyFill="1" applyBorder="1"/>
    <xf numFmtId="3" fontId="1" fillId="0" borderId="48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3" fontId="3" fillId="0" borderId="13" xfId="0" applyNumberFormat="1" applyFont="1" applyFill="1" applyBorder="1"/>
    <xf numFmtId="0" fontId="5" fillId="0" borderId="0" xfId="0" applyFont="1"/>
    <xf numFmtId="0" fontId="3" fillId="0" borderId="70" xfId="0" applyFont="1" applyBorder="1" applyAlignment="1">
      <alignment horizontal="center"/>
    </xf>
    <xf numFmtId="0" fontId="3" fillId="0" borderId="15" xfId="0" applyFont="1" applyBorder="1"/>
    <xf numFmtId="1" fontId="2" fillId="0" borderId="0" xfId="0" applyNumberFormat="1" applyFont="1"/>
    <xf numFmtId="0" fontId="1" fillId="2" borderId="61" xfId="0" applyFont="1" applyFill="1" applyBorder="1"/>
    <xf numFmtId="0" fontId="3" fillId="0" borderId="19" xfId="0" applyFont="1" applyBorder="1" applyAlignment="1">
      <alignment horizontal="center"/>
    </xf>
    <xf numFmtId="164" fontId="1" fillId="0" borderId="43" xfId="4" applyNumberFormat="1" applyFont="1" applyFill="1" applyBorder="1"/>
    <xf numFmtId="164" fontId="1" fillId="0" borderId="47" xfId="4" applyNumberFormat="1" applyFont="1" applyFill="1" applyBorder="1"/>
    <xf numFmtId="3" fontId="1" fillId="0" borderId="46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>
      <alignment horizontal="right"/>
    </xf>
    <xf numFmtId="164" fontId="1" fillId="0" borderId="54" xfId="4" applyNumberFormat="1" applyFont="1" applyBorder="1"/>
    <xf numFmtId="164" fontId="1" fillId="0" borderId="47" xfId="4" applyNumberFormat="1" applyFont="1" applyBorder="1"/>
    <xf numFmtId="0" fontId="1" fillId="0" borderId="46" xfId="0" applyFont="1" applyFill="1" applyBorder="1" applyAlignment="1">
      <alignment horizontal="right"/>
    </xf>
    <xf numFmtId="0" fontId="1" fillId="0" borderId="60" xfId="0" applyFont="1" applyFill="1" applyBorder="1" applyAlignment="1">
      <alignment horizontal="right"/>
    </xf>
    <xf numFmtId="3" fontId="1" fillId="0" borderId="35" xfId="1" applyNumberFormat="1" applyFont="1" applyFill="1" applyBorder="1" applyAlignment="1">
      <alignment horizontal="right"/>
    </xf>
    <xf numFmtId="0" fontId="7" fillId="0" borderId="27" xfId="0" applyFont="1" applyBorder="1"/>
    <xf numFmtId="0" fontId="0" fillId="2" borderId="0" xfId="0" applyFill="1"/>
    <xf numFmtId="0" fontId="3" fillId="2" borderId="15" xfId="0" applyFont="1" applyFill="1" applyBorder="1" applyAlignment="1">
      <alignment horizontal="left"/>
    </xf>
    <xf numFmtId="3" fontId="3" fillId="2" borderId="71" xfId="1" applyNumberFormat="1" applyFont="1" applyFill="1" applyBorder="1" applyAlignment="1">
      <alignment horizontal="center"/>
    </xf>
    <xf numFmtId="164" fontId="3" fillId="2" borderId="72" xfId="2" applyNumberFormat="1" applyFont="1" applyFill="1" applyBorder="1" applyAlignment="1">
      <alignment horizontal="center"/>
    </xf>
    <xf numFmtId="164" fontId="3" fillId="2" borderId="80" xfId="2" applyNumberFormat="1" applyFont="1" applyFill="1" applyBorder="1" applyAlignment="1">
      <alignment horizontal="center"/>
    </xf>
    <xf numFmtId="0" fontId="2" fillId="2" borderId="0" xfId="0" applyFont="1" applyFill="1"/>
    <xf numFmtId="1" fontId="1" fillId="2" borderId="24" xfId="2" applyNumberFormat="1" applyFont="1" applyFill="1" applyBorder="1" applyAlignment="1">
      <alignment horizontal="center"/>
    </xf>
    <xf numFmtId="10" fontId="1" fillId="2" borderId="23" xfId="2" applyFont="1" applyFill="1" applyBorder="1" applyAlignment="1">
      <alignment horizontal="center"/>
    </xf>
    <xf numFmtId="10" fontId="1" fillId="2" borderId="25" xfId="2" applyFont="1" applyFill="1" applyBorder="1" applyAlignment="1">
      <alignment horizontal="center"/>
    </xf>
    <xf numFmtId="0" fontId="1" fillId="2" borderId="31" xfId="0" applyFont="1" applyFill="1" applyBorder="1" applyAlignment="1">
      <alignment horizontal="right"/>
    </xf>
    <xf numFmtId="1" fontId="1" fillId="2" borderId="35" xfId="2" applyNumberFormat="1" applyFont="1" applyFill="1" applyBorder="1" applyAlignment="1">
      <alignment horizontal="center"/>
    </xf>
    <xf numFmtId="10" fontId="1" fillId="2" borderId="33" xfId="2" applyFont="1" applyFill="1" applyBorder="1" applyAlignment="1">
      <alignment horizontal="center"/>
    </xf>
    <xf numFmtId="1" fontId="1" fillId="2" borderId="79" xfId="0" applyNumberFormat="1" applyFont="1" applyFill="1" applyBorder="1" applyAlignment="1">
      <alignment horizontal="center"/>
    </xf>
    <xf numFmtId="165" fontId="1" fillId="2" borderId="3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2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left"/>
    </xf>
    <xf numFmtId="0" fontId="1" fillId="2" borderId="27" xfId="0" applyFont="1" applyFill="1" applyBorder="1"/>
    <xf numFmtId="0" fontId="1" fillId="2" borderId="31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0" xfId="0" applyFont="1" applyFill="1"/>
    <xf numFmtId="0" fontId="3" fillId="2" borderId="39" xfId="0" applyFont="1" applyFill="1" applyBorder="1"/>
    <xf numFmtId="0" fontId="1" fillId="2" borderId="48" xfId="0" applyFont="1" applyFill="1" applyBorder="1"/>
    <xf numFmtId="0" fontId="1" fillId="2" borderId="46" xfId="0" applyFont="1" applyFill="1" applyBorder="1"/>
    <xf numFmtId="3" fontId="1" fillId="2" borderId="48" xfId="1" applyNumberFormat="1" applyFont="1" applyFill="1" applyBorder="1" applyAlignment="1">
      <alignment horizontal="right"/>
    </xf>
    <xf numFmtId="3" fontId="1" fillId="2" borderId="47" xfId="1" applyNumberFormat="1" applyFont="1" applyFill="1" applyBorder="1" applyAlignment="1">
      <alignment horizontal="right"/>
    </xf>
    <xf numFmtId="3" fontId="1" fillId="2" borderId="29" xfId="1" applyNumberFormat="1" applyFont="1" applyFill="1" applyBorder="1" applyAlignment="1">
      <alignment horizontal="right"/>
    </xf>
    <xf numFmtId="0" fontId="1" fillId="2" borderId="49" xfId="0" applyFont="1" applyFill="1" applyBorder="1"/>
    <xf numFmtId="3" fontId="1" fillId="2" borderId="45" xfId="0" applyNumberFormat="1" applyFont="1" applyFill="1" applyBorder="1"/>
    <xf numFmtId="0" fontId="1" fillId="2" borderId="28" xfId="0" applyFont="1" applyFill="1" applyBorder="1"/>
    <xf numFmtId="0" fontId="3" fillId="2" borderId="74" xfId="0" applyFont="1" applyFill="1" applyBorder="1"/>
    <xf numFmtId="3" fontId="3" fillId="2" borderId="74" xfId="0" applyNumberFormat="1" applyFont="1" applyFill="1" applyBorder="1"/>
    <xf numFmtId="0" fontId="3" fillId="2" borderId="75" xfId="0" applyFont="1" applyFill="1" applyBorder="1"/>
    <xf numFmtId="3" fontId="3" fillId="2" borderId="76" xfId="0" applyNumberFormat="1" applyFont="1" applyFill="1" applyBorder="1"/>
    <xf numFmtId="0" fontId="1" fillId="2" borderId="56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78" xfId="0" applyNumberFormat="1" applyFont="1" applyFill="1" applyBorder="1"/>
    <xf numFmtId="0" fontId="0" fillId="2" borderId="0" xfId="0" applyFill="1" applyBorder="1"/>
    <xf numFmtId="0" fontId="1" fillId="2" borderId="78" xfId="0" applyFont="1" applyFill="1" applyBorder="1"/>
    <xf numFmtId="0" fontId="3" fillId="2" borderId="39" xfId="3" applyFont="1" applyFill="1" applyBorder="1"/>
    <xf numFmtId="0" fontId="0" fillId="2" borderId="13" xfId="0" applyFill="1" applyBorder="1" applyAlignment="1">
      <alignment horizontal="center"/>
    </xf>
    <xf numFmtId="164" fontId="1" fillId="2" borderId="53" xfId="4" applyNumberFormat="1" applyFont="1" applyFill="1" applyBorder="1"/>
    <xf numFmtId="164" fontId="1" fillId="2" borderId="54" xfId="4" applyNumberFormat="1" applyFont="1" applyFill="1" applyBorder="1"/>
    <xf numFmtId="164" fontId="1" fillId="2" borderId="42" xfId="4" applyNumberFormat="1" applyFont="1" applyFill="1" applyBorder="1"/>
    <xf numFmtId="164" fontId="1" fillId="2" borderId="43" xfId="4" applyNumberFormat="1" applyFont="1" applyFill="1" applyBorder="1"/>
    <xf numFmtId="164" fontId="1" fillId="2" borderId="44" xfId="4" applyNumberFormat="1" applyFont="1" applyFill="1" applyBorder="1"/>
    <xf numFmtId="164" fontId="1" fillId="2" borderId="45" xfId="4" applyNumberFormat="1" applyFont="1" applyFill="1" applyBorder="1"/>
    <xf numFmtId="164" fontId="1" fillId="2" borderId="13" xfId="3" applyNumberFormat="1" applyFont="1" applyFill="1" applyBorder="1"/>
    <xf numFmtId="1" fontId="1" fillId="2" borderId="49" xfId="0" applyNumberFormat="1" applyFont="1" applyFill="1" applyBorder="1"/>
    <xf numFmtId="164" fontId="1" fillId="2" borderId="45" xfId="0" applyNumberFormat="1" applyFont="1" applyFill="1" applyBorder="1"/>
    <xf numFmtId="164" fontId="1" fillId="2" borderId="46" xfId="4" applyNumberFormat="1" applyFont="1" applyFill="1" applyBorder="1"/>
    <xf numFmtId="164" fontId="1" fillId="2" borderId="47" xfId="4" applyNumberFormat="1" applyFont="1" applyFill="1" applyBorder="1"/>
    <xf numFmtId="164" fontId="1" fillId="2" borderId="48" xfId="4" applyNumberFormat="1" applyFont="1" applyFill="1" applyBorder="1"/>
    <xf numFmtId="164" fontId="1" fillId="2" borderId="29" xfId="4" applyNumberFormat="1" applyFont="1" applyFill="1" applyBorder="1"/>
    <xf numFmtId="1" fontId="1" fillId="2" borderId="56" xfId="0" applyNumberFormat="1" applyFont="1" applyFill="1" applyBorder="1"/>
    <xf numFmtId="164" fontId="1" fillId="2" borderId="57" xfId="0" applyNumberFormat="1" applyFont="1" applyFill="1" applyBorder="1"/>
    <xf numFmtId="0" fontId="1" fillId="2" borderId="31" xfId="3" applyFont="1" applyFill="1" applyBorder="1"/>
    <xf numFmtId="0" fontId="1" fillId="2" borderId="27" xfId="0" applyFont="1" applyFill="1" applyBorder="1" applyAlignment="1">
      <alignment horizontal="right"/>
    </xf>
    <xf numFmtId="3" fontId="1" fillId="2" borderId="48" xfId="0" applyNumberFormat="1" applyFont="1" applyFill="1" applyBorder="1"/>
    <xf numFmtId="3" fontId="1" fillId="2" borderId="47" xfId="0" applyNumberFormat="1" applyFont="1" applyFill="1" applyBorder="1"/>
    <xf numFmtId="164" fontId="1" fillId="2" borderId="10" xfId="2" applyNumberFormat="1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right"/>
    </xf>
    <xf numFmtId="0" fontId="1" fillId="2" borderId="48" xfId="0" applyFont="1" applyFill="1" applyBorder="1" applyAlignment="1">
      <alignment horizontal="right"/>
    </xf>
    <xf numFmtId="164" fontId="1" fillId="2" borderId="12" xfId="2" applyNumberFormat="1" applyFont="1" applyFill="1" applyBorder="1" applyAlignment="1">
      <alignment horizontal="right"/>
    </xf>
    <xf numFmtId="0" fontId="1" fillId="2" borderId="58" xfId="0" applyFont="1" applyFill="1" applyBorder="1"/>
    <xf numFmtId="1" fontId="1" fillId="2" borderId="67" xfId="0" applyNumberFormat="1" applyFont="1" applyFill="1" applyBorder="1"/>
    <xf numFmtId="164" fontId="1" fillId="2" borderId="12" xfId="0" applyNumberFormat="1" applyFont="1" applyFill="1" applyBorder="1"/>
    <xf numFmtId="0" fontId="1" fillId="2" borderId="30" xfId="0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0" fontId="1" fillId="2" borderId="68" xfId="0" applyFont="1" applyFill="1" applyBorder="1" applyAlignment="1">
      <alignment horizontal="right"/>
    </xf>
    <xf numFmtId="164" fontId="1" fillId="2" borderId="34" xfId="2" applyNumberFormat="1" applyFont="1" applyFill="1" applyBorder="1" applyAlignment="1">
      <alignment horizontal="right"/>
    </xf>
    <xf numFmtId="164" fontId="1" fillId="2" borderId="33" xfId="2" applyNumberFormat="1" applyFont="1" applyFill="1" applyBorder="1" applyAlignment="1">
      <alignment horizontal="right"/>
    </xf>
    <xf numFmtId="3" fontId="1" fillId="2" borderId="32" xfId="1" applyNumberFormat="1" applyFont="1" applyFill="1" applyBorder="1" applyAlignment="1">
      <alignment horizontal="right"/>
    </xf>
    <xf numFmtId="164" fontId="1" fillId="2" borderId="36" xfId="2" applyNumberFormat="1" applyFont="1" applyFill="1" applyBorder="1" applyAlignment="1">
      <alignment horizontal="right"/>
    </xf>
    <xf numFmtId="1" fontId="1" fillId="2" borderId="79" xfId="0" applyNumberFormat="1" applyFont="1" applyFill="1" applyBorder="1"/>
    <xf numFmtId="164" fontId="1" fillId="2" borderId="36" xfId="0" applyNumberFormat="1" applyFont="1" applyFill="1" applyBorder="1"/>
    <xf numFmtId="0" fontId="1" fillId="3" borderId="60" xfId="0" applyFont="1" applyFill="1" applyBorder="1" applyAlignment="1">
      <alignment horizontal="right"/>
    </xf>
    <xf numFmtId="1" fontId="1" fillId="0" borderId="37" xfId="0" applyNumberFormat="1" applyFont="1" applyBorder="1"/>
    <xf numFmtId="1" fontId="1" fillId="0" borderId="38" xfId="0" applyNumberFormat="1" applyFont="1" applyFill="1" applyBorder="1"/>
    <xf numFmtId="1" fontId="1" fillId="0" borderId="68" xfId="0" applyNumberFormat="1" applyFont="1" applyBorder="1" applyAlignment="1">
      <alignment horizontal="right"/>
    </xf>
    <xf numFmtId="0" fontId="1" fillId="0" borderId="11" xfId="0" applyFont="1" applyFill="1" applyBorder="1" applyAlignment="1"/>
    <xf numFmtId="0" fontId="1" fillId="0" borderId="18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1" fillId="0" borderId="35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4" borderId="32" xfId="0" applyFont="1" applyFill="1" applyBorder="1" applyAlignment="1">
      <alignment horizontal="right"/>
    </xf>
    <xf numFmtId="0" fontId="1" fillId="4" borderId="33" xfId="0" applyFont="1" applyFill="1" applyBorder="1" applyAlignment="1">
      <alignment horizontal="right"/>
    </xf>
    <xf numFmtId="0" fontId="1" fillId="0" borderId="52" xfId="3" applyFont="1" applyBorder="1"/>
    <xf numFmtId="0" fontId="1" fillId="0" borderId="55" xfId="3" applyFont="1" applyBorder="1"/>
    <xf numFmtId="164" fontId="1" fillId="0" borderId="42" xfId="4" applyNumberFormat="1" applyFont="1" applyBorder="1"/>
    <xf numFmtId="164" fontId="1" fillId="0" borderId="44" xfId="4" applyNumberFormat="1" applyFont="1" applyBorder="1"/>
    <xf numFmtId="164" fontId="1" fillId="0" borderId="44" xfId="4" applyNumberFormat="1" applyFont="1" applyFill="1" applyBorder="1"/>
    <xf numFmtId="164" fontId="1" fillId="0" borderId="46" xfId="4" applyNumberFormat="1" applyFont="1" applyBorder="1"/>
    <xf numFmtId="164" fontId="1" fillId="0" borderId="48" xfId="4" applyNumberFormat="1" applyFont="1" applyBorder="1"/>
    <xf numFmtId="164" fontId="1" fillId="0" borderId="48" xfId="4" applyNumberFormat="1" applyFont="1" applyFill="1" applyBorder="1"/>
    <xf numFmtId="0" fontId="1" fillId="4" borderId="35" xfId="0" applyFont="1" applyFill="1" applyBorder="1" applyAlignment="1">
      <alignment horizontal="right"/>
    </xf>
    <xf numFmtId="0" fontId="1" fillId="4" borderId="36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5" borderId="8" xfId="0" applyFont="1" applyFill="1" applyBorder="1"/>
    <xf numFmtId="0" fontId="1" fillId="5" borderId="9" xfId="0" applyFont="1" applyFill="1" applyBorder="1" applyAlignment="1">
      <alignment horizontal="right"/>
    </xf>
    <xf numFmtId="0" fontId="1" fillId="0" borderId="82" xfId="0" applyFont="1" applyFill="1" applyBorder="1"/>
    <xf numFmtId="0" fontId="1" fillId="0" borderId="69" xfId="0" applyFont="1" applyFill="1" applyBorder="1"/>
    <xf numFmtId="1" fontId="1" fillId="0" borderId="35" xfId="0" applyNumberFormat="1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3" fontId="6" fillId="4" borderId="43" xfId="6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right"/>
    </xf>
    <xf numFmtId="0" fontId="4" fillId="0" borderId="0" xfId="0" applyFont="1"/>
    <xf numFmtId="3" fontId="1" fillId="2" borderId="61" xfId="0" applyNumberFormat="1" applyFont="1" applyFill="1" applyBorder="1"/>
    <xf numFmtId="0" fontId="1" fillId="2" borderId="60" xfId="0" applyFont="1" applyFill="1" applyBorder="1"/>
    <xf numFmtId="0" fontId="1" fillId="5" borderId="32" xfId="0" applyFont="1" applyFill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1" fillId="0" borderId="64" xfId="0" applyFont="1" applyFill="1" applyBorder="1"/>
    <xf numFmtId="0" fontId="1" fillId="0" borderId="63" xfId="0" applyFont="1" applyFill="1" applyBorder="1"/>
    <xf numFmtId="0" fontId="1" fillId="0" borderId="65" xfId="0" applyFont="1" applyFill="1" applyBorder="1"/>
    <xf numFmtId="0" fontId="1" fillId="0" borderId="62" xfId="0" applyFont="1" applyFill="1" applyBorder="1"/>
    <xf numFmtId="0" fontId="1" fillId="0" borderId="65" xfId="0" applyFont="1" applyFill="1" applyBorder="1" applyAlignment="1">
      <alignment horizontal="right"/>
    </xf>
    <xf numFmtId="0" fontId="1" fillId="5" borderId="64" xfId="0" applyFont="1" applyFill="1" applyBorder="1"/>
    <xf numFmtId="0" fontId="1" fillId="5" borderId="63" xfId="0" applyFont="1" applyFill="1" applyBorder="1"/>
    <xf numFmtId="0" fontId="1" fillId="0" borderId="65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right"/>
    </xf>
    <xf numFmtId="3" fontId="1" fillId="0" borderId="44" xfId="1" applyNumberFormat="1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0" fontId="1" fillId="0" borderId="62" xfId="0" applyFont="1" applyFill="1" applyBorder="1" applyAlignment="1">
      <alignment horizontal="right"/>
    </xf>
    <xf numFmtId="0" fontId="1" fillId="5" borderId="35" xfId="0" applyFont="1" applyFill="1" applyBorder="1" applyAlignment="1">
      <alignment horizontal="right"/>
    </xf>
    <xf numFmtId="0" fontId="1" fillId="5" borderId="34" xfId="0" applyFont="1" applyFill="1" applyBorder="1" applyAlignment="1">
      <alignment horizontal="right"/>
    </xf>
    <xf numFmtId="0" fontId="1" fillId="5" borderId="33" xfId="0" applyFont="1" applyFill="1" applyBorder="1" applyAlignment="1">
      <alignment horizontal="right"/>
    </xf>
    <xf numFmtId="1" fontId="1" fillId="0" borderId="29" xfId="0" applyNumberFormat="1" applyFont="1" applyFill="1" applyBorder="1" applyAlignment="1">
      <alignment horizontal="center"/>
    </xf>
    <xf numFmtId="0" fontId="1" fillId="0" borderId="66" xfId="0" applyFont="1" applyFill="1" applyBorder="1"/>
    <xf numFmtId="0" fontId="1" fillId="4" borderId="66" xfId="0" applyFont="1" applyFill="1" applyBorder="1"/>
    <xf numFmtId="0" fontId="1" fillId="4" borderId="66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right"/>
    </xf>
    <xf numFmtId="3" fontId="1" fillId="4" borderId="45" xfId="1" applyNumberFormat="1" applyFont="1" applyFill="1" applyBorder="1" applyAlignment="1">
      <alignment horizontal="right"/>
    </xf>
    <xf numFmtId="0" fontId="3" fillId="0" borderId="39" xfId="3" applyFont="1" applyBorder="1"/>
    <xf numFmtId="0" fontId="1" fillId="0" borderId="42" xfId="0" applyFont="1" applyFill="1" applyBorder="1"/>
    <xf numFmtId="0" fontId="1" fillId="0" borderId="44" xfId="0" applyFont="1" applyFill="1" applyBorder="1"/>
    <xf numFmtId="3" fontId="1" fillId="0" borderId="48" xfId="0" applyNumberFormat="1" applyFont="1" applyFill="1" applyBorder="1" applyAlignment="1">
      <alignment horizontal="center"/>
    </xf>
    <xf numFmtId="3" fontId="1" fillId="0" borderId="47" xfId="0" applyNumberFormat="1" applyFont="1" applyFill="1" applyBorder="1" applyAlignment="1">
      <alignment horizontal="center"/>
    </xf>
    <xf numFmtId="3" fontId="1" fillId="0" borderId="47" xfId="0" applyNumberFormat="1" applyFont="1" applyFill="1" applyBorder="1" applyAlignment="1">
      <alignment horizontal="right"/>
    </xf>
    <xf numFmtId="164" fontId="1" fillId="0" borderId="53" xfId="4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1" fontId="1" fillId="0" borderId="49" xfId="0" applyNumberFormat="1" applyFont="1" applyBorder="1"/>
    <xf numFmtId="164" fontId="1" fillId="0" borderId="45" xfId="0" applyNumberFormat="1" applyFont="1" applyBorder="1"/>
    <xf numFmtId="10" fontId="1" fillId="2" borderId="0" xfId="2" applyFont="1" applyFill="1" applyBorder="1" applyAlignment="1">
      <alignment horizontal="center"/>
    </xf>
    <xf numFmtId="164" fontId="1" fillId="0" borderId="10" xfId="2" applyNumberFormat="1" applyFont="1" applyFill="1" applyBorder="1" applyAlignment="1">
      <alignment horizontal="right"/>
    </xf>
    <xf numFmtId="0" fontId="1" fillId="0" borderId="14" xfId="0" applyFont="1" applyBorder="1"/>
    <xf numFmtId="0" fontId="1" fillId="0" borderId="30" xfId="0" applyFont="1" applyBorder="1" applyAlignment="1">
      <alignment horizontal="right"/>
    </xf>
    <xf numFmtId="0" fontId="1" fillId="0" borderId="68" xfId="0" applyFont="1" applyBorder="1" applyAlignment="1">
      <alignment horizontal="right"/>
    </xf>
    <xf numFmtId="164" fontId="1" fillId="0" borderId="34" xfId="2" applyNumberFormat="1" applyFont="1" applyFill="1" applyBorder="1" applyAlignment="1">
      <alignment horizontal="right"/>
    </xf>
    <xf numFmtId="0" fontId="3" fillId="0" borderId="91" xfId="0" applyFont="1" applyFill="1" applyBorder="1"/>
    <xf numFmtId="1" fontId="3" fillId="0" borderId="0" xfId="0" applyNumberFormat="1" applyFont="1" applyFill="1" applyBorder="1" applyAlignment="1">
      <alignment horizontal="right"/>
    </xf>
    <xf numFmtId="1" fontId="3" fillId="0" borderId="92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1" fillId="0" borderId="29" xfId="0" applyNumberFormat="1" applyFont="1" applyFill="1" applyBorder="1" applyAlignment="1">
      <alignment horizontal="right"/>
    </xf>
    <xf numFmtId="3" fontId="1" fillId="0" borderId="29" xfId="1" applyNumberFormat="1" applyFont="1" applyFill="1" applyBorder="1" applyAlignment="1">
      <alignment horizontal="right"/>
    </xf>
    <xf numFmtId="3" fontId="1" fillId="0" borderId="29" xfId="0" applyNumberFormat="1" applyFont="1" applyFill="1" applyBorder="1"/>
    <xf numFmtId="164" fontId="1" fillId="0" borderId="42" xfId="4" applyNumberFormat="1" applyFont="1" applyFill="1" applyBorder="1"/>
    <xf numFmtId="164" fontId="1" fillId="0" borderId="45" xfId="4" applyNumberFormat="1" applyFont="1" applyFill="1" applyBorder="1"/>
    <xf numFmtId="164" fontId="1" fillId="0" borderId="46" xfId="4" applyNumberFormat="1" applyFont="1" applyFill="1" applyBorder="1"/>
    <xf numFmtId="164" fontId="1" fillId="0" borderId="29" xfId="4" applyNumberFormat="1" applyFont="1" applyFill="1" applyBorder="1"/>
    <xf numFmtId="164" fontId="1" fillId="0" borderId="12" xfId="2" applyNumberFormat="1" applyFont="1" applyFill="1" applyBorder="1" applyAlignment="1">
      <alignment horizontal="right"/>
    </xf>
    <xf numFmtId="164" fontId="1" fillId="0" borderId="36" xfId="2" applyNumberFormat="1" applyFont="1" applyFill="1" applyBorder="1" applyAlignment="1">
      <alignment horizontal="right"/>
    </xf>
    <xf numFmtId="0" fontId="1" fillId="2" borderId="73" xfId="0" applyFont="1" applyFill="1" applyBorder="1" applyAlignment="1">
      <alignment horizontal="right"/>
    </xf>
    <xf numFmtId="1" fontId="1" fillId="2" borderId="93" xfId="2" applyNumberFormat="1" applyFont="1" applyFill="1" applyBorder="1" applyAlignment="1">
      <alignment horizontal="center"/>
    </xf>
    <xf numFmtId="10" fontId="1" fillId="2" borderId="94" xfId="2" applyFont="1" applyFill="1" applyBorder="1" applyAlignment="1">
      <alignment horizontal="center"/>
    </xf>
    <xf numFmtId="10" fontId="1" fillId="2" borderId="81" xfId="2" applyFont="1" applyFill="1" applyBorder="1" applyAlignment="1">
      <alignment horizontal="center"/>
    </xf>
    <xf numFmtId="0" fontId="0" fillId="2" borderId="58" xfId="0" applyFill="1" applyBorder="1"/>
    <xf numFmtId="10" fontId="1" fillId="2" borderId="12" xfId="2" applyFont="1" applyFill="1" applyBorder="1" applyAlignment="1">
      <alignment horizontal="center"/>
    </xf>
    <xf numFmtId="0" fontId="1" fillId="2" borderId="47" xfId="4" applyNumberFormat="1" applyFont="1" applyFill="1" applyBorder="1"/>
    <xf numFmtId="0" fontId="3" fillId="2" borderId="46" xfId="0" applyFont="1" applyFill="1" applyBorder="1"/>
    <xf numFmtId="0" fontId="1" fillId="2" borderId="29" xfId="0" applyNumberFormat="1" applyFont="1" applyFill="1" applyBorder="1"/>
    <xf numFmtId="0" fontId="3" fillId="2" borderId="46" xfId="0" applyNumberFormat="1" applyFont="1" applyFill="1" applyBorder="1"/>
    <xf numFmtId="0" fontId="8" fillId="0" borderId="0" xfId="0" applyFont="1" applyFill="1" applyAlignment="1" applyProtection="1"/>
    <xf numFmtId="0" fontId="0" fillId="0" borderId="0" xfId="0" applyFill="1"/>
    <xf numFmtId="0" fontId="8" fillId="0" borderId="0" xfId="0" applyFont="1"/>
    <xf numFmtId="0" fontId="1" fillId="0" borderId="0" xfId="0" applyFont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3" fillId="2" borderId="40" xfId="1" applyNumberFormat="1" applyFont="1" applyFill="1" applyBorder="1" applyAlignment="1">
      <alignment horizontal="center"/>
    </xf>
    <xf numFmtId="164" fontId="3" fillId="2" borderId="6" xfId="2" applyNumberFormat="1" applyFont="1" applyFill="1" applyBorder="1" applyAlignment="1">
      <alignment horizontal="center"/>
    </xf>
    <xf numFmtId="0" fontId="1" fillId="0" borderId="60" xfId="0" applyFont="1" applyFill="1" applyBorder="1"/>
    <xf numFmtId="3" fontId="1" fillId="0" borderId="61" xfId="0" applyNumberFormat="1" applyFont="1" applyFill="1" applyBorder="1"/>
    <xf numFmtId="3" fontId="1" fillId="0" borderId="95" xfId="0" applyNumberFormat="1" applyFont="1" applyFill="1" applyBorder="1"/>
    <xf numFmtId="0" fontId="1" fillId="0" borderId="61" xfId="0" applyFont="1" applyFill="1" applyBorder="1"/>
    <xf numFmtId="3" fontId="1" fillId="0" borderId="56" xfId="0" applyNumberFormat="1" applyFont="1" applyBorder="1"/>
    <xf numFmtId="3" fontId="1" fillId="0" borderId="57" xfId="0" applyNumberFormat="1" applyFont="1" applyBorder="1"/>
    <xf numFmtId="0" fontId="3" fillId="0" borderId="75" xfId="0" applyFont="1" applyFill="1" applyBorder="1"/>
    <xf numFmtId="1" fontId="3" fillId="0" borderId="74" xfId="0" applyNumberFormat="1" applyFont="1" applyFill="1" applyBorder="1" applyAlignment="1">
      <alignment horizontal="right"/>
    </xf>
    <xf numFmtId="1" fontId="3" fillId="0" borderId="76" xfId="0" applyNumberFormat="1" applyFont="1" applyFill="1" applyBorder="1" applyAlignment="1">
      <alignment horizontal="right"/>
    </xf>
    <xf numFmtId="0" fontId="3" fillId="0" borderId="74" xfId="0" applyFont="1" applyFill="1" applyBorder="1"/>
    <xf numFmtId="3" fontId="1" fillId="0" borderId="97" xfId="0" applyNumberFormat="1" applyFont="1" applyBorder="1"/>
    <xf numFmtId="3" fontId="3" fillId="0" borderId="77" xfId="0" applyNumberFormat="1" applyFont="1" applyBorder="1"/>
    <xf numFmtId="3" fontId="1" fillId="0" borderId="44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3" fontId="1" fillId="0" borderId="49" xfId="0" applyNumberFormat="1" applyFont="1" applyBorder="1"/>
    <xf numFmtId="3" fontId="1" fillId="0" borderId="45" xfId="0" applyNumberFormat="1" applyFont="1" applyBorder="1"/>
    <xf numFmtId="0" fontId="1" fillId="0" borderId="40" xfId="0" applyFont="1" applyFill="1" applyBorder="1"/>
    <xf numFmtId="0" fontId="1" fillId="0" borderId="89" xfId="0" applyFont="1" applyFill="1" applyBorder="1"/>
    <xf numFmtId="0" fontId="1" fillId="0" borderId="41" xfId="0" applyFont="1" applyFill="1" applyBorder="1"/>
    <xf numFmtId="0" fontId="1" fillId="0" borderId="6" xfId="0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3" fillId="2" borderId="1" xfId="0" applyFont="1" applyFill="1" applyBorder="1"/>
    <xf numFmtId="0" fontId="1" fillId="0" borderId="42" xfId="0" applyFont="1" applyFill="1" applyBorder="1" applyAlignment="1">
      <alignment horizontal="right"/>
    </xf>
    <xf numFmtId="164" fontId="1" fillId="0" borderId="63" xfId="2" applyNumberFormat="1" applyFont="1" applyFill="1" applyBorder="1" applyAlignment="1">
      <alignment horizontal="right"/>
    </xf>
    <xf numFmtId="164" fontId="1" fillId="0" borderId="66" xfId="2" applyNumberFormat="1" applyFont="1" applyFill="1" applyBorder="1" applyAlignment="1">
      <alignment horizontal="right"/>
    </xf>
    <xf numFmtId="0" fontId="3" fillId="0" borderId="22" xfId="0" applyFont="1" applyBorder="1" applyAlignment="1">
      <alignment horizontal="left" indent="2"/>
    </xf>
    <xf numFmtId="164" fontId="3" fillId="0" borderId="42" xfId="2" applyNumberFormat="1" applyFont="1" applyFill="1" applyBorder="1" applyAlignment="1">
      <alignment horizontal="right"/>
    </xf>
    <xf numFmtId="164" fontId="1" fillId="0" borderId="64" xfId="0" applyNumberFormat="1" applyFont="1" applyFill="1" applyBorder="1" applyAlignment="1">
      <alignment horizontal="right"/>
    </xf>
    <xf numFmtId="3" fontId="1" fillId="0" borderId="101" xfId="0" applyNumberFormat="1" applyFont="1" applyFill="1" applyBorder="1"/>
    <xf numFmtId="3" fontId="1" fillId="0" borderId="102" xfId="0" applyNumberFormat="1" applyFont="1" applyFill="1" applyBorder="1"/>
    <xf numFmtId="0" fontId="1" fillId="0" borderId="103" xfId="0" applyFont="1" applyBorder="1" applyAlignment="1">
      <alignment horizontal="right"/>
    </xf>
    <xf numFmtId="0" fontId="1" fillId="0" borderId="99" xfId="0" applyFont="1" applyFill="1" applyBorder="1" applyAlignment="1">
      <alignment horizontal="right"/>
    </xf>
    <xf numFmtId="164" fontId="1" fillId="0" borderId="84" xfId="2" applyNumberFormat="1" applyFont="1" applyFill="1" applyBorder="1" applyAlignment="1">
      <alignment horizontal="right"/>
    </xf>
    <xf numFmtId="164" fontId="1" fillId="0" borderId="87" xfId="2" applyNumberFormat="1" applyFont="1" applyFill="1" applyBorder="1" applyAlignment="1">
      <alignment horizontal="right"/>
    </xf>
    <xf numFmtId="3" fontId="1" fillId="0" borderId="83" xfId="1" applyNumberFormat="1" applyFont="1" applyFill="1" applyBorder="1" applyAlignment="1">
      <alignment horizontal="right"/>
    </xf>
    <xf numFmtId="3" fontId="1" fillId="0" borderId="45" xfId="1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1" fillId="2" borderId="0" xfId="0" applyFont="1" applyFill="1" applyBorder="1"/>
    <xf numFmtId="0" fontId="4" fillId="0" borderId="0" xfId="0" applyFont="1" applyBorder="1"/>
    <xf numFmtId="0" fontId="0" fillId="0" borderId="0" xfId="0" applyBorder="1"/>
    <xf numFmtId="1" fontId="1" fillId="2" borderId="96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1"/>
    </xf>
    <xf numFmtId="0" fontId="3" fillId="2" borderId="59" xfId="3" applyFont="1" applyFill="1" applyBorder="1" applyAlignment="1">
      <alignment horizontal="left" wrapText="1" indent="1"/>
    </xf>
    <xf numFmtId="0" fontId="1" fillId="2" borderId="58" xfId="0" applyFont="1" applyFill="1" applyBorder="1" applyAlignment="1"/>
    <xf numFmtId="0" fontId="3" fillId="2" borderId="10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53" xfId="3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27" xfId="0" applyFont="1" applyBorder="1" applyAlignment="1">
      <alignment horizontal="left" wrapText="1" indent="3"/>
    </xf>
    <xf numFmtId="1" fontId="1" fillId="0" borderId="47" xfId="0" applyNumberFormat="1" applyFont="1" applyFill="1" applyBorder="1"/>
    <xf numFmtId="1" fontId="1" fillId="2" borderId="28" xfId="0" applyNumberFormat="1" applyFont="1" applyFill="1" applyBorder="1"/>
    <xf numFmtId="165" fontId="1" fillId="2" borderId="28" xfId="3" applyNumberFormat="1" applyFont="1" applyFill="1" applyBorder="1" applyAlignment="1"/>
    <xf numFmtId="1" fontId="1" fillId="2" borderId="29" xfId="0" applyNumberFormat="1" applyFont="1" applyFill="1" applyBorder="1"/>
    <xf numFmtId="0" fontId="1" fillId="2" borderId="44" xfId="0" applyFont="1" applyFill="1" applyBorder="1"/>
    <xf numFmtId="3" fontId="1" fillId="2" borderId="44" xfId="1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left" indent="3"/>
    </xf>
    <xf numFmtId="0" fontId="3" fillId="2" borderId="27" xfId="0" applyFont="1" applyFill="1" applyBorder="1" applyAlignment="1">
      <alignment horizontal="left" indent="3"/>
    </xf>
    <xf numFmtId="0" fontId="1" fillId="0" borderId="27" xfId="0" applyFont="1" applyBorder="1" applyAlignment="1">
      <alignment horizontal="left" indent="3"/>
    </xf>
    <xf numFmtId="0" fontId="1" fillId="2" borderId="27" xfId="0" applyFont="1" applyFill="1" applyBorder="1" applyAlignment="1">
      <alignment horizontal="left" indent="4"/>
    </xf>
    <xf numFmtId="0" fontId="1" fillId="2" borderId="7" xfId="0" applyFont="1" applyFill="1" applyBorder="1" applyAlignment="1">
      <alignment horizontal="left" indent="4"/>
    </xf>
    <xf numFmtId="0" fontId="1" fillId="2" borderId="22" xfId="0" applyFont="1" applyFill="1" applyBorder="1" applyAlignment="1">
      <alignment horizontal="right"/>
    </xf>
    <xf numFmtId="164" fontId="1" fillId="2" borderId="63" xfId="2" applyNumberFormat="1" applyFont="1" applyFill="1" applyBorder="1" applyAlignment="1">
      <alignment horizontal="right"/>
    </xf>
    <xf numFmtId="164" fontId="1" fillId="2" borderId="65" xfId="2" applyNumberFormat="1" applyFont="1" applyFill="1" applyBorder="1" applyAlignment="1">
      <alignment horizontal="right"/>
    </xf>
    <xf numFmtId="0" fontId="1" fillId="2" borderId="44" xfId="0" applyFont="1" applyFill="1" applyBorder="1" applyAlignment="1">
      <alignment horizontal="right"/>
    </xf>
    <xf numFmtId="164" fontId="1" fillId="2" borderId="66" xfId="2" applyNumberFormat="1" applyFont="1" applyFill="1" applyBorder="1" applyAlignment="1">
      <alignment horizontal="right"/>
    </xf>
    <xf numFmtId="1" fontId="1" fillId="2" borderId="88" xfId="0" applyNumberFormat="1" applyFont="1" applyFill="1" applyBorder="1"/>
    <xf numFmtId="164" fontId="1" fillId="2" borderId="66" xfId="0" applyNumberFormat="1" applyFont="1" applyFill="1" applyBorder="1"/>
    <xf numFmtId="0" fontId="3" fillId="0" borderId="64" xfId="0" applyFont="1" applyFill="1" applyBorder="1" applyAlignment="1">
      <alignment horizontal="right"/>
    </xf>
    <xf numFmtId="164" fontId="3" fillId="2" borderId="63" xfId="2" applyNumberFormat="1" applyFont="1" applyFill="1" applyBorder="1" applyAlignment="1">
      <alignment horizontal="right"/>
    </xf>
    <xf numFmtId="164" fontId="3" fillId="2" borderId="65" xfId="2" applyNumberFormat="1" applyFont="1" applyFill="1" applyBorder="1" applyAlignment="1">
      <alignment horizontal="right"/>
    </xf>
    <xf numFmtId="0" fontId="3" fillId="2" borderId="62" xfId="0" applyFont="1" applyFill="1" applyBorder="1" applyAlignment="1">
      <alignment horizontal="right"/>
    </xf>
    <xf numFmtId="164" fontId="3" fillId="2" borderId="66" xfId="2" applyNumberFormat="1" applyFont="1" applyFill="1" applyBorder="1" applyAlignment="1">
      <alignment horizontal="right"/>
    </xf>
    <xf numFmtId="164" fontId="1" fillId="2" borderId="62" xfId="0" applyNumberFormat="1" applyFont="1" applyFill="1" applyBorder="1" applyAlignment="1">
      <alignment horizontal="right"/>
    </xf>
    <xf numFmtId="0" fontId="1" fillId="2" borderId="103" xfId="0" applyFont="1" applyFill="1" applyBorder="1" applyAlignment="1">
      <alignment horizontal="right"/>
    </xf>
    <xf numFmtId="164" fontId="1" fillId="2" borderId="84" xfId="2" applyNumberFormat="1" applyFont="1" applyFill="1" applyBorder="1" applyAlignment="1">
      <alignment horizontal="right"/>
    </xf>
    <xf numFmtId="164" fontId="1" fillId="2" borderId="85" xfId="2" applyNumberFormat="1" applyFont="1" applyFill="1" applyBorder="1" applyAlignment="1">
      <alignment horizontal="right"/>
    </xf>
    <xf numFmtId="0" fontId="1" fillId="2" borderId="100" xfId="0" applyFont="1" applyFill="1" applyBorder="1" applyAlignment="1">
      <alignment horizontal="right"/>
    </xf>
    <xf numFmtId="164" fontId="1" fillId="2" borderId="87" xfId="2" applyNumberFormat="1" applyFont="1" applyFill="1" applyBorder="1" applyAlignment="1">
      <alignment horizontal="right"/>
    </xf>
    <xf numFmtId="1" fontId="1" fillId="2" borderId="106" xfId="0" applyNumberFormat="1" applyFont="1" applyFill="1" applyBorder="1"/>
    <xf numFmtId="164" fontId="1" fillId="2" borderId="87" xfId="0" applyNumberFormat="1" applyFont="1" applyFill="1" applyBorder="1"/>
    <xf numFmtId="3" fontId="1" fillId="2" borderId="86" xfId="1" applyNumberFormat="1" applyFont="1" applyFill="1" applyBorder="1" applyAlignment="1">
      <alignment horizontal="right"/>
    </xf>
    <xf numFmtId="0" fontId="1" fillId="2" borderId="27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3" fillId="2" borderId="107" xfId="0" applyFont="1" applyFill="1" applyBorder="1" applyAlignment="1">
      <alignment horizontal="center"/>
    </xf>
    <xf numFmtId="0" fontId="3" fillId="2" borderId="108" xfId="0" applyFont="1" applyFill="1" applyBorder="1" applyAlignment="1">
      <alignment horizontal="center"/>
    </xf>
    <xf numFmtId="164" fontId="1" fillId="2" borderId="48" xfId="4" applyNumberFormat="1" applyFont="1" applyFill="1" applyBorder="1" applyAlignment="1">
      <alignment wrapText="1"/>
    </xf>
    <xf numFmtId="0" fontId="1" fillId="2" borderId="47" xfId="4" applyNumberFormat="1" applyFont="1" applyFill="1" applyBorder="1" applyAlignment="1">
      <alignment wrapText="1"/>
    </xf>
    <xf numFmtId="0" fontId="3" fillId="2" borderId="46" xfId="0" applyFont="1" applyFill="1" applyBorder="1" applyAlignment="1">
      <alignment wrapText="1"/>
    </xf>
    <xf numFmtId="0" fontId="1" fillId="2" borderId="29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1" fillId="2" borderId="28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22" xfId="3" applyFont="1" applyBorder="1"/>
    <xf numFmtId="0" fontId="1" fillId="0" borderId="27" xfId="3" applyFont="1" applyBorder="1"/>
    <xf numFmtId="0" fontId="1" fillId="4" borderId="60" xfId="0" applyFont="1" applyFill="1" applyBorder="1" applyAlignment="1">
      <alignment horizontal="right"/>
    </xf>
    <xf numFmtId="164" fontId="1" fillId="4" borderId="10" xfId="2" applyNumberFormat="1" applyFont="1" applyFill="1" applyBorder="1" applyAlignment="1">
      <alignment horizontal="right"/>
    </xf>
    <xf numFmtId="10" fontId="1" fillId="2" borderId="36" xfId="2" applyFont="1" applyFill="1" applyBorder="1" applyAlignment="1">
      <alignment horizontal="center"/>
    </xf>
    <xf numFmtId="10" fontId="1" fillId="2" borderId="104" xfId="2" applyFont="1" applyFill="1" applyBorder="1" applyAlignment="1">
      <alignment horizontal="center"/>
    </xf>
    <xf numFmtId="165" fontId="1" fillId="0" borderId="46" xfId="0" applyNumberFormat="1" applyFont="1" applyFill="1" applyBorder="1"/>
    <xf numFmtId="165" fontId="1" fillId="0" borderId="99" xfId="0" applyNumberFormat="1" applyFont="1" applyFill="1" applyBorder="1"/>
    <xf numFmtId="0" fontId="1" fillId="4" borderId="46" xfId="0" applyFont="1" applyFill="1" applyBorder="1"/>
    <xf numFmtId="0" fontId="1" fillId="4" borderId="99" xfId="0" applyFont="1" applyFill="1" applyBorder="1"/>
    <xf numFmtId="0" fontId="1" fillId="4" borderId="48" xfId="0" applyFont="1" applyFill="1" applyBorder="1"/>
    <xf numFmtId="0" fontId="1" fillId="4" borderId="61" xfId="0" applyFont="1" applyFill="1" applyBorder="1"/>
    <xf numFmtId="0" fontId="3" fillId="2" borderId="15" xfId="0" applyFont="1" applyFill="1" applyBorder="1" applyAlignment="1">
      <alignment horizontal="left" indent="1"/>
    </xf>
    <xf numFmtId="3" fontId="3" fillId="0" borderId="116" xfId="0" applyNumberFormat="1" applyFont="1" applyFill="1" applyBorder="1" applyAlignment="1">
      <alignment horizontal="right"/>
    </xf>
    <xf numFmtId="165" fontId="3" fillId="0" borderId="115" xfId="0" applyNumberFormat="1" applyFont="1" applyFill="1" applyBorder="1" applyAlignment="1">
      <alignment horizontal="right"/>
    </xf>
    <xf numFmtId="3" fontId="3" fillId="0" borderId="117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 indent="3"/>
    </xf>
    <xf numFmtId="0" fontId="3" fillId="2" borderId="70" xfId="0" applyFont="1" applyFill="1" applyBorder="1" applyAlignment="1">
      <alignment horizontal="center"/>
    </xf>
    <xf numFmtId="0" fontId="3" fillId="2" borderId="111" xfId="0" applyFont="1" applyFill="1" applyBorder="1" applyAlignment="1">
      <alignment horizontal="center"/>
    </xf>
    <xf numFmtId="0" fontId="3" fillId="2" borderId="112" xfId="0" applyFont="1" applyFill="1" applyBorder="1" applyAlignment="1">
      <alignment horizontal="center"/>
    </xf>
    <xf numFmtId="0" fontId="3" fillId="2" borderId="118" xfId="0" applyFont="1" applyFill="1" applyBorder="1" applyAlignment="1">
      <alignment horizontal="center"/>
    </xf>
    <xf numFmtId="0" fontId="3" fillId="2" borderId="113" xfId="0" applyFont="1" applyFill="1" applyBorder="1" applyAlignment="1">
      <alignment horizontal="center"/>
    </xf>
    <xf numFmtId="0" fontId="3" fillId="2" borderId="119" xfId="0" applyFont="1" applyFill="1" applyBorder="1" applyAlignment="1">
      <alignment horizontal="center"/>
    </xf>
    <xf numFmtId="0" fontId="3" fillId="2" borderId="120" xfId="0" applyFont="1" applyFill="1" applyBorder="1" applyAlignment="1">
      <alignment horizontal="right"/>
    </xf>
    <xf numFmtId="3" fontId="3" fillId="2" borderId="120" xfId="0" applyNumberFormat="1" applyFont="1" applyFill="1" applyBorder="1" applyAlignment="1">
      <alignment horizontal="right"/>
    </xf>
    <xf numFmtId="0" fontId="1" fillId="0" borderId="121" xfId="0" applyFont="1" applyBorder="1" applyAlignment="1">
      <alignment horizontal="left" wrapText="1" indent="3"/>
    </xf>
    <xf numFmtId="164" fontId="1" fillId="2" borderId="122" xfId="4" applyNumberFormat="1" applyFont="1" applyFill="1" applyBorder="1"/>
    <xf numFmtId="0" fontId="1" fillId="2" borderId="123" xfId="4" applyNumberFormat="1" applyFont="1" applyFill="1" applyBorder="1"/>
    <xf numFmtId="0" fontId="3" fillId="2" borderId="124" xfId="0" applyFont="1" applyFill="1" applyBorder="1"/>
    <xf numFmtId="0" fontId="1" fillId="2" borderId="125" xfId="0" applyNumberFormat="1" applyFont="1" applyFill="1" applyBorder="1"/>
    <xf numFmtId="1" fontId="1" fillId="2" borderId="126" xfId="0" applyNumberFormat="1" applyFont="1" applyFill="1" applyBorder="1"/>
    <xf numFmtId="0" fontId="3" fillId="2" borderId="124" xfId="0" applyNumberFormat="1" applyFont="1" applyFill="1" applyBorder="1"/>
    <xf numFmtId="0" fontId="1" fillId="2" borderId="64" xfId="0" applyFont="1" applyFill="1" applyBorder="1"/>
    <xf numFmtId="3" fontId="1" fillId="2" borderId="65" xfId="1" applyNumberFormat="1" applyFont="1" applyFill="1" applyBorder="1" applyAlignment="1">
      <alignment horizontal="right"/>
    </xf>
    <xf numFmtId="0" fontId="1" fillId="4" borderId="11" xfId="0" applyFont="1" applyFill="1" applyBorder="1"/>
    <xf numFmtId="3" fontId="1" fillId="0" borderId="9" xfId="1" applyNumberFormat="1" applyFont="1" applyFill="1" applyBorder="1" applyAlignment="1">
      <alignment horizontal="right"/>
    </xf>
    <xf numFmtId="0" fontId="1" fillId="2" borderId="11" xfId="0" applyFont="1" applyFill="1" applyBorder="1"/>
    <xf numFmtId="3" fontId="1" fillId="0" borderId="9" xfId="0" applyNumberFormat="1" applyFont="1" applyFill="1" applyBorder="1"/>
    <xf numFmtId="3" fontId="1" fillId="0" borderId="17" xfId="0" applyNumberFormat="1" applyFont="1" applyFill="1" applyBorder="1"/>
    <xf numFmtId="0" fontId="3" fillId="2" borderId="127" xfId="0" applyFont="1" applyFill="1" applyBorder="1" applyAlignment="1">
      <alignment horizontal="right"/>
    </xf>
    <xf numFmtId="3" fontId="3" fillId="2" borderId="128" xfId="0" applyNumberFormat="1" applyFont="1" applyFill="1" applyBorder="1" applyAlignment="1">
      <alignment horizontal="right"/>
    </xf>
    <xf numFmtId="0" fontId="1" fillId="2" borderId="62" xfId="0" applyFont="1" applyFill="1" applyBorder="1"/>
    <xf numFmtId="0" fontId="1" fillId="2" borderId="8" xfId="0" applyFont="1" applyFill="1" applyBorder="1"/>
    <xf numFmtId="0" fontId="3" fillId="2" borderId="129" xfId="0" applyFont="1" applyFill="1" applyBorder="1" applyAlignment="1">
      <alignment horizontal="right"/>
    </xf>
    <xf numFmtId="165" fontId="1" fillId="0" borderId="11" xfId="0" applyNumberFormat="1" applyFont="1" applyFill="1" applyBorder="1"/>
    <xf numFmtId="165" fontId="1" fillId="0" borderId="130" xfId="0" applyNumberFormat="1" applyFont="1" applyFill="1" applyBorder="1"/>
    <xf numFmtId="0" fontId="1" fillId="0" borderId="130" xfId="0" applyFont="1" applyFill="1" applyBorder="1"/>
    <xf numFmtId="3" fontId="1" fillId="2" borderId="66" xfId="1" applyNumberFormat="1" applyFont="1" applyFill="1" applyBorder="1" applyAlignment="1">
      <alignment horizontal="right"/>
    </xf>
    <xf numFmtId="165" fontId="1" fillId="2" borderId="8" xfId="0" applyNumberFormat="1" applyFont="1" applyFill="1" applyBorder="1"/>
    <xf numFmtId="3" fontId="1" fillId="2" borderId="12" xfId="1" applyNumberFormat="1" applyFont="1" applyFill="1" applyBorder="1" applyAlignment="1">
      <alignment horizontal="right"/>
    </xf>
    <xf numFmtId="3" fontId="1" fillId="2" borderId="12" xfId="0" applyNumberFormat="1" applyFont="1" applyFill="1" applyBorder="1"/>
    <xf numFmtId="0" fontId="1" fillId="2" borderId="16" xfId="0" applyFont="1" applyFill="1" applyBorder="1"/>
    <xf numFmtId="3" fontId="1" fillId="2" borderId="19" xfId="0" applyNumberFormat="1" applyFont="1" applyFill="1" applyBorder="1"/>
    <xf numFmtId="3" fontId="3" fillId="2" borderId="131" xfId="0" applyNumberFormat="1" applyFont="1" applyFill="1" applyBorder="1" applyAlignment="1">
      <alignment horizontal="right"/>
    </xf>
    <xf numFmtId="0" fontId="3" fillId="2" borderId="110" xfId="0" applyFont="1" applyFill="1" applyBorder="1" applyAlignment="1">
      <alignment horizontal="center"/>
    </xf>
    <xf numFmtId="0" fontId="1" fillId="2" borderId="88" xfId="0" applyFont="1" applyFill="1" applyBorder="1"/>
    <xf numFmtId="0" fontId="1" fillId="2" borderId="66" xfId="0" applyFont="1" applyFill="1" applyBorder="1"/>
    <xf numFmtId="165" fontId="1" fillId="0" borderId="67" xfId="0" applyNumberFormat="1" applyFont="1" applyBorder="1"/>
    <xf numFmtId="1" fontId="1" fillId="2" borderId="66" xfId="0" applyNumberFormat="1" applyFont="1" applyFill="1" applyBorder="1" applyAlignment="1">
      <alignment horizontal="right"/>
    </xf>
    <xf numFmtId="165" fontId="1" fillId="0" borderId="106" xfId="0" applyNumberFormat="1" applyFont="1" applyBorder="1"/>
    <xf numFmtId="1" fontId="1" fillId="2" borderId="132" xfId="0" applyNumberFormat="1" applyFont="1" applyFill="1" applyBorder="1" applyAlignment="1">
      <alignment horizontal="right"/>
    </xf>
    <xf numFmtId="165" fontId="1" fillId="0" borderId="114" xfId="0" applyNumberFormat="1" applyFont="1" applyBorder="1"/>
    <xf numFmtId="1" fontId="3" fillId="2" borderId="131" xfId="0" applyNumberFormat="1" applyFont="1" applyFill="1" applyBorder="1" applyAlignment="1">
      <alignment horizontal="right"/>
    </xf>
    <xf numFmtId="165" fontId="1" fillId="2" borderId="29" xfId="0" applyNumberFormat="1" applyFont="1" applyFill="1" applyBorder="1" applyAlignment="1">
      <alignment horizontal="center"/>
    </xf>
    <xf numFmtId="1" fontId="1" fillId="2" borderId="97" xfId="0" applyNumberFormat="1" applyFont="1" applyFill="1" applyBorder="1" applyAlignment="1">
      <alignment horizontal="center"/>
    </xf>
    <xf numFmtId="0" fontId="1" fillId="2" borderId="24" xfId="0" applyFont="1" applyFill="1" applyBorder="1"/>
    <xf numFmtId="3" fontId="1" fillId="2" borderId="23" xfId="1" applyNumberFormat="1" applyFont="1" applyFill="1" applyBorder="1" applyAlignment="1">
      <alignment horizontal="right"/>
    </xf>
    <xf numFmtId="0" fontId="1" fillId="2" borderId="133" xfId="0" applyFont="1" applyFill="1" applyBorder="1"/>
    <xf numFmtId="165" fontId="3" fillId="2" borderId="129" xfId="0" applyNumberFormat="1" applyFont="1" applyFill="1" applyBorder="1" applyAlignment="1">
      <alignment horizontal="right"/>
    </xf>
    <xf numFmtId="3" fontId="1" fillId="2" borderId="25" xfId="1" applyNumberFormat="1" applyFont="1" applyFill="1" applyBorder="1" applyAlignment="1">
      <alignment horizontal="right"/>
    </xf>
    <xf numFmtId="165" fontId="1" fillId="2" borderId="16" xfId="0" applyNumberFormat="1" applyFont="1" applyFill="1" applyBorder="1"/>
    <xf numFmtId="0" fontId="1" fillId="2" borderId="134" xfId="0" applyFont="1" applyFill="1" applyBorder="1"/>
    <xf numFmtId="0" fontId="1" fillId="2" borderId="25" xfId="0" applyFont="1" applyFill="1" applyBorder="1"/>
    <xf numFmtId="3" fontId="1" fillId="2" borderId="9" xfId="1" applyNumberFormat="1" applyFont="1" applyFill="1" applyBorder="1" applyAlignment="1">
      <alignment horizontal="right"/>
    </xf>
    <xf numFmtId="3" fontId="1" fillId="2" borderId="9" xfId="0" applyNumberFormat="1" applyFont="1" applyFill="1" applyBorder="1"/>
    <xf numFmtId="165" fontId="1" fillId="2" borderId="11" xfId="0" applyNumberFormat="1" applyFont="1" applyFill="1" applyBorder="1"/>
    <xf numFmtId="0" fontId="3" fillId="2" borderId="135" xfId="0" applyFont="1" applyFill="1" applyBorder="1" applyAlignment="1">
      <alignment horizontal="center"/>
    </xf>
    <xf numFmtId="0" fontId="3" fillId="2" borderId="136" xfId="0" applyFont="1" applyFill="1" applyBorder="1" applyAlignment="1">
      <alignment horizontal="center"/>
    </xf>
    <xf numFmtId="0" fontId="3" fillId="2" borderId="137" xfId="0" applyFont="1" applyFill="1" applyBorder="1" applyAlignment="1">
      <alignment horizontal="center"/>
    </xf>
    <xf numFmtId="0" fontId="3" fillId="2" borderId="138" xfId="0" applyFont="1" applyFill="1" applyBorder="1" applyAlignment="1">
      <alignment horizontal="center"/>
    </xf>
    <xf numFmtId="3" fontId="1" fillId="0" borderId="96" xfId="0" applyNumberFormat="1" applyFont="1" applyBorder="1"/>
    <xf numFmtId="3" fontId="3" fillId="0" borderId="104" xfId="0" applyNumberFormat="1" applyFont="1" applyBorder="1"/>
    <xf numFmtId="3" fontId="3" fillId="2" borderId="5" xfId="1" applyNumberFormat="1" applyFont="1" applyFill="1" applyBorder="1" applyAlignment="1">
      <alignment horizontal="center"/>
    </xf>
    <xf numFmtId="1" fontId="3" fillId="0" borderId="104" xfId="0" applyNumberFormat="1" applyFont="1" applyFill="1" applyBorder="1" applyAlignment="1">
      <alignment horizontal="right"/>
    </xf>
    <xf numFmtId="0" fontId="1" fillId="2" borderId="37" xfId="0" applyFont="1" applyFill="1" applyBorder="1"/>
    <xf numFmtId="3" fontId="3" fillId="2" borderId="104" xfId="0" applyNumberFormat="1" applyFont="1" applyFill="1" applyBorder="1"/>
    <xf numFmtId="0" fontId="2" fillId="0" borderId="0" xfId="0" applyFont="1" applyAlignment="1">
      <alignment wrapText="1"/>
    </xf>
    <xf numFmtId="0" fontId="3" fillId="0" borderId="109" xfId="0" applyFont="1" applyBorder="1" applyAlignment="1">
      <alignment horizontal="center" wrapText="1"/>
    </xf>
    <xf numFmtId="0" fontId="3" fillId="0" borderId="139" xfId="0" applyFont="1" applyBorder="1" applyAlignment="1">
      <alignment horizontal="center" wrapText="1"/>
    </xf>
    <xf numFmtId="0" fontId="3" fillId="0" borderId="70" xfId="0" applyFont="1" applyBorder="1" applyAlignment="1">
      <alignment horizontal="center" wrapText="1"/>
    </xf>
    <xf numFmtId="0" fontId="3" fillId="0" borderId="8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40" xfId="0" applyFont="1" applyBorder="1" applyAlignment="1">
      <alignment horizontal="center" wrapText="1"/>
    </xf>
    <xf numFmtId="0" fontId="3" fillId="2" borderId="141" xfId="0" applyFont="1" applyFill="1" applyBorder="1" applyAlignment="1">
      <alignment horizontal="left" indent="1"/>
    </xf>
    <xf numFmtId="0" fontId="3" fillId="2" borderId="58" xfId="0" applyFont="1" applyFill="1" applyBorder="1"/>
    <xf numFmtId="0" fontId="3" fillId="2" borderId="103" xfId="0" applyFont="1" applyFill="1" applyBorder="1" applyAlignment="1">
      <alignment horizontal="left" indent="1"/>
    </xf>
    <xf numFmtId="0" fontId="3" fillId="2" borderId="100" xfId="0" applyFont="1" applyFill="1" applyBorder="1" applyAlignment="1">
      <alignment horizontal="center"/>
    </xf>
    <xf numFmtId="0" fontId="3" fillId="2" borderId="85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101" xfId="0" applyFont="1" applyFill="1" applyBorder="1" applyAlignment="1">
      <alignment horizontal="center"/>
    </xf>
    <xf numFmtId="0" fontId="3" fillId="2" borderId="83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  <xf numFmtId="0" fontId="3" fillId="2" borderId="98" xfId="0" applyFont="1" applyFill="1" applyBorder="1" applyAlignment="1">
      <alignment horizontal="center"/>
    </xf>
    <xf numFmtId="0" fontId="3" fillId="2" borderId="8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indent="2"/>
    </xf>
    <xf numFmtId="0" fontId="3" fillId="2" borderId="64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left" indent="2"/>
    </xf>
    <xf numFmtId="0" fontId="1" fillId="0" borderId="27" xfId="3" applyFont="1" applyBorder="1" applyAlignment="1">
      <alignment horizontal="left" indent="2"/>
    </xf>
    <xf numFmtId="0" fontId="1" fillId="0" borderId="31" xfId="3" applyFont="1" applyBorder="1" applyAlignment="1">
      <alignment horizontal="left" indent="2"/>
    </xf>
    <xf numFmtId="0" fontId="3" fillId="0" borderId="39" xfId="0" applyFont="1" applyBorder="1"/>
    <xf numFmtId="0" fontId="1" fillId="0" borderId="22" xfId="0" applyFont="1" applyBorder="1" applyAlignment="1">
      <alignment horizontal="left" indent="2"/>
    </xf>
    <xf numFmtId="0" fontId="1" fillId="0" borderId="27" xfId="0" applyFont="1" applyBorder="1" applyAlignment="1">
      <alignment horizontal="left" indent="2"/>
    </xf>
    <xf numFmtId="0" fontId="1" fillId="0" borderId="30" xfId="0" applyFont="1" applyBorder="1" applyAlignment="1">
      <alignment horizontal="left" indent="2"/>
    </xf>
    <xf numFmtId="0" fontId="3" fillId="0" borderId="7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left" indent="2"/>
    </xf>
    <xf numFmtId="0" fontId="1" fillId="0" borderId="103" xfId="0" applyFont="1" applyBorder="1" applyAlignment="1">
      <alignment horizontal="left" indent="3"/>
    </xf>
    <xf numFmtId="0" fontId="3" fillId="0" borderId="147" xfId="0" applyFont="1" applyBorder="1" applyAlignment="1">
      <alignment horizontal="center"/>
    </xf>
    <xf numFmtId="1" fontId="1" fillId="0" borderId="134" xfId="0" applyNumberFormat="1" applyFont="1" applyBorder="1"/>
    <xf numFmtId="1" fontId="1" fillId="0" borderId="67" xfId="0" applyNumberFormat="1" applyFont="1" applyBorder="1"/>
    <xf numFmtId="164" fontId="3" fillId="2" borderId="148" xfId="2" applyNumberFormat="1" applyFont="1" applyFill="1" applyBorder="1" applyAlignment="1">
      <alignment horizontal="center"/>
    </xf>
    <xf numFmtId="3" fontId="3" fillId="2" borderId="149" xfId="1" applyNumberFormat="1" applyFont="1" applyFill="1" applyBorder="1" applyAlignment="1">
      <alignment horizontal="center"/>
    </xf>
    <xf numFmtId="3" fontId="3" fillId="2" borderId="150" xfId="1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" fontId="1" fillId="4" borderId="24" xfId="2" applyNumberFormat="1" applyFont="1" applyFill="1" applyBorder="1" applyAlignment="1">
      <alignment horizontal="center"/>
    </xf>
    <xf numFmtId="10" fontId="1" fillId="4" borderId="23" xfId="2" applyFont="1" applyFill="1" applyBorder="1" applyAlignment="1">
      <alignment horizontal="center"/>
    </xf>
    <xf numFmtId="1" fontId="1" fillId="4" borderId="35" xfId="2" applyNumberFormat="1" applyFont="1" applyFill="1" applyBorder="1" applyAlignment="1">
      <alignment horizontal="center"/>
    </xf>
    <xf numFmtId="10" fontId="1" fillId="4" borderId="33" xfId="2" applyFont="1" applyFill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3" fillId="4" borderId="115" xfId="0" applyFont="1" applyFill="1" applyBorder="1" applyAlignment="1">
      <alignment horizontal="right"/>
    </xf>
    <xf numFmtId="3" fontId="1" fillId="0" borderId="65" xfId="1" applyNumberFormat="1" applyFont="1" applyFill="1" applyBorder="1" applyAlignment="1">
      <alignment horizontal="right"/>
    </xf>
    <xf numFmtId="3" fontId="1" fillId="0" borderId="85" xfId="0" applyNumberFormat="1" applyFont="1" applyFill="1" applyBorder="1"/>
    <xf numFmtId="3" fontId="3" fillId="0" borderId="151" xfId="0" applyNumberFormat="1" applyFont="1" applyBorder="1" applyAlignment="1">
      <alignment horizontal="right"/>
    </xf>
    <xf numFmtId="3" fontId="1" fillId="0" borderId="23" xfId="1" applyNumberFormat="1" applyFont="1" applyFill="1" applyBorder="1" applyAlignment="1">
      <alignment horizontal="right"/>
    </xf>
    <xf numFmtId="3" fontId="3" fillId="0" borderId="151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left" indent="2"/>
    </xf>
    <xf numFmtId="0" fontId="0" fillId="0" borderId="0" xfId="0" applyAlignment="1">
      <alignment horizontal="center"/>
    </xf>
    <xf numFmtId="0" fontId="3" fillId="0" borderId="112" xfId="0" applyFont="1" applyBorder="1" applyAlignment="1">
      <alignment horizontal="center" wrapText="1"/>
    </xf>
    <xf numFmtId="0" fontId="3" fillId="0" borderId="10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7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1" fontId="3" fillId="0" borderId="39" xfId="0" applyNumberFormat="1" applyFont="1" applyFill="1" applyBorder="1" applyAlignment="1">
      <alignment horizontal="left"/>
    </xf>
    <xf numFmtId="0" fontId="0" fillId="0" borderId="40" xfId="0" applyBorder="1"/>
    <xf numFmtId="0" fontId="0" fillId="0" borderId="41" xfId="0" applyBorder="1"/>
    <xf numFmtId="0" fontId="0" fillId="0" borderId="6" xfId="0" applyBorder="1"/>
    <xf numFmtId="0" fontId="0" fillId="0" borderId="46" xfId="0" applyBorder="1"/>
    <xf numFmtId="0" fontId="0" fillId="0" borderId="29" xfId="0" applyBorder="1"/>
    <xf numFmtId="0" fontId="1" fillId="0" borderId="31" xfId="0" applyFont="1" applyBorder="1" applyAlignment="1">
      <alignment horizontal="left" indent="2"/>
    </xf>
    <xf numFmtId="0" fontId="0" fillId="0" borderId="50" xfId="0" applyBorder="1"/>
    <xf numFmtId="0" fontId="0" fillId="0" borderId="51" xfId="0" applyBorder="1"/>
    <xf numFmtId="0" fontId="0" fillId="0" borderId="38" xfId="0" applyBorder="1"/>
    <xf numFmtId="0" fontId="1" fillId="0" borderId="27" xfId="0" applyFont="1" applyBorder="1" applyAlignment="1">
      <alignment horizontal="left" indent="1"/>
    </xf>
    <xf numFmtId="0" fontId="0" fillId="0" borderId="53" xfId="0" applyBorder="1"/>
    <xf numFmtId="3" fontId="0" fillId="0" borderId="54" xfId="0" applyNumberFormat="1" applyBorder="1"/>
    <xf numFmtId="3" fontId="0" fillId="0" borderId="63" xfId="0" applyNumberFormat="1" applyBorder="1"/>
    <xf numFmtId="0" fontId="0" fillId="0" borderId="8" xfId="0" applyBorder="1"/>
    <xf numFmtId="0" fontId="1" fillId="0" borderId="30" xfId="0" applyFont="1" applyBorder="1" applyAlignment="1">
      <alignment horizontal="left" indent="1"/>
    </xf>
    <xf numFmtId="0" fontId="1" fillId="0" borderId="73" xfId="0" applyFont="1" applyBorder="1" applyAlignment="1">
      <alignment horizontal="center"/>
    </xf>
    <xf numFmtId="0" fontId="5" fillId="0" borderId="75" xfId="0" applyFont="1" applyBorder="1"/>
    <xf numFmtId="3" fontId="5" fillId="0" borderId="76" xfId="0" applyNumberFormat="1" applyFont="1" applyBorder="1"/>
    <xf numFmtId="0" fontId="5" fillId="0" borderId="0" xfId="0" applyFont="1" applyBorder="1"/>
    <xf numFmtId="0" fontId="3" fillId="2" borderId="39" xfId="0" applyFont="1" applyFill="1" applyBorder="1" applyAlignment="1">
      <alignment horizontal="left"/>
    </xf>
    <xf numFmtId="3" fontId="3" fillId="2" borderId="152" xfId="1" applyNumberFormat="1" applyFont="1" applyFill="1" applyBorder="1" applyAlignment="1">
      <alignment horizontal="center"/>
    </xf>
    <xf numFmtId="164" fontId="3" fillId="2" borderId="41" xfId="2" applyNumberFormat="1" applyFont="1" applyFill="1" applyBorder="1" applyAlignment="1">
      <alignment horizontal="center"/>
    </xf>
    <xf numFmtId="164" fontId="3" fillId="2" borderId="153" xfId="2" applyNumberFormat="1" applyFont="1" applyFill="1" applyBorder="1" applyAlignment="1">
      <alignment horizontal="center"/>
    </xf>
    <xf numFmtId="164" fontId="3" fillId="2" borderId="154" xfId="2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left" indent="1"/>
    </xf>
    <xf numFmtId="10" fontId="0" fillId="0" borderId="23" xfId="2" applyNumberFormat="1" applyFont="1" applyBorder="1"/>
    <xf numFmtId="10" fontId="0" fillId="0" borderId="25" xfId="2" applyFont="1" applyBorder="1"/>
    <xf numFmtId="0" fontId="1" fillId="2" borderId="31" xfId="0" applyFont="1" applyFill="1" applyBorder="1" applyAlignment="1">
      <alignment horizontal="left" indent="1"/>
    </xf>
    <xf numFmtId="0" fontId="0" fillId="0" borderId="35" xfId="0" applyBorder="1"/>
    <xf numFmtId="10" fontId="0" fillId="0" borderId="33" xfId="2" applyFont="1" applyBorder="1"/>
    <xf numFmtId="1" fontId="0" fillId="0" borderId="35" xfId="0" applyNumberFormat="1" applyBorder="1"/>
    <xf numFmtId="10" fontId="0" fillId="0" borderId="38" xfId="2" applyFont="1" applyBorder="1"/>
    <xf numFmtId="0" fontId="0" fillId="0" borderId="54" xfId="0" applyBorder="1"/>
    <xf numFmtId="0" fontId="0" fillId="0" borderId="155" xfId="0" applyBorder="1"/>
    <xf numFmtId="0" fontId="0" fillId="0" borderId="26" xfId="0" applyBorder="1"/>
    <xf numFmtId="0" fontId="1" fillId="0" borderId="7" xfId="0" applyFont="1" applyBorder="1" applyAlignment="1">
      <alignment horizontal="left" wrapText="1" indent="3"/>
    </xf>
    <xf numFmtId="0" fontId="0" fillId="0" borderId="47" xfId="0" applyBorder="1"/>
    <xf numFmtId="2" fontId="1" fillId="0" borderId="7" xfId="0" applyNumberFormat="1" applyFont="1" applyBorder="1" applyAlignment="1">
      <alignment horizontal="left" wrapText="1" indent="3"/>
    </xf>
    <xf numFmtId="0" fontId="0" fillId="0" borderId="124" xfId="0" applyBorder="1"/>
    <xf numFmtId="0" fontId="3" fillId="0" borderId="141" xfId="0" applyFont="1" applyBorder="1" applyAlignment="1">
      <alignment horizontal="left" indent="1"/>
    </xf>
    <xf numFmtId="0" fontId="3" fillId="2" borderId="156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left" indent="3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11" xfId="0" applyBorder="1"/>
    <xf numFmtId="0" fontId="0" fillId="0" borderId="130" xfId="0" applyBorder="1"/>
    <xf numFmtId="0" fontId="3" fillId="2" borderId="157" xfId="0" applyFont="1" applyFill="1" applyBorder="1" applyAlignment="1">
      <alignment horizontal="center"/>
    </xf>
    <xf numFmtId="0" fontId="2" fillId="0" borderId="127" xfId="0" applyFont="1" applyBorder="1"/>
    <xf numFmtId="0" fontId="2" fillId="0" borderId="128" xfId="0" applyFont="1" applyBorder="1"/>
    <xf numFmtId="0" fontId="3" fillId="2" borderId="157" xfId="0" applyFont="1" applyFill="1" applyBorder="1" applyAlignment="1">
      <alignment horizontal="left" indent="3"/>
    </xf>
    <xf numFmtId="10" fontId="0" fillId="0" borderId="9" xfId="2" applyFont="1" applyBorder="1"/>
    <xf numFmtId="10" fontId="0" fillId="0" borderId="12" xfId="2" applyFont="1" applyBorder="1"/>
    <xf numFmtId="10" fontId="0" fillId="0" borderId="17" xfId="2" applyFont="1" applyBorder="1"/>
    <xf numFmtId="10" fontId="0" fillId="0" borderId="19" xfId="2" applyFont="1" applyBorder="1"/>
    <xf numFmtId="0" fontId="0" fillId="0" borderId="24" xfId="0" applyBorder="1"/>
    <xf numFmtId="10" fontId="0" fillId="0" borderId="23" xfId="2" applyFont="1" applyBorder="1"/>
    <xf numFmtId="10" fontId="0" fillId="0" borderId="36" xfId="2" applyFont="1" applyBorder="1"/>
    <xf numFmtId="165" fontId="2" fillId="0" borderId="127" xfId="0" applyNumberFormat="1" applyFont="1" applyBorder="1"/>
    <xf numFmtId="0" fontId="1" fillId="0" borderId="7" xfId="0" applyFont="1" applyBorder="1" applyAlignment="1">
      <alignment horizontal="left" indent="1"/>
    </xf>
    <xf numFmtId="0" fontId="1" fillId="0" borderId="155" xfId="0" applyFont="1" applyBorder="1" applyAlignment="1">
      <alignment horizontal="right" wrapText="1"/>
    </xf>
    <xf numFmtId="1" fontId="0" fillId="0" borderId="44" xfId="0" applyNumberFormat="1" applyBorder="1"/>
    <xf numFmtId="0" fontId="1" fillId="0" borderId="24" xfId="0" applyFont="1" applyBorder="1" applyAlignment="1">
      <alignment horizontal="right" wrapText="1"/>
    </xf>
    <xf numFmtId="1" fontId="0" fillId="0" borderId="64" xfId="0" applyNumberFormat="1" applyBorder="1"/>
    <xf numFmtId="1" fontId="0" fillId="0" borderId="158" xfId="0" applyNumberFormat="1" applyBorder="1"/>
    <xf numFmtId="3" fontId="0" fillId="0" borderId="47" xfId="0" applyNumberFormat="1" applyBorder="1"/>
    <xf numFmtId="0" fontId="0" fillId="0" borderId="99" xfId="0" applyBorder="1"/>
    <xf numFmtId="3" fontId="0" fillId="0" borderId="101" xfId="0" applyNumberFormat="1" applyBorder="1"/>
    <xf numFmtId="0" fontId="0" fillId="0" borderId="78" xfId="0" applyBorder="1"/>
    <xf numFmtId="0" fontId="0" fillId="0" borderId="83" xfId="0" applyBorder="1"/>
    <xf numFmtId="0" fontId="2" fillId="0" borderId="131" xfId="0" applyFont="1" applyBorder="1"/>
    <xf numFmtId="0" fontId="0" fillId="6" borderId="62" xfId="0" applyFill="1" applyBorder="1"/>
    <xf numFmtId="3" fontId="0" fillId="6" borderId="65" xfId="0" applyNumberFormat="1" applyFill="1" applyBorder="1"/>
    <xf numFmtId="3" fontId="0" fillId="6" borderId="63" xfId="0" applyNumberFormat="1" applyFill="1" applyBorder="1"/>
    <xf numFmtId="3" fontId="0" fillId="6" borderId="23" xfId="0" applyNumberFormat="1" applyFill="1" applyBorder="1"/>
    <xf numFmtId="0" fontId="0" fillId="6" borderId="35" xfId="0" applyFill="1" applyBorder="1"/>
    <xf numFmtId="10" fontId="0" fillId="6" borderId="33" xfId="2" applyFont="1" applyFill="1" applyBorder="1"/>
    <xf numFmtId="0" fontId="3" fillId="0" borderId="130" xfId="0" applyFont="1" applyFill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65" fontId="1" fillId="2" borderId="77" xfId="0" applyNumberFormat="1" applyFont="1" applyFill="1" applyBorder="1" applyAlignment="1">
      <alignment horizontal="center"/>
    </xf>
    <xf numFmtId="0" fontId="3" fillId="0" borderId="160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" fillId="2" borderId="103" xfId="0" applyFont="1" applyFill="1" applyBorder="1" applyAlignment="1">
      <alignment horizontal="left" indent="1"/>
    </xf>
    <xf numFmtId="1" fontId="1" fillId="6" borderId="35" xfId="2" applyNumberFormat="1" applyFont="1" applyFill="1" applyBorder="1" applyAlignment="1">
      <alignment horizontal="center"/>
    </xf>
    <xf numFmtId="10" fontId="1" fillId="6" borderId="33" xfId="2" applyFont="1" applyFill="1" applyBorder="1" applyAlignment="1">
      <alignment horizontal="center"/>
    </xf>
    <xf numFmtId="0" fontId="1" fillId="6" borderId="60" xfId="0" applyFont="1" applyFill="1" applyBorder="1" applyAlignment="1">
      <alignment horizontal="right"/>
    </xf>
    <xf numFmtId="164" fontId="1" fillId="6" borderId="9" xfId="2" applyNumberFormat="1" applyFont="1" applyFill="1" applyBorder="1" applyAlignment="1">
      <alignment horizontal="right"/>
    </xf>
    <xf numFmtId="0" fontId="1" fillId="2" borderId="103" xfId="0" applyFont="1" applyFill="1" applyBorder="1"/>
    <xf numFmtId="0" fontId="3" fillId="0" borderId="150" xfId="0" applyFont="1" applyFill="1" applyBorder="1" applyAlignment="1">
      <alignment horizontal="center"/>
    </xf>
    <xf numFmtId="1" fontId="1" fillId="0" borderId="22" xfId="0" applyNumberFormat="1" applyFont="1" applyFill="1" applyBorder="1" applyAlignment="1">
      <alignment horizontal="right"/>
    </xf>
    <xf numFmtId="0" fontId="7" fillId="0" borderId="59" xfId="0" applyFont="1" applyBorder="1"/>
    <xf numFmtId="0" fontId="3" fillId="0" borderId="110" xfId="0" applyFont="1" applyBorder="1" applyAlignment="1">
      <alignment horizontal="center"/>
    </xf>
    <xf numFmtId="1" fontId="1" fillId="0" borderId="30" xfId="0" applyNumberFormat="1" applyFont="1" applyFill="1" applyBorder="1" applyAlignment="1">
      <alignment horizontal="right"/>
    </xf>
    <xf numFmtId="1" fontId="1" fillId="0" borderId="31" xfId="0" applyNumberFormat="1" applyFont="1" applyBorder="1" applyAlignment="1">
      <alignment horizontal="right"/>
    </xf>
    <xf numFmtId="0" fontId="3" fillId="0" borderId="0" xfId="0" applyFont="1" applyBorder="1" applyAlignment="1"/>
    <xf numFmtId="0" fontId="1" fillId="2" borderId="45" xfId="0" applyFont="1" applyFill="1" applyBorder="1"/>
    <xf numFmtId="165" fontId="1" fillId="2" borderId="67" xfId="0" applyNumberFormat="1" applyFont="1" applyFill="1" applyBorder="1" applyAlignment="1">
      <alignment horizontal="right"/>
    </xf>
    <xf numFmtId="1" fontId="1" fillId="2" borderId="45" xfId="0" applyNumberFormat="1" applyFont="1" applyFill="1" applyBorder="1" applyAlignment="1">
      <alignment horizontal="right"/>
    </xf>
    <xf numFmtId="165" fontId="3" fillId="2" borderId="161" xfId="0" applyNumberFormat="1" applyFont="1" applyFill="1" applyBorder="1" applyAlignment="1">
      <alignment horizontal="right"/>
    </xf>
    <xf numFmtId="1" fontId="3" fillId="2" borderId="162" xfId="0" applyNumberFormat="1" applyFont="1" applyFill="1" applyBorder="1" applyAlignment="1">
      <alignment horizontal="right"/>
    </xf>
    <xf numFmtId="0" fontId="3" fillId="2" borderId="16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5" fontId="1" fillId="2" borderId="79" xfId="0" applyNumberFormat="1" applyFont="1" applyFill="1" applyBorder="1" applyAlignment="1">
      <alignment horizontal="right"/>
    </xf>
    <xf numFmtId="0" fontId="3" fillId="2" borderId="56" xfId="0" applyFont="1" applyFill="1" applyBorder="1"/>
    <xf numFmtId="3" fontId="3" fillId="2" borderId="45" xfId="0" applyNumberFormat="1" applyFont="1" applyFill="1" applyBorder="1"/>
    <xf numFmtId="3" fontId="1" fillId="6" borderId="29" xfId="1" applyNumberFormat="1" applyFont="1" applyFill="1" applyBorder="1" applyAlignment="1">
      <alignment horizontal="right"/>
    </xf>
    <xf numFmtId="3" fontId="1" fillId="6" borderId="57" xfId="0" applyNumberFormat="1" applyFont="1" applyFill="1" applyBorder="1"/>
    <xf numFmtId="1" fontId="3" fillId="6" borderId="77" xfId="0" applyNumberFormat="1" applyFont="1" applyFill="1" applyBorder="1" applyAlignment="1">
      <alignment horizontal="right"/>
    </xf>
    <xf numFmtId="0" fontId="1" fillId="6" borderId="19" xfId="0" applyFont="1" applyFill="1" applyBorder="1" applyAlignment="1">
      <alignment horizontal="right"/>
    </xf>
    <xf numFmtId="3" fontId="3" fillId="6" borderId="77" xfId="0" applyNumberFormat="1" applyFont="1" applyFill="1" applyBorder="1"/>
    <xf numFmtId="1" fontId="1" fillId="6" borderId="36" xfId="0" applyNumberFormat="1" applyFont="1" applyFill="1" applyBorder="1" applyAlignment="1">
      <alignment horizontal="right"/>
    </xf>
    <xf numFmtId="3" fontId="1" fillId="2" borderId="95" xfId="0" applyNumberFormat="1" applyFont="1" applyFill="1" applyBorder="1"/>
    <xf numFmtId="0" fontId="3" fillId="2" borderId="155" xfId="3" applyFont="1" applyFill="1" applyBorder="1" applyAlignment="1">
      <alignment horizontal="center"/>
    </xf>
    <xf numFmtId="0" fontId="3" fillId="2" borderId="48" xfId="0" applyNumberFormat="1" applyFont="1" applyFill="1" applyBorder="1"/>
    <xf numFmtId="0" fontId="3" fillId="2" borderId="122" xfId="0" applyNumberFormat="1" applyFont="1" applyFill="1" applyBorder="1"/>
    <xf numFmtId="0" fontId="1" fillId="2" borderId="47" xfId="0" applyNumberFormat="1" applyFont="1" applyFill="1" applyBorder="1"/>
    <xf numFmtId="0" fontId="1" fillId="2" borderId="123" xfId="0" applyNumberFormat="1" applyFont="1" applyFill="1" applyBorder="1"/>
    <xf numFmtId="3" fontId="1" fillId="2" borderId="17" xfId="0" applyNumberFormat="1" applyFont="1" applyFill="1" applyBorder="1"/>
    <xf numFmtId="3" fontId="1" fillId="2" borderId="10" xfId="0" applyNumberFormat="1" applyFont="1" applyFill="1" applyBorder="1"/>
    <xf numFmtId="3" fontId="0" fillId="6" borderId="26" xfId="0" applyNumberFormat="1" applyFill="1" applyBorder="1"/>
    <xf numFmtId="3" fontId="0" fillId="6" borderId="29" xfId="0" applyNumberFormat="1" applyFill="1" applyBorder="1"/>
    <xf numFmtId="3" fontId="0" fillId="6" borderId="102" xfId="0" applyNumberFormat="1" applyFill="1" applyBorder="1"/>
    <xf numFmtId="3" fontId="5" fillId="6" borderId="77" xfId="0" applyNumberFormat="1" applyFont="1" applyFill="1" applyBorder="1"/>
    <xf numFmtId="0" fontId="1" fillId="6" borderId="26" xfId="0" applyFont="1" applyFill="1" applyBorder="1" applyAlignment="1">
      <alignment horizontal="right" wrapText="1"/>
    </xf>
    <xf numFmtId="1" fontId="0" fillId="6" borderId="45" xfId="0" applyNumberFormat="1" applyFill="1" applyBorder="1"/>
    <xf numFmtId="0" fontId="3" fillId="0" borderId="89" xfId="3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40" xfId="3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" fillId="0" borderId="40" xfId="3" applyFont="1" applyFill="1" applyBorder="1" applyAlignment="1">
      <alignment horizontal="center"/>
    </xf>
    <xf numFmtId="0" fontId="3" fillId="0" borderId="142" xfId="0" applyFont="1" applyFill="1" applyBorder="1" applyAlignment="1">
      <alignment horizontal="center"/>
    </xf>
    <xf numFmtId="0" fontId="3" fillId="0" borderId="144" xfId="0" applyFont="1" applyFill="1" applyBorder="1" applyAlignment="1">
      <alignment horizontal="center"/>
    </xf>
    <xf numFmtId="164" fontId="1" fillId="0" borderId="90" xfId="3" applyNumberFormat="1" applyFont="1" applyFill="1" applyBorder="1" applyAlignment="1"/>
    <xf numFmtId="164" fontId="1" fillId="0" borderId="51" xfId="3" applyNumberFormat="1" applyFont="1" applyFill="1" applyBorder="1" applyAlignment="1"/>
    <xf numFmtId="164" fontId="1" fillId="0" borderId="37" xfId="0" applyNumberFormat="1" applyFont="1" applyBorder="1" applyAlignment="1">
      <alignment horizontal="right"/>
    </xf>
    <xf numFmtId="164" fontId="1" fillId="0" borderId="38" xfId="0" applyNumberFormat="1" applyFont="1" applyBorder="1" applyAlignment="1">
      <alignment horizontal="right"/>
    </xf>
    <xf numFmtId="164" fontId="1" fillId="0" borderId="50" xfId="3" applyNumberFormat="1" applyFont="1" applyBorder="1" applyAlignment="1"/>
    <xf numFmtId="164" fontId="1" fillId="0" borderId="51" xfId="3" applyNumberFormat="1" applyFont="1" applyBorder="1" applyAlignment="1"/>
    <xf numFmtId="0" fontId="3" fillId="0" borderId="143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46" xfId="0" applyFont="1" applyBorder="1" applyAlignment="1">
      <alignment horizontal="center"/>
    </xf>
    <xf numFmtId="0" fontId="3" fillId="0" borderId="145" xfId="0" applyFont="1" applyBorder="1" applyAlignment="1">
      <alignment horizontal="center"/>
    </xf>
    <xf numFmtId="0" fontId="3" fillId="2" borderId="40" xfId="3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1" fillId="0" borderId="50" xfId="3" applyNumberFormat="1" applyFont="1" applyFill="1" applyBorder="1" applyAlignment="1"/>
    <xf numFmtId="164" fontId="1" fillId="0" borderId="38" xfId="3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164" fontId="1" fillId="2" borderId="50" xfId="3" applyNumberFormat="1" applyFont="1" applyFill="1" applyBorder="1" applyAlignment="1"/>
    <xf numFmtId="164" fontId="1" fillId="2" borderId="51" xfId="3" applyNumberFormat="1" applyFont="1" applyFill="1" applyBorder="1" applyAlignment="1"/>
    <xf numFmtId="164" fontId="1" fillId="2" borderId="37" xfId="3" applyNumberFormat="1" applyFont="1" applyFill="1" applyBorder="1" applyAlignment="1"/>
    <xf numFmtId="164" fontId="1" fillId="2" borderId="38" xfId="3" applyNumberFormat="1" applyFont="1" applyFill="1" applyBorder="1" applyAlignment="1"/>
    <xf numFmtId="0" fontId="3" fillId="2" borderId="40" xfId="3" applyNumberFormat="1" applyFon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3" fillId="2" borderId="89" xfId="3" applyFont="1" applyFill="1" applyBorder="1" applyAlignment="1">
      <alignment horizontal="center"/>
    </xf>
    <xf numFmtId="0" fontId="3" fillId="2" borderId="89" xfId="0" applyFont="1" applyFill="1" applyBorder="1" applyAlignment="1">
      <alignment horizontal="center"/>
    </xf>
  </cellXfs>
  <cellStyles count="7">
    <cellStyle name="Comma" xfId="1" builtinId="3"/>
    <cellStyle name="Comma 3" xfId="6"/>
    <cellStyle name="Normal" xfId="0" builtinId="0"/>
    <cellStyle name="Normal 4" xfId="5"/>
    <cellStyle name="Normal_Accounting" xfId="3"/>
    <cellStyle name="Percent" xfId="2" builtinId="5"/>
    <cellStyle name="Percent_Account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H1" zoomScaleNormal="100" zoomScaleSheetLayoutView="100" workbookViewId="0">
      <selection activeCell="T4" sqref="T4"/>
    </sheetView>
  </sheetViews>
  <sheetFormatPr defaultRowHeight="12.75" x14ac:dyDescent="0.2"/>
  <cols>
    <col min="1" max="1" width="35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7109375" customWidth="1"/>
    <col min="23" max="23" width="6.7109375" customWidth="1"/>
    <col min="24" max="24" width="10.7109375" customWidth="1"/>
  </cols>
  <sheetData>
    <row r="1" spans="1:24" s="1" customFormat="1" ht="15.75" x14ac:dyDescent="0.25">
      <c r="A1" s="236" t="s">
        <v>90</v>
      </c>
      <c r="B1"/>
      <c r="C1"/>
      <c r="D1"/>
      <c r="E1"/>
      <c r="F1" s="237"/>
      <c r="G1" s="237"/>
      <c r="H1" s="237"/>
      <c r="I1" s="237"/>
    </row>
    <row r="2" spans="1:24" s="1" customFormat="1" ht="15.75" x14ac:dyDescent="0.25">
      <c r="A2" s="236" t="s">
        <v>91</v>
      </c>
      <c r="B2"/>
      <c r="C2"/>
      <c r="D2"/>
      <c r="E2"/>
      <c r="F2" s="237"/>
      <c r="G2" s="237"/>
      <c r="H2" s="237"/>
      <c r="I2" s="237"/>
    </row>
    <row r="3" spans="1:24" s="1" customFormat="1" ht="5.25" customHeight="1" x14ac:dyDescent="0.25">
      <c r="A3" s="236"/>
      <c r="B3"/>
      <c r="C3"/>
      <c r="D3"/>
      <c r="E3"/>
      <c r="F3" s="237"/>
      <c r="G3" s="237"/>
      <c r="H3" s="237"/>
      <c r="I3" s="237"/>
    </row>
    <row r="4" spans="1:24" s="1" customFormat="1" ht="15.75" x14ac:dyDescent="0.25">
      <c r="A4" s="238" t="s">
        <v>92</v>
      </c>
      <c r="B4"/>
      <c r="C4"/>
      <c r="D4"/>
      <c r="E4"/>
      <c r="F4" s="237"/>
      <c r="G4" s="237"/>
      <c r="H4" s="237"/>
      <c r="I4" s="237"/>
    </row>
    <row r="5" spans="1:24" s="1" customFormat="1" ht="6" customHeight="1" x14ac:dyDescent="0.25">
      <c r="A5" s="238"/>
      <c r="B5"/>
      <c r="C5"/>
      <c r="D5"/>
      <c r="E5"/>
      <c r="F5" s="237"/>
      <c r="G5" s="237"/>
      <c r="H5" s="237"/>
      <c r="I5" s="237"/>
    </row>
    <row r="6" spans="1:24" s="1" customFormat="1" ht="25.5" x14ac:dyDescent="0.2">
      <c r="A6" s="430" t="s">
        <v>76</v>
      </c>
      <c r="F6" s="239"/>
      <c r="G6" s="239"/>
      <c r="H6" s="239"/>
      <c r="I6" s="239"/>
      <c r="T6" s="1">
        <f>T12+T14+T18</f>
        <v>157</v>
      </c>
      <c r="U6" s="1" t="s">
        <v>14</v>
      </c>
    </row>
    <row r="7" spans="1:24" s="1" customFormat="1" x14ac:dyDescent="0.2">
      <c r="A7" s="430"/>
      <c r="F7" s="239"/>
      <c r="G7" s="239"/>
      <c r="H7" s="239"/>
      <c r="I7" s="239"/>
    </row>
    <row r="8" spans="1:24" s="1" customFormat="1" ht="13.5" thickBot="1" x14ac:dyDescent="0.25">
      <c r="A8" s="240"/>
      <c r="F8" s="239"/>
      <c r="G8" s="239"/>
      <c r="H8" s="239"/>
      <c r="I8" s="239"/>
    </row>
    <row r="9" spans="1:24" ht="18" customHeight="1" thickTop="1" thickBot="1" x14ac:dyDescent="0.25">
      <c r="A9" s="3"/>
      <c r="B9" s="648" t="s">
        <v>0</v>
      </c>
      <c r="C9" s="649"/>
      <c r="D9" s="648" t="s">
        <v>1</v>
      </c>
      <c r="E9" s="649"/>
      <c r="F9" s="648" t="s">
        <v>2</v>
      </c>
      <c r="G9" s="649"/>
      <c r="H9" s="648" t="s">
        <v>3</v>
      </c>
      <c r="I9" s="649"/>
      <c r="J9" s="648" t="s">
        <v>4</v>
      </c>
      <c r="K9" s="649"/>
      <c r="L9" s="648" t="s">
        <v>5</v>
      </c>
      <c r="M9" s="649"/>
      <c r="N9" s="648" t="s">
        <v>6</v>
      </c>
      <c r="O9" s="649"/>
      <c r="P9" s="648" t="s">
        <v>7</v>
      </c>
      <c r="Q9" s="649"/>
      <c r="R9" s="648" t="s">
        <v>8</v>
      </c>
      <c r="S9" s="649"/>
      <c r="T9" s="648" t="s">
        <v>123</v>
      </c>
      <c r="U9" s="652"/>
      <c r="W9" s="650" t="s">
        <v>9</v>
      </c>
      <c r="X9" s="651"/>
    </row>
    <row r="10" spans="1:24" ht="30" customHeight="1" thickBot="1" x14ac:dyDescent="0.25">
      <c r="A10" s="34" t="s">
        <v>98</v>
      </c>
      <c r="B10" s="431" t="s">
        <v>109</v>
      </c>
      <c r="C10" s="432" t="s">
        <v>110</v>
      </c>
      <c r="D10" s="433" t="s">
        <v>109</v>
      </c>
      <c r="E10" s="432" t="s">
        <v>110</v>
      </c>
      <c r="F10" s="431" t="s">
        <v>109</v>
      </c>
      <c r="G10" s="432" t="s">
        <v>110</v>
      </c>
      <c r="H10" s="431" t="s">
        <v>109</v>
      </c>
      <c r="I10" s="432" t="s">
        <v>110</v>
      </c>
      <c r="J10" s="431" t="s">
        <v>109</v>
      </c>
      <c r="K10" s="432" t="s">
        <v>110</v>
      </c>
      <c r="L10" s="431" t="s">
        <v>109</v>
      </c>
      <c r="M10" s="432" t="s">
        <v>110</v>
      </c>
      <c r="N10" s="431" t="s">
        <v>109</v>
      </c>
      <c r="O10" s="432" t="s">
        <v>110</v>
      </c>
      <c r="P10" s="431" t="s">
        <v>109</v>
      </c>
      <c r="Q10" s="432" t="s">
        <v>110</v>
      </c>
      <c r="R10" s="431" t="s">
        <v>109</v>
      </c>
      <c r="S10" s="432" t="s">
        <v>110</v>
      </c>
      <c r="T10" s="431" t="s">
        <v>109</v>
      </c>
      <c r="U10" s="434" t="s">
        <v>110</v>
      </c>
      <c r="W10" s="435" t="s">
        <v>109</v>
      </c>
      <c r="X10" s="436" t="s">
        <v>110</v>
      </c>
    </row>
    <row r="11" spans="1:24" ht="15" customHeight="1" x14ac:dyDescent="0.2">
      <c r="A11" s="478" t="s">
        <v>77</v>
      </c>
      <c r="B11" s="174"/>
      <c r="C11" s="175"/>
      <c r="D11" s="174"/>
      <c r="E11" s="176"/>
      <c r="F11" s="177"/>
      <c r="G11" s="176"/>
      <c r="H11" s="177"/>
      <c r="I11" s="176"/>
      <c r="J11" s="177"/>
      <c r="K11" s="176"/>
      <c r="L11" s="177"/>
      <c r="M11" s="176"/>
      <c r="N11" s="177"/>
      <c r="O11" s="176"/>
      <c r="P11" s="177"/>
      <c r="Q11" s="176"/>
      <c r="R11" s="177"/>
      <c r="S11" s="176"/>
      <c r="T11" s="174"/>
      <c r="U11" s="190"/>
      <c r="W11" s="468"/>
      <c r="X11" s="15"/>
    </row>
    <row r="12" spans="1:24" ht="15" customHeight="1" x14ac:dyDescent="0.2">
      <c r="A12" s="169" t="s">
        <v>78</v>
      </c>
      <c r="B12" s="174">
        <v>18</v>
      </c>
      <c r="C12" s="175">
        <v>0</v>
      </c>
      <c r="D12" s="174">
        <v>34</v>
      </c>
      <c r="E12" s="176">
        <v>6</v>
      </c>
      <c r="F12" s="177">
        <f>35+15+2</f>
        <v>52</v>
      </c>
      <c r="G12" s="176">
        <v>12</v>
      </c>
      <c r="H12" s="177">
        <f>56+1</f>
        <v>57</v>
      </c>
      <c r="I12" s="176">
        <v>16</v>
      </c>
      <c r="J12" s="177">
        <f>53+1</f>
        <v>54</v>
      </c>
      <c r="K12" s="176">
        <v>13</v>
      </c>
      <c r="L12" s="177">
        <v>30</v>
      </c>
      <c r="M12" s="176">
        <v>18</v>
      </c>
      <c r="N12" s="177">
        <v>48</v>
      </c>
      <c r="O12" s="178">
        <v>12</v>
      </c>
      <c r="P12" s="177">
        <v>54</v>
      </c>
      <c r="Q12" s="176">
        <v>17</v>
      </c>
      <c r="R12" s="177">
        <v>62</v>
      </c>
      <c r="S12" s="176">
        <v>11</v>
      </c>
      <c r="T12" s="174">
        <v>82</v>
      </c>
      <c r="U12" s="191"/>
      <c r="W12" s="469">
        <f>AVERAGE(T12,L12,N12,P12,R12)</f>
        <v>55.2</v>
      </c>
      <c r="X12" s="17">
        <f>AVERAGE(S12,M12,O12,Q12,K12)</f>
        <v>14.2</v>
      </c>
    </row>
    <row r="13" spans="1:24" ht="15" customHeight="1" x14ac:dyDescent="0.2">
      <c r="A13" s="479" t="s">
        <v>79</v>
      </c>
      <c r="B13" s="174"/>
      <c r="C13" s="175"/>
      <c r="D13" s="174"/>
      <c r="E13" s="176"/>
      <c r="F13" s="177"/>
      <c r="G13" s="176"/>
      <c r="H13" s="177"/>
      <c r="I13" s="176"/>
      <c r="J13" s="177"/>
      <c r="K13" s="176"/>
      <c r="L13" s="177"/>
      <c r="M13" s="176"/>
      <c r="N13" s="177"/>
      <c r="O13" s="176"/>
      <c r="P13" s="177"/>
      <c r="Q13" s="176"/>
      <c r="R13" s="177"/>
      <c r="S13" s="176"/>
      <c r="T13" s="174"/>
      <c r="U13" s="191"/>
      <c r="W13" s="469"/>
      <c r="X13" s="17"/>
    </row>
    <row r="14" spans="1:24" ht="15" customHeight="1" x14ac:dyDescent="0.2">
      <c r="A14" s="169" t="s">
        <v>78</v>
      </c>
      <c r="B14" s="179"/>
      <c r="C14" s="180"/>
      <c r="D14" s="174">
        <v>1</v>
      </c>
      <c r="E14" s="181" t="s">
        <v>84</v>
      </c>
      <c r="F14" s="177">
        <v>0</v>
      </c>
      <c r="G14" s="181" t="s">
        <v>84</v>
      </c>
      <c r="H14" s="177">
        <v>2</v>
      </c>
      <c r="I14" s="181" t="s">
        <v>84</v>
      </c>
      <c r="J14" s="177">
        <v>0</v>
      </c>
      <c r="K14" s="181" t="s">
        <v>84</v>
      </c>
      <c r="L14" s="177">
        <v>5</v>
      </c>
      <c r="M14" s="181" t="s">
        <v>84</v>
      </c>
      <c r="N14" s="177">
        <v>0</v>
      </c>
      <c r="O14" s="181" t="s">
        <v>84</v>
      </c>
      <c r="P14" s="177">
        <v>8</v>
      </c>
      <c r="Q14" s="181" t="s">
        <v>84</v>
      </c>
      <c r="R14" s="177">
        <v>4</v>
      </c>
      <c r="S14" s="181" t="s">
        <v>84</v>
      </c>
      <c r="T14" s="174">
        <v>17</v>
      </c>
      <c r="U14" s="192" t="s">
        <v>84</v>
      </c>
      <c r="W14" s="469">
        <f>AVERAGE(T14,L14,N14,P14,R14)</f>
        <v>6.8</v>
      </c>
      <c r="X14" s="189" t="s">
        <v>84</v>
      </c>
    </row>
    <row r="15" spans="1:24" ht="15" customHeight="1" x14ac:dyDescent="0.2">
      <c r="A15" s="47" t="s">
        <v>80</v>
      </c>
      <c r="B15" s="9"/>
      <c r="C15" s="12"/>
      <c r="D15" s="9"/>
      <c r="E15" s="10"/>
      <c r="F15" s="11"/>
      <c r="G15" s="10"/>
      <c r="H15" s="11"/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9"/>
      <c r="U15" s="193"/>
      <c r="W15" s="469"/>
      <c r="X15" s="17"/>
    </row>
    <row r="16" spans="1:24" ht="15" customHeight="1" x14ac:dyDescent="0.2">
      <c r="A16" s="170" t="s">
        <v>81</v>
      </c>
      <c r="B16" s="9">
        <v>428</v>
      </c>
      <c r="C16" s="153">
        <v>112</v>
      </c>
      <c r="D16" s="9">
        <v>439</v>
      </c>
      <c r="E16" s="154">
        <v>108</v>
      </c>
      <c r="F16" s="11">
        <v>437</v>
      </c>
      <c r="G16" s="154">
        <v>103</v>
      </c>
      <c r="H16" s="9">
        <v>462</v>
      </c>
      <c r="I16" s="154">
        <v>107</v>
      </c>
      <c r="J16" s="11">
        <v>457</v>
      </c>
      <c r="K16" s="154">
        <v>105</v>
      </c>
      <c r="L16" s="11">
        <v>464</v>
      </c>
      <c r="M16" s="154">
        <v>105</v>
      </c>
      <c r="N16" s="11">
        <v>473</v>
      </c>
      <c r="O16" s="154">
        <v>108</v>
      </c>
      <c r="P16" s="11">
        <v>482</v>
      </c>
      <c r="Q16" s="154">
        <v>113</v>
      </c>
      <c r="R16" s="11">
        <v>470</v>
      </c>
      <c r="S16" s="154">
        <v>115</v>
      </c>
      <c r="T16" s="9">
        <v>461</v>
      </c>
      <c r="U16" s="194"/>
      <c r="W16" s="469">
        <f>AVERAGE(T16,L16,N16,P16,R16)</f>
        <v>470</v>
      </c>
      <c r="X16" s="17">
        <f>AVERAGE(S16,M16,O16,Q16,K16)</f>
        <v>109.2</v>
      </c>
    </row>
    <row r="17" spans="1:24" ht="15" customHeight="1" x14ac:dyDescent="0.2">
      <c r="A17" s="480" t="s">
        <v>82</v>
      </c>
      <c r="B17" s="182"/>
      <c r="C17" s="183"/>
      <c r="D17" s="182"/>
      <c r="E17" s="184"/>
      <c r="F17" s="185"/>
      <c r="G17" s="184"/>
      <c r="H17" s="185"/>
      <c r="I17" s="184"/>
      <c r="J17" s="185"/>
      <c r="K17" s="184"/>
      <c r="L17" s="185"/>
      <c r="M17" s="184"/>
      <c r="N17" s="185"/>
      <c r="O17" s="184"/>
      <c r="P17" s="185"/>
      <c r="Q17" s="184"/>
      <c r="R17" s="185"/>
      <c r="S17" s="184"/>
      <c r="T17" s="182"/>
      <c r="U17" s="195"/>
      <c r="W17" s="469"/>
      <c r="X17" s="15"/>
    </row>
    <row r="18" spans="1:24" ht="15" customHeight="1" x14ac:dyDescent="0.2">
      <c r="A18" s="171" t="s">
        <v>15</v>
      </c>
      <c r="B18" s="182">
        <v>20</v>
      </c>
      <c r="C18" s="183">
        <f>6+1</f>
        <v>7</v>
      </c>
      <c r="D18" s="182">
        <v>26</v>
      </c>
      <c r="E18" s="184">
        <v>9</v>
      </c>
      <c r="F18" s="185">
        <f>29+9</f>
        <v>38</v>
      </c>
      <c r="G18" s="184">
        <v>9</v>
      </c>
      <c r="H18" s="185">
        <v>66</v>
      </c>
      <c r="I18" s="184">
        <v>9</v>
      </c>
      <c r="J18" s="185">
        <v>89</v>
      </c>
      <c r="K18" s="184">
        <v>21</v>
      </c>
      <c r="L18" s="185">
        <v>78</v>
      </c>
      <c r="M18" s="184">
        <v>26</v>
      </c>
      <c r="N18" s="185">
        <v>67</v>
      </c>
      <c r="O18" s="184">
        <v>25</v>
      </c>
      <c r="P18" s="185">
        <v>67</v>
      </c>
      <c r="Q18" s="184">
        <v>15</v>
      </c>
      <c r="R18" s="185">
        <v>60</v>
      </c>
      <c r="S18" s="184">
        <v>13</v>
      </c>
      <c r="T18" s="182">
        <v>58</v>
      </c>
      <c r="U18" s="195"/>
      <c r="W18" s="469">
        <f>AVERAGE(T18,L18,N18,P18,R18)</f>
        <v>66</v>
      </c>
      <c r="X18" s="17">
        <f t="shared" ref="X18:X19" si="0">AVERAGE(S18,M18,O18,Q18,K18)</f>
        <v>20</v>
      </c>
    </row>
    <row r="19" spans="1:24" ht="15" customHeight="1" thickBot="1" x14ac:dyDescent="0.25">
      <c r="A19" s="172" t="s">
        <v>83</v>
      </c>
      <c r="B19" s="186"/>
      <c r="C19" s="187"/>
      <c r="D19" s="186"/>
      <c r="E19" s="188"/>
      <c r="F19" s="168"/>
      <c r="G19" s="188"/>
      <c r="H19" s="140">
        <v>2</v>
      </c>
      <c r="I19" s="139">
        <v>7</v>
      </c>
      <c r="J19" s="140">
        <v>7</v>
      </c>
      <c r="K19" s="139">
        <v>3</v>
      </c>
      <c r="L19" s="140">
        <v>6</v>
      </c>
      <c r="M19" s="139">
        <v>7</v>
      </c>
      <c r="N19" s="140">
        <v>11</v>
      </c>
      <c r="O19" s="139">
        <v>0</v>
      </c>
      <c r="P19" s="140">
        <v>5</v>
      </c>
      <c r="Q19" s="139">
        <v>6</v>
      </c>
      <c r="R19" s="140">
        <v>7</v>
      </c>
      <c r="S19" s="139">
        <v>5</v>
      </c>
      <c r="T19" s="137">
        <v>15</v>
      </c>
      <c r="U19" s="152"/>
      <c r="W19" s="469">
        <f>AVERAGE(T19,L19,N19,P19,R19)</f>
        <v>8.8000000000000007</v>
      </c>
      <c r="X19" s="17">
        <f t="shared" si="0"/>
        <v>4.2</v>
      </c>
    </row>
    <row r="20" spans="1:24" ht="18" customHeight="1" thickTop="1" thickBot="1" x14ac:dyDescent="0.25">
      <c r="A20" s="459" t="s">
        <v>17</v>
      </c>
      <c r="B20" s="265"/>
      <c r="C20" s="266"/>
      <c r="D20" s="265"/>
      <c r="E20" s="267"/>
      <c r="F20" s="266"/>
      <c r="G20" s="267"/>
      <c r="H20" s="266"/>
      <c r="I20" s="267"/>
      <c r="J20" s="266"/>
      <c r="K20" s="267"/>
      <c r="L20" s="266"/>
      <c r="M20" s="267"/>
      <c r="N20" s="266"/>
      <c r="O20" s="267"/>
      <c r="P20" s="266"/>
      <c r="Q20" s="267"/>
      <c r="R20" s="266"/>
      <c r="S20" s="267"/>
      <c r="T20" s="265"/>
      <c r="U20" s="268"/>
      <c r="W20" s="269"/>
      <c r="X20" s="270"/>
    </row>
    <row r="21" spans="1:24" ht="15" customHeight="1" x14ac:dyDescent="0.2">
      <c r="A21" s="460" t="s">
        <v>18</v>
      </c>
      <c r="B21" s="197"/>
      <c r="C21" s="260"/>
      <c r="D21" s="197"/>
      <c r="E21" s="261"/>
      <c r="F21" s="198"/>
      <c r="G21" s="261"/>
      <c r="H21" s="198"/>
      <c r="I21" s="261"/>
      <c r="J21" s="198"/>
      <c r="K21" s="261"/>
      <c r="L21" s="198"/>
      <c r="M21" s="261"/>
      <c r="N21" s="198"/>
      <c r="O21" s="261"/>
      <c r="P21" s="198"/>
      <c r="Q21" s="261"/>
      <c r="R21" s="198"/>
      <c r="S21" s="261"/>
      <c r="T21" s="197"/>
      <c r="U21" s="262"/>
      <c r="W21" s="263"/>
      <c r="X21" s="264"/>
    </row>
    <row r="22" spans="1:24" ht="15" customHeight="1" x14ac:dyDescent="0.2">
      <c r="A22" s="461" t="s">
        <v>19</v>
      </c>
      <c r="B22" s="23"/>
      <c r="C22" s="199"/>
      <c r="D22" s="23"/>
      <c r="E22" s="200"/>
      <c r="F22" s="24"/>
      <c r="G22" s="201"/>
      <c r="H22" s="24"/>
      <c r="I22" s="201"/>
      <c r="J22" s="24"/>
      <c r="K22" s="201"/>
      <c r="L22" s="24"/>
      <c r="M22" s="201"/>
      <c r="N22" s="24"/>
      <c r="O22" s="201"/>
      <c r="P22" s="24"/>
      <c r="Q22" s="201"/>
      <c r="R22" s="24"/>
      <c r="S22" s="201"/>
      <c r="T22" s="23"/>
      <c r="U22" s="217"/>
      <c r="W22" s="203"/>
      <c r="X22" s="204"/>
    </row>
    <row r="23" spans="1:24" ht="15" customHeight="1" x14ac:dyDescent="0.2">
      <c r="A23" s="461" t="s">
        <v>20</v>
      </c>
      <c r="B23" s="23"/>
      <c r="C23" s="26">
        <v>104</v>
      </c>
      <c r="D23" s="23"/>
      <c r="E23" s="25">
        <v>215</v>
      </c>
      <c r="F23" s="24"/>
      <c r="G23" s="25">
        <v>0</v>
      </c>
      <c r="H23" s="24"/>
      <c r="I23" s="25">
        <v>0</v>
      </c>
      <c r="J23" s="24"/>
      <c r="K23" s="25">
        <v>106</v>
      </c>
      <c r="L23" s="24"/>
      <c r="M23" s="25">
        <v>104</v>
      </c>
      <c r="N23" s="24"/>
      <c r="O23" s="25">
        <v>433</v>
      </c>
      <c r="P23" s="24"/>
      <c r="Q23" s="25">
        <v>617</v>
      </c>
      <c r="R23" s="24"/>
      <c r="S23" s="25">
        <v>592</v>
      </c>
      <c r="T23" s="23"/>
      <c r="U23" s="606"/>
      <c r="W23" s="203"/>
      <c r="X23" s="204">
        <f>AVERAGE(S23,M23,O23,Q23,K23)</f>
        <v>370.4</v>
      </c>
    </row>
    <row r="24" spans="1:24" ht="15" customHeight="1" thickBot="1" x14ac:dyDescent="0.25">
      <c r="A24" s="462" t="s">
        <v>21</v>
      </c>
      <c r="B24" s="248"/>
      <c r="C24" s="249"/>
      <c r="D24" s="248"/>
      <c r="E24" s="250"/>
      <c r="F24" s="251"/>
      <c r="G24" s="250"/>
      <c r="H24" s="251"/>
      <c r="I24" s="250"/>
      <c r="J24" s="251"/>
      <c r="K24" s="250"/>
      <c r="L24" s="251"/>
      <c r="M24" s="250"/>
      <c r="N24" s="251"/>
      <c r="O24" s="250"/>
      <c r="P24" s="251"/>
      <c r="Q24" s="250"/>
      <c r="R24" s="251"/>
      <c r="S24" s="250"/>
      <c r="T24" s="248"/>
      <c r="U24" s="607"/>
      <c r="W24" s="252"/>
      <c r="X24" s="253"/>
    </row>
    <row r="25" spans="1:24" ht="15" customHeight="1" thickBot="1" x14ac:dyDescent="0.25">
      <c r="A25" s="463" t="s">
        <v>22</v>
      </c>
      <c r="B25" s="254"/>
      <c r="C25" s="255">
        <f>SUM(C23:C24)</f>
        <v>104</v>
      </c>
      <c r="D25" s="254"/>
      <c r="E25" s="256">
        <v>215</v>
      </c>
      <c r="F25" s="257"/>
      <c r="G25" s="256">
        <f>SUM(G21:G24)</f>
        <v>0</v>
      </c>
      <c r="H25" s="257"/>
      <c r="I25" s="256">
        <f>SUM(I21:I24)</f>
        <v>0</v>
      </c>
      <c r="J25" s="257"/>
      <c r="K25" s="256">
        <f>SUM(K21:K24)</f>
        <v>106</v>
      </c>
      <c r="L25" s="257"/>
      <c r="M25" s="256">
        <f>SUM(M21:M24)</f>
        <v>104</v>
      </c>
      <c r="N25" s="257"/>
      <c r="O25" s="256">
        <f>SUM(O21:O24)</f>
        <v>433</v>
      </c>
      <c r="P25" s="257"/>
      <c r="Q25" s="256">
        <f>SUM(Q21:Q24)</f>
        <v>617</v>
      </c>
      <c r="R25" s="257"/>
      <c r="S25" s="256">
        <f>SUM(S21:S24)</f>
        <v>592</v>
      </c>
      <c r="T25" s="254"/>
      <c r="U25" s="608">
        <f>SUM(U21:U24)</f>
        <v>0</v>
      </c>
      <c r="W25" s="258"/>
      <c r="X25" s="259">
        <f>AVERAGE(S25,M25,O25,Q25,K25)</f>
        <v>370.4</v>
      </c>
    </row>
    <row r="26" spans="1:24" ht="15" customHeight="1" thickTop="1" thickBot="1" x14ac:dyDescent="0.25">
      <c r="A26" s="464"/>
      <c r="B26" s="213"/>
      <c r="C26" s="214"/>
      <c r="D26" s="213"/>
      <c r="E26" s="215"/>
      <c r="F26" s="216"/>
      <c r="G26" s="215"/>
      <c r="H26" s="216"/>
      <c r="I26" s="215"/>
      <c r="J26" s="216"/>
      <c r="K26" s="215"/>
      <c r="L26" s="216"/>
      <c r="M26" s="215"/>
      <c r="N26" s="216"/>
      <c r="O26" s="215"/>
      <c r="P26" s="216"/>
      <c r="Q26" s="215"/>
      <c r="R26" s="216"/>
      <c r="S26" s="215"/>
      <c r="T26" s="216"/>
      <c r="U26" s="427"/>
      <c r="W26" s="424"/>
      <c r="X26" s="425"/>
    </row>
    <row r="27" spans="1:24" ht="18" customHeight="1" thickTop="1" thickBot="1" x14ac:dyDescent="0.25">
      <c r="A27" s="196" t="s">
        <v>23</v>
      </c>
      <c r="B27" s="628" t="s">
        <v>24</v>
      </c>
      <c r="C27" s="629"/>
      <c r="D27" s="630" t="s">
        <v>25</v>
      </c>
      <c r="E27" s="627"/>
      <c r="F27" s="626" t="s">
        <v>26</v>
      </c>
      <c r="G27" s="627"/>
      <c r="H27" s="626" t="s">
        <v>27</v>
      </c>
      <c r="I27" s="627"/>
      <c r="J27" s="626" t="s">
        <v>28</v>
      </c>
      <c r="K27" s="627"/>
      <c r="L27" s="626" t="s">
        <v>29</v>
      </c>
      <c r="M27" s="627"/>
      <c r="N27" s="626" t="s">
        <v>30</v>
      </c>
      <c r="O27" s="627"/>
      <c r="P27" s="626" t="s">
        <v>31</v>
      </c>
      <c r="Q27" s="627"/>
      <c r="R27" s="626" t="s">
        <v>32</v>
      </c>
      <c r="S27" s="627"/>
      <c r="T27" s="644" t="s">
        <v>124</v>
      </c>
      <c r="U27" s="645"/>
      <c r="W27" s="640" t="s">
        <v>9</v>
      </c>
      <c r="X27" s="641"/>
    </row>
    <row r="28" spans="1:24" ht="15" customHeight="1" x14ac:dyDescent="0.2">
      <c r="A28" s="457" t="s">
        <v>114</v>
      </c>
      <c r="B28" s="202"/>
      <c r="C28" s="42">
        <v>0</v>
      </c>
      <c r="D28" s="145"/>
      <c r="E28" s="38">
        <v>0</v>
      </c>
      <c r="F28" s="146"/>
      <c r="G28" s="38">
        <v>0</v>
      </c>
      <c r="H28" s="147"/>
      <c r="I28" s="38">
        <v>0</v>
      </c>
      <c r="J28" s="147"/>
      <c r="K28" s="38">
        <v>0</v>
      </c>
      <c r="L28" s="147"/>
      <c r="M28" s="38">
        <v>0</v>
      </c>
      <c r="N28" s="147"/>
      <c r="O28" s="38">
        <v>0</v>
      </c>
      <c r="P28" s="147"/>
      <c r="Q28" s="38">
        <v>0</v>
      </c>
      <c r="R28" s="147"/>
      <c r="S28" s="38">
        <v>0</v>
      </c>
      <c r="T28" s="220"/>
      <c r="U28" s="221">
        <v>0</v>
      </c>
      <c r="W28" s="205"/>
      <c r="X28" s="206">
        <f>AVERAGE(U28,M28,O28,Q28,S28)</f>
        <v>0</v>
      </c>
    </row>
    <row r="29" spans="1:24" ht="15" customHeight="1" x14ac:dyDescent="0.2">
      <c r="A29" s="457" t="s">
        <v>115</v>
      </c>
      <c r="B29" s="148"/>
      <c r="C29" s="43">
        <v>1</v>
      </c>
      <c r="D29" s="148"/>
      <c r="E29" s="39">
        <v>1</v>
      </c>
      <c r="F29" s="149"/>
      <c r="G29" s="39">
        <v>1</v>
      </c>
      <c r="H29" s="150"/>
      <c r="I29" s="39">
        <v>1</v>
      </c>
      <c r="J29" s="150"/>
      <c r="K29" s="39">
        <v>1</v>
      </c>
      <c r="L29" s="150"/>
      <c r="M29" s="39">
        <v>1</v>
      </c>
      <c r="N29" s="150"/>
      <c r="O29" s="39">
        <v>1</v>
      </c>
      <c r="P29" s="150"/>
      <c r="Q29" s="39">
        <v>1</v>
      </c>
      <c r="R29" s="150"/>
      <c r="S29" s="39">
        <v>1</v>
      </c>
      <c r="T29" s="222"/>
      <c r="U29" s="223">
        <v>1</v>
      </c>
      <c r="W29" s="205"/>
      <c r="X29" s="206">
        <f>AVERAGE(U29,M29,O29,Q29,S29)</f>
        <v>1</v>
      </c>
    </row>
    <row r="30" spans="1:24" ht="15" customHeight="1" thickBot="1" x14ac:dyDescent="0.25">
      <c r="A30" s="458" t="s">
        <v>116</v>
      </c>
      <c r="B30" s="637">
        <v>0</v>
      </c>
      <c r="C30" s="638"/>
      <c r="D30" s="637">
        <f>1-SUM(D28:E29)</f>
        <v>0</v>
      </c>
      <c r="E30" s="638"/>
      <c r="F30" s="637">
        <f>1-SUM(F28:G29)</f>
        <v>0</v>
      </c>
      <c r="G30" s="638"/>
      <c r="H30" s="633">
        <v>0</v>
      </c>
      <c r="I30" s="634"/>
      <c r="J30" s="633">
        <f>1-K28-K29</f>
        <v>0</v>
      </c>
      <c r="K30" s="634"/>
      <c r="L30" s="633">
        <f>1-M28-M29</f>
        <v>0</v>
      </c>
      <c r="M30" s="634"/>
      <c r="N30" s="633">
        <f>1-O28-O29</f>
        <v>0</v>
      </c>
      <c r="O30" s="634"/>
      <c r="P30" s="633">
        <f>1-Q28-Q29</f>
        <v>0</v>
      </c>
      <c r="Q30" s="634"/>
      <c r="R30" s="633">
        <f>1-S28-S29</f>
        <v>0</v>
      </c>
      <c r="S30" s="634"/>
      <c r="T30" s="646">
        <f>1-U28-U29</f>
        <v>0</v>
      </c>
      <c r="U30" s="647"/>
      <c r="W30" s="635">
        <f>AVERAGE(T30,L30,N30,P30,R30)</f>
        <v>0</v>
      </c>
      <c r="X30" s="636" t="e">
        <f t="shared" ref="X30" si="1">AVERAGE(K30,M30,O30,Q30,I30)</f>
        <v>#DIV/0!</v>
      </c>
    </row>
    <row r="31" spans="1:24" s="2" customFormat="1" ht="18" customHeight="1" thickTop="1" thickBot="1" x14ac:dyDescent="0.25">
      <c r="A31" s="49" t="s">
        <v>62</v>
      </c>
      <c r="B31" s="50" t="s">
        <v>33</v>
      </c>
      <c r="C31" s="470" t="s">
        <v>66</v>
      </c>
      <c r="D31" s="471" t="s">
        <v>33</v>
      </c>
      <c r="E31" s="51" t="s">
        <v>66</v>
      </c>
      <c r="F31" s="50" t="s">
        <v>33</v>
      </c>
      <c r="G31" s="470" t="s">
        <v>66</v>
      </c>
      <c r="H31" s="471" t="s">
        <v>33</v>
      </c>
      <c r="I31" s="51" t="s">
        <v>66</v>
      </c>
      <c r="J31" s="50" t="s">
        <v>33</v>
      </c>
      <c r="K31" s="470" t="s">
        <v>66</v>
      </c>
      <c r="L31" s="471" t="s">
        <v>33</v>
      </c>
      <c r="M31" s="51" t="s">
        <v>66</v>
      </c>
      <c r="N31" s="50" t="s">
        <v>33</v>
      </c>
      <c r="O31" s="470" t="s">
        <v>66</v>
      </c>
      <c r="P31" s="471" t="s">
        <v>33</v>
      </c>
      <c r="Q31" s="51" t="s">
        <v>66</v>
      </c>
      <c r="R31" s="471" t="s">
        <v>33</v>
      </c>
      <c r="S31" s="51" t="s">
        <v>66</v>
      </c>
      <c r="T31" s="471" t="s">
        <v>33</v>
      </c>
      <c r="U31" s="52" t="s">
        <v>66</v>
      </c>
      <c r="V31" s="53"/>
      <c r="W31" s="472" t="s">
        <v>33</v>
      </c>
      <c r="X31" s="473" t="s">
        <v>66</v>
      </c>
    </row>
    <row r="32" spans="1:24" s="2" customFormat="1" ht="15" customHeight="1" x14ac:dyDescent="0.2">
      <c r="A32" s="456" t="s">
        <v>86</v>
      </c>
      <c r="B32" s="474"/>
      <c r="C32" s="475"/>
      <c r="D32" s="474"/>
      <c r="E32" s="475"/>
      <c r="F32" s="474"/>
      <c r="G32" s="475"/>
      <c r="H32" s="54">
        <v>13</v>
      </c>
      <c r="I32" s="55">
        <f>H32/SUM(H12)</f>
        <v>0.22807017543859648</v>
      </c>
      <c r="J32" s="54">
        <v>16</v>
      </c>
      <c r="K32" s="55">
        <f>J32/SUM(J12)</f>
        <v>0.29629629629629628</v>
      </c>
      <c r="L32" s="54">
        <v>9</v>
      </c>
      <c r="M32" s="55">
        <f>L32/SUM(L12)</f>
        <v>0.3</v>
      </c>
      <c r="N32" s="54">
        <v>11</v>
      </c>
      <c r="O32" s="55">
        <f>N32/SUM(N12)</f>
        <v>0.22916666666666666</v>
      </c>
      <c r="P32" s="54">
        <v>15</v>
      </c>
      <c r="Q32" s="55">
        <f>P32/SUM(P12)</f>
        <v>0.27777777777777779</v>
      </c>
      <c r="R32" s="54">
        <v>15</v>
      </c>
      <c r="S32" s="55">
        <f>R32/SUM(R12)</f>
        <v>0.24193548387096775</v>
      </c>
      <c r="T32" s="54"/>
      <c r="U32" s="56">
        <f>T32/SUM(T12)</f>
        <v>0</v>
      </c>
      <c r="V32" s="53"/>
      <c r="W32" s="469">
        <f>AVERAGE(T32,L32,N32,P32,R32)</f>
        <v>12.5</v>
      </c>
      <c r="X32" s="231">
        <f>W32/W12</f>
        <v>0.22644927536231882</v>
      </c>
    </row>
    <row r="33" spans="1:24" ht="15" customHeight="1" thickBot="1" x14ac:dyDescent="0.25">
      <c r="A33" s="487" t="s">
        <v>87</v>
      </c>
      <c r="B33" s="476"/>
      <c r="C33" s="477"/>
      <c r="D33" s="476"/>
      <c r="E33" s="477"/>
      <c r="F33" s="476"/>
      <c r="G33" s="477"/>
      <c r="H33" s="58">
        <v>11</v>
      </c>
      <c r="I33" s="59">
        <f>H33/SUM(H18)</f>
        <v>0.16666666666666666</v>
      </c>
      <c r="J33" s="58">
        <v>10</v>
      </c>
      <c r="K33" s="59">
        <f>J33/SUM(J18)</f>
        <v>0.11235955056179775</v>
      </c>
      <c r="L33" s="58">
        <v>9</v>
      </c>
      <c r="M33" s="59">
        <f>L33/SUM(L18)</f>
        <v>0.11538461538461539</v>
      </c>
      <c r="N33" s="58">
        <v>7</v>
      </c>
      <c r="O33" s="59">
        <f>N33/SUM(N18)</f>
        <v>0.1044776119402985</v>
      </c>
      <c r="P33" s="58">
        <v>11</v>
      </c>
      <c r="Q33" s="59">
        <f>P33/SUM(P18)</f>
        <v>0.16417910447761194</v>
      </c>
      <c r="R33" s="58">
        <v>9</v>
      </c>
      <c r="S33" s="59">
        <f>R33/SUM(R18)</f>
        <v>0.15</v>
      </c>
      <c r="T33" s="58"/>
      <c r="U33" s="348">
        <f>T33/SUM(T18)</f>
        <v>0</v>
      </c>
      <c r="V33" s="48"/>
      <c r="W33" s="469">
        <f>AVERAGE(T33,L33,N33,P33,R33)</f>
        <v>9</v>
      </c>
      <c r="X33" s="348">
        <f>W33/W18</f>
        <v>0.13636363636363635</v>
      </c>
    </row>
    <row r="34" spans="1:24" ht="15" customHeight="1" thickTop="1" x14ac:dyDescent="0.2">
      <c r="A34" s="62"/>
      <c r="B34" s="63"/>
      <c r="C34" s="207"/>
      <c r="D34" s="63"/>
      <c r="E34" s="207"/>
      <c r="F34" s="63"/>
      <c r="G34" s="207"/>
      <c r="H34" s="63"/>
      <c r="I34" s="207"/>
      <c r="J34" s="63"/>
      <c r="K34" s="207"/>
      <c r="L34" s="63"/>
      <c r="M34" s="207"/>
      <c r="N34" s="63"/>
      <c r="O34" s="207"/>
      <c r="P34" s="63"/>
      <c r="Q34" s="207"/>
      <c r="R34" s="63"/>
      <c r="S34" s="207"/>
      <c r="T34" s="63"/>
      <c r="U34" s="207"/>
      <c r="V34" s="48"/>
      <c r="W34" s="64"/>
      <c r="X34" s="65"/>
    </row>
    <row r="35" spans="1:24" ht="15" customHeight="1" thickBot="1" x14ac:dyDescent="0.25"/>
    <row r="36" spans="1:24" ht="18" customHeight="1" thickTop="1" thickBot="1" x14ac:dyDescent="0.25">
      <c r="A36" s="271" t="s">
        <v>99</v>
      </c>
      <c r="B36" s="631" t="s">
        <v>24</v>
      </c>
      <c r="C36" s="639"/>
      <c r="D36" s="631" t="s">
        <v>25</v>
      </c>
      <c r="E36" s="632"/>
      <c r="F36" s="631" t="s">
        <v>26</v>
      </c>
      <c r="G36" s="632"/>
      <c r="H36" s="631" t="s">
        <v>27</v>
      </c>
      <c r="I36" s="632"/>
      <c r="J36" s="631" t="s">
        <v>28</v>
      </c>
      <c r="K36" s="632"/>
      <c r="L36" s="631" t="s">
        <v>29</v>
      </c>
      <c r="M36" s="632"/>
      <c r="N36" s="631" t="s">
        <v>30</v>
      </c>
      <c r="O36" s="632"/>
      <c r="P36" s="631" t="s">
        <v>31</v>
      </c>
      <c r="Q36" s="632"/>
      <c r="R36" s="631" t="s">
        <v>32</v>
      </c>
      <c r="S36" s="632"/>
      <c r="T36" s="644" t="s">
        <v>124</v>
      </c>
      <c r="U36" s="645"/>
      <c r="W36" s="642" t="s">
        <v>9</v>
      </c>
      <c r="X36" s="643"/>
    </row>
    <row r="37" spans="1:24" s="1" customFormat="1" ht="18.75" customHeight="1" thickBot="1" x14ac:dyDescent="0.25">
      <c r="A37" s="439" t="s">
        <v>111</v>
      </c>
      <c r="B37" s="440" t="s">
        <v>34</v>
      </c>
      <c r="C37" s="441" t="s">
        <v>35</v>
      </c>
      <c r="D37" s="442" t="s">
        <v>34</v>
      </c>
      <c r="E37" s="443" t="s">
        <v>35</v>
      </c>
      <c r="F37" s="440" t="s">
        <v>34</v>
      </c>
      <c r="G37" s="441" t="s">
        <v>35</v>
      </c>
      <c r="H37" s="442" t="s">
        <v>34</v>
      </c>
      <c r="I37" s="443" t="s">
        <v>35</v>
      </c>
      <c r="J37" s="440" t="s">
        <v>34</v>
      </c>
      <c r="K37" s="441" t="s">
        <v>35</v>
      </c>
      <c r="L37" s="442" t="s">
        <v>34</v>
      </c>
      <c r="M37" s="443" t="s">
        <v>35</v>
      </c>
      <c r="N37" s="440" t="s">
        <v>34</v>
      </c>
      <c r="O37" s="441" t="s">
        <v>35</v>
      </c>
      <c r="P37" s="442" t="s">
        <v>34</v>
      </c>
      <c r="Q37" s="443" t="s">
        <v>35</v>
      </c>
      <c r="R37" s="442" t="s">
        <v>34</v>
      </c>
      <c r="S37" s="443" t="s">
        <v>35</v>
      </c>
      <c r="T37" s="444" t="s">
        <v>34</v>
      </c>
      <c r="U37" s="445" t="s">
        <v>35</v>
      </c>
      <c r="V37" s="438"/>
      <c r="W37" s="446" t="s">
        <v>34</v>
      </c>
      <c r="X37" s="447" t="s">
        <v>35</v>
      </c>
    </row>
    <row r="38" spans="1:24" ht="15" customHeight="1" x14ac:dyDescent="0.2">
      <c r="A38" s="275" t="s">
        <v>36</v>
      </c>
      <c r="B38" s="197"/>
      <c r="C38" s="482"/>
      <c r="D38" s="197"/>
      <c r="E38" s="485"/>
      <c r="F38" s="197"/>
      <c r="G38" s="485"/>
      <c r="H38" s="197"/>
      <c r="I38" s="485"/>
      <c r="J38" s="197"/>
      <c r="K38" s="184"/>
      <c r="L38" s="197"/>
      <c r="M38" s="184"/>
      <c r="N38" s="197"/>
      <c r="O38" s="184"/>
      <c r="P38" s="197"/>
      <c r="Q38" s="184"/>
      <c r="R38" s="197"/>
      <c r="S38" s="184"/>
      <c r="T38" s="197"/>
      <c r="U38" s="285"/>
      <c r="W38" s="399"/>
      <c r="X38" s="596"/>
    </row>
    <row r="39" spans="1:24" ht="15" customHeight="1" x14ac:dyDescent="0.2">
      <c r="A39" s="309" t="s">
        <v>37</v>
      </c>
      <c r="B39" s="352"/>
      <c r="C39" s="379">
        <v>2</v>
      </c>
      <c r="D39" s="352"/>
      <c r="E39" s="379">
        <v>2</v>
      </c>
      <c r="F39" s="352"/>
      <c r="G39" s="379">
        <v>1</v>
      </c>
      <c r="H39" s="352"/>
      <c r="I39" s="379">
        <v>1</v>
      </c>
      <c r="J39" s="350">
        <v>1</v>
      </c>
      <c r="K39" s="25">
        <v>1</v>
      </c>
      <c r="L39" s="350">
        <v>1</v>
      </c>
      <c r="M39" s="25">
        <v>1</v>
      </c>
      <c r="N39" s="350">
        <v>1</v>
      </c>
      <c r="O39" s="25">
        <v>1</v>
      </c>
      <c r="P39" s="350">
        <v>2</v>
      </c>
      <c r="Q39" s="25">
        <v>2</v>
      </c>
      <c r="R39" s="350">
        <v>1</v>
      </c>
      <c r="S39" s="25">
        <v>1</v>
      </c>
      <c r="T39" s="350"/>
      <c r="U39" s="218"/>
      <c r="W39" s="597">
        <f>AVERAGE(N39,L39,R39,T39,P39)</f>
        <v>1.25</v>
      </c>
      <c r="X39" s="598">
        <f>AVERAGE(O39,M39,S39,U39,Q39)</f>
        <v>1.25</v>
      </c>
    </row>
    <row r="40" spans="1:24" ht="15" customHeight="1" x14ac:dyDescent="0.2">
      <c r="A40" s="309" t="s">
        <v>38</v>
      </c>
      <c r="B40" s="352"/>
      <c r="C40" s="379">
        <v>0</v>
      </c>
      <c r="D40" s="352"/>
      <c r="E40" s="379">
        <v>0</v>
      </c>
      <c r="F40" s="352"/>
      <c r="G40" s="379">
        <v>0</v>
      </c>
      <c r="H40" s="352"/>
      <c r="I40" s="379">
        <v>0</v>
      </c>
      <c r="J40" s="350">
        <v>0</v>
      </c>
      <c r="K40" s="25">
        <v>0</v>
      </c>
      <c r="L40" s="350">
        <v>0</v>
      </c>
      <c r="M40" s="25">
        <v>0</v>
      </c>
      <c r="N40" s="350">
        <v>0</v>
      </c>
      <c r="O40" s="25">
        <v>0</v>
      </c>
      <c r="P40" s="350">
        <v>0</v>
      </c>
      <c r="Q40" s="25">
        <v>0</v>
      </c>
      <c r="R40" s="350">
        <v>0</v>
      </c>
      <c r="S40" s="25">
        <v>0</v>
      </c>
      <c r="T40" s="350"/>
      <c r="U40" s="218"/>
      <c r="W40" s="597">
        <f t="shared" ref="W40:X43" si="2">AVERAGE(N40,L40,R40,T40,P40)</f>
        <v>0</v>
      </c>
      <c r="X40" s="598">
        <f t="shared" si="2"/>
        <v>0</v>
      </c>
    </row>
    <row r="41" spans="1:24" ht="15" customHeight="1" x14ac:dyDescent="0.2">
      <c r="A41" s="465" t="s">
        <v>85</v>
      </c>
      <c r="B41" s="23"/>
      <c r="C41" s="381"/>
      <c r="D41" s="23"/>
      <c r="E41" s="381"/>
      <c r="F41" s="23"/>
      <c r="G41" s="381"/>
      <c r="H41" s="23"/>
      <c r="I41" s="381"/>
      <c r="J41" s="350"/>
      <c r="K41" s="27"/>
      <c r="L41" s="350"/>
      <c r="M41" s="27"/>
      <c r="N41" s="350"/>
      <c r="O41" s="27"/>
      <c r="P41" s="350"/>
      <c r="Q41" s="27"/>
      <c r="R41" s="350"/>
      <c r="S41" s="27"/>
      <c r="T41" s="350"/>
      <c r="U41" s="219"/>
      <c r="W41" s="597"/>
      <c r="X41" s="598"/>
    </row>
    <row r="42" spans="1:24" ht="15" customHeight="1" x14ac:dyDescent="0.2">
      <c r="A42" s="309" t="s">
        <v>37</v>
      </c>
      <c r="B42" s="352"/>
      <c r="C42" s="381">
        <v>1</v>
      </c>
      <c r="D42" s="352"/>
      <c r="E42" s="381">
        <v>1</v>
      </c>
      <c r="F42" s="352"/>
      <c r="G42" s="381">
        <v>1</v>
      </c>
      <c r="H42" s="352"/>
      <c r="I42" s="381">
        <v>0</v>
      </c>
      <c r="J42" s="350">
        <v>0</v>
      </c>
      <c r="K42" s="27">
        <v>0</v>
      </c>
      <c r="L42" s="350">
        <v>0</v>
      </c>
      <c r="M42" s="27">
        <v>0</v>
      </c>
      <c r="N42" s="350">
        <v>0</v>
      </c>
      <c r="O42" s="27">
        <v>0</v>
      </c>
      <c r="P42" s="350">
        <v>2</v>
      </c>
      <c r="Q42" s="27">
        <v>2</v>
      </c>
      <c r="R42" s="350">
        <v>2</v>
      </c>
      <c r="S42" s="27">
        <v>2</v>
      </c>
      <c r="T42" s="350"/>
      <c r="U42" s="219"/>
      <c r="W42" s="597">
        <f t="shared" si="2"/>
        <v>1</v>
      </c>
      <c r="X42" s="598">
        <f>AVERAGE(O42,M42,S42,U42,Q42)</f>
        <v>1</v>
      </c>
    </row>
    <row r="43" spans="1:24" ht="15" customHeight="1" thickBot="1" x14ac:dyDescent="0.25">
      <c r="A43" s="466" t="s">
        <v>38</v>
      </c>
      <c r="B43" s="353"/>
      <c r="C43" s="483">
        <v>0</v>
      </c>
      <c r="D43" s="353"/>
      <c r="E43" s="483">
        <v>0</v>
      </c>
      <c r="F43" s="353"/>
      <c r="G43" s="483">
        <v>0</v>
      </c>
      <c r="H43" s="353"/>
      <c r="I43" s="483">
        <v>0</v>
      </c>
      <c r="J43" s="351">
        <v>0</v>
      </c>
      <c r="K43" s="278">
        <v>0</v>
      </c>
      <c r="L43" s="351">
        <v>0</v>
      </c>
      <c r="M43" s="278">
        <v>0</v>
      </c>
      <c r="N43" s="351">
        <v>0</v>
      </c>
      <c r="O43" s="278">
        <v>0</v>
      </c>
      <c r="P43" s="351">
        <v>0</v>
      </c>
      <c r="Q43" s="278">
        <v>0</v>
      </c>
      <c r="R43" s="351">
        <v>0</v>
      </c>
      <c r="S43" s="278">
        <v>0</v>
      </c>
      <c r="T43" s="351"/>
      <c r="U43" s="279"/>
      <c r="W43" s="597">
        <f t="shared" si="2"/>
        <v>0</v>
      </c>
      <c r="X43" s="598">
        <f t="shared" si="2"/>
        <v>0</v>
      </c>
    </row>
    <row r="44" spans="1:24" ht="15" customHeight="1" thickBot="1" x14ac:dyDescent="0.25">
      <c r="A44" s="467" t="s">
        <v>22</v>
      </c>
      <c r="B44" s="481"/>
      <c r="C44" s="484">
        <f>SUM(C39:C43)</f>
        <v>3</v>
      </c>
      <c r="D44" s="481"/>
      <c r="E44" s="484">
        <f>SUM(E39:E43)</f>
        <v>3</v>
      </c>
      <c r="F44" s="481"/>
      <c r="G44" s="484">
        <f>SUM(G39:G43)</f>
        <v>2</v>
      </c>
      <c r="H44" s="481"/>
      <c r="I44" s="486">
        <f t="shared" ref="I44:S44" si="3">SUM(I39:I43)</f>
        <v>1</v>
      </c>
      <c r="J44" s="358">
        <f t="shared" si="3"/>
        <v>1</v>
      </c>
      <c r="K44" s="357">
        <f t="shared" si="3"/>
        <v>1</v>
      </c>
      <c r="L44" s="358">
        <f t="shared" si="3"/>
        <v>1</v>
      </c>
      <c r="M44" s="357">
        <f t="shared" si="3"/>
        <v>1</v>
      </c>
      <c r="N44" s="358">
        <f t="shared" si="3"/>
        <v>1</v>
      </c>
      <c r="O44" s="357">
        <f t="shared" si="3"/>
        <v>1</v>
      </c>
      <c r="P44" s="358">
        <f t="shared" si="3"/>
        <v>4</v>
      </c>
      <c r="Q44" s="357">
        <f t="shared" si="3"/>
        <v>4</v>
      </c>
      <c r="R44" s="358">
        <f t="shared" si="3"/>
        <v>3</v>
      </c>
      <c r="S44" s="357">
        <f t="shared" si="3"/>
        <v>3</v>
      </c>
      <c r="T44" s="358">
        <f t="shared" ref="T44:U44" si="4">SUM(T39:T43)</f>
        <v>0</v>
      </c>
      <c r="U44" s="359">
        <f t="shared" si="4"/>
        <v>0</v>
      </c>
      <c r="W44" s="599">
        <f>AVERAGE(N44,L44,R44,T44,P44)</f>
        <v>1.8</v>
      </c>
      <c r="X44" s="600">
        <f>AVERAGE(O44,M44,S44,U44,Q44)</f>
        <v>1.8</v>
      </c>
    </row>
    <row r="45" spans="1:24" s="1" customFormat="1" ht="18" customHeight="1" thickBot="1" x14ac:dyDescent="0.25">
      <c r="A45" s="437" t="s">
        <v>112</v>
      </c>
      <c r="B45" s="361" t="s">
        <v>33</v>
      </c>
      <c r="C45" s="362" t="s">
        <v>41</v>
      </c>
      <c r="D45" s="361" t="s">
        <v>33</v>
      </c>
      <c r="E45" s="363" t="s">
        <v>41</v>
      </c>
      <c r="F45" s="364" t="s">
        <v>33</v>
      </c>
      <c r="G45" s="363" t="s">
        <v>41</v>
      </c>
      <c r="H45" s="364" t="s">
        <v>33</v>
      </c>
      <c r="I45" s="363" t="s">
        <v>41</v>
      </c>
      <c r="J45" s="364" t="s">
        <v>33</v>
      </c>
      <c r="K45" s="363" t="s">
        <v>41</v>
      </c>
      <c r="L45" s="364" t="s">
        <v>33</v>
      </c>
      <c r="M45" s="363" t="s">
        <v>41</v>
      </c>
      <c r="N45" s="364" t="s">
        <v>33</v>
      </c>
      <c r="O45" s="363" t="s">
        <v>41</v>
      </c>
      <c r="P45" s="364" t="s">
        <v>33</v>
      </c>
      <c r="Q45" s="363" t="s">
        <v>41</v>
      </c>
      <c r="R45" s="364" t="s">
        <v>33</v>
      </c>
      <c r="S45" s="363" t="s">
        <v>41</v>
      </c>
      <c r="T45" s="364" t="s">
        <v>33</v>
      </c>
      <c r="U45" s="365" t="s">
        <v>41</v>
      </c>
      <c r="V45" s="72"/>
      <c r="W45" s="601" t="s">
        <v>33</v>
      </c>
      <c r="X45" s="422" t="s">
        <v>41</v>
      </c>
    </row>
    <row r="46" spans="1:24" s="1" customFormat="1" ht="18" customHeight="1" x14ac:dyDescent="0.2">
      <c r="A46" s="448" t="s">
        <v>113</v>
      </c>
      <c r="B46" s="449"/>
      <c r="C46" s="450"/>
      <c r="D46" s="449"/>
      <c r="E46" s="451"/>
      <c r="F46" s="452"/>
      <c r="G46" s="451"/>
      <c r="H46" s="452"/>
      <c r="I46" s="451"/>
      <c r="J46" s="452"/>
      <c r="K46" s="451"/>
      <c r="L46" s="452"/>
      <c r="M46" s="451"/>
      <c r="N46" s="452"/>
      <c r="O46" s="451"/>
      <c r="P46" s="452"/>
      <c r="Q46" s="451"/>
      <c r="R46" s="452"/>
      <c r="S46" s="451"/>
      <c r="T46" s="453"/>
      <c r="U46" s="454"/>
      <c r="V46" s="117"/>
      <c r="W46" s="455"/>
      <c r="X46" s="602"/>
    </row>
    <row r="47" spans="1:24" ht="15" customHeight="1" x14ac:dyDescent="0.2">
      <c r="A47" s="169" t="s">
        <v>42</v>
      </c>
      <c r="B47" s="272">
        <v>3</v>
      </c>
      <c r="C47" s="273">
        <f>B47/C$44</f>
        <v>1</v>
      </c>
      <c r="D47" s="272">
        <v>3</v>
      </c>
      <c r="E47" s="273">
        <f>D47/E$44</f>
        <v>1</v>
      </c>
      <c r="F47" s="272">
        <v>2</v>
      </c>
      <c r="G47" s="273">
        <f>F47/G$44</f>
        <v>1</v>
      </c>
      <c r="H47" s="272">
        <v>1</v>
      </c>
      <c r="I47" s="273">
        <f>H47/I$44</f>
        <v>1</v>
      </c>
      <c r="J47" s="272">
        <v>1</v>
      </c>
      <c r="K47" s="273">
        <f>J47/K$44</f>
        <v>1</v>
      </c>
      <c r="L47" s="272">
        <v>1</v>
      </c>
      <c r="M47" s="273">
        <f>L47/M$44</f>
        <v>1</v>
      </c>
      <c r="N47" s="272">
        <v>1</v>
      </c>
      <c r="O47" s="273">
        <f>N47/O$44</f>
        <v>1</v>
      </c>
      <c r="P47" s="272">
        <v>4</v>
      </c>
      <c r="Q47" s="273">
        <f>P47/Q$44</f>
        <v>1</v>
      </c>
      <c r="R47" s="272">
        <v>3</v>
      </c>
      <c r="S47" s="273">
        <f>R47/S$44</f>
        <v>1</v>
      </c>
      <c r="T47" s="272"/>
      <c r="U47" s="274" t="e">
        <f>T47/U$44</f>
        <v>#DIV/0!</v>
      </c>
      <c r="V47" s="209"/>
      <c r="W47" s="597">
        <f t="shared" ref="W47:W66" si="5">AVERAGE(N47,L47,R47,T47,P47)</f>
        <v>2.25</v>
      </c>
      <c r="X47" s="119" t="e">
        <f>AVERAGE(O47,M47,U47,S47,Q47)</f>
        <v>#DIV/0!</v>
      </c>
    </row>
    <row r="48" spans="1:24" ht="15" customHeight="1" x14ac:dyDescent="0.2">
      <c r="A48" s="210" t="s">
        <v>43</v>
      </c>
      <c r="B48" s="44">
        <v>0</v>
      </c>
      <c r="C48" s="208">
        <f t="shared" ref="C48:E66" si="6">B48/C$44</f>
        <v>0</v>
      </c>
      <c r="D48" s="44">
        <v>0</v>
      </c>
      <c r="E48" s="208">
        <f t="shared" si="6"/>
        <v>0</v>
      </c>
      <c r="F48" s="44">
        <v>0</v>
      </c>
      <c r="G48" s="208">
        <f t="shared" ref="G48" si="7">F48/G$44</f>
        <v>0</v>
      </c>
      <c r="H48" s="44">
        <v>0</v>
      </c>
      <c r="I48" s="208">
        <f t="shared" ref="I48" si="8">H48/I$44</f>
        <v>0</v>
      </c>
      <c r="J48" s="44">
        <v>0</v>
      </c>
      <c r="K48" s="208">
        <f t="shared" ref="K48" si="9">J48/K$44</f>
        <v>0</v>
      </c>
      <c r="L48" s="44">
        <v>0</v>
      </c>
      <c r="M48" s="208">
        <f t="shared" ref="M48" si="10">L48/M$44</f>
        <v>0</v>
      </c>
      <c r="N48" s="44">
        <v>0</v>
      </c>
      <c r="O48" s="208">
        <f t="shared" ref="O48" si="11">N48/O$44</f>
        <v>0</v>
      </c>
      <c r="P48" s="44">
        <v>0</v>
      </c>
      <c r="Q48" s="208">
        <f t="shared" ref="Q48" si="12">P48/Q$44</f>
        <v>0</v>
      </c>
      <c r="R48" s="44">
        <v>0</v>
      </c>
      <c r="S48" s="208">
        <f t="shared" ref="S48" si="13">R48/S$44</f>
        <v>0</v>
      </c>
      <c r="T48" s="44"/>
      <c r="U48" s="224" t="e">
        <f t="shared" ref="U48:U54" si="14">T48/U$44</f>
        <v>#DIV/0!</v>
      </c>
      <c r="V48" s="209"/>
      <c r="W48" s="597">
        <f t="shared" si="5"/>
        <v>0</v>
      </c>
      <c r="X48" s="119" t="e">
        <f t="shared" ref="X48:X66" si="15">AVERAGE(O48,M48,U48,S48,Q48)</f>
        <v>#DIV/0!</v>
      </c>
    </row>
    <row r="49" spans="1:24" ht="15" customHeight="1" x14ac:dyDescent="0.2">
      <c r="A49" s="210" t="s">
        <v>44</v>
      </c>
      <c r="B49" s="44">
        <v>0</v>
      </c>
      <c r="C49" s="208">
        <f t="shared" si="6"/>
        <v>0</v>
      </c>
      <c r="D49" s="44">
        <v>0</v>
      </c>
      <c r="E49" s="208">
        <f t="shared" si="6"/>
        <v>0</v>
      </c>
      <c r="F49" s="44">
        <v>0</v>
      </c>
      <c r="G49" s="208">
        <f t="shared" ref="G49" si="16">F49/G$44</f>
        <v>0</v>
      </c>
      <c r="H49" s="44">
        <v>0</v>
      </c>
      <c r="I49" s="208">
        <f t="shared" ref="I49" si="17">H49/I$44</f>
        <v>0</v>
      </c>
      <c r="J49" s="44">
        <v>0</v>
      </c>
      <c r="K49" s="208">
        <f t="shared" ref="K49" si="18">J49/K$44</f>
        <v>0</v>
      </c>
      <c r="L49" s="44">
        <v>0</v>
      </c>
      <c r="M49" s="208">
        <f t="shared" ref="M49" si="19">L49/M$44</f>
        <v>0</v>
      </c>
      <c r="N49" s="44">
        <v>0</v>
      </c>
      <c r="O49" s="208">
        <f t="shared" ref="O49" si="20">N49/O$44</f>
        <v>0</v>
      </c>
      <c r="P49" s="44">
        <v>0</v>
      </c>
      <c r="Q49" s="208">
        <f t="shared" ref="Q49" si="21">P49/Q$44</f>
        <v>0</v>
      </c>
      <c r="R49" s="44">
        <v>0</v>
      </c>
      <c r="S49" s="208">
        <f t="shared" ref="S49" si="22">R49/S$44</f>
        <v>0</v>
      </c>
      <c r="T49" s="44"/>
      <c r="U49" s="224" t="e">
        <f t="shared" si="14"/>
        <v>#DIV/0!</v>
      </c>
      <c r="V49" s="209"/>
      <c r="W49" s="597">
        <f t="shared" si="5"/>
        <v>0</v>
      </c>
      <c r="X49" s="119" t="e">
        <f t="shared" si="15"/>
        <v>#DIV/0!</v>
      </c>
    </row>
    <row r="50" spans="1:24" ht="15" customHeight="1" x14ac:dyDescent="0.2">
      <c r="A50" s="210" t="s">
        <v>45</v>
      </c>
      <c r="B50" s="44">
        <v>0</v>
      </c>
      <c r="C50" s="208">
        <f t="shared" si="6"/>
        <v>0</v>
      </c>
      <c r="D50" s="44">
        <v>0</v>
      </c>
      <c r="E50" s="208">
        <f t="shared" si="6"/>
        <v>0</v>
      </c>
      <c r="F50" s="44">
        <v>0</v>
      </c>
      <c r="G50" s="208">
        <f t="shared" ref="G50" si="23">F50/G$44</f>
        <v>0</v>
      </c>
      <c r="H50" s="44">
        <v>0</v>
      </c>
      <c r="I50" s="208">
        <f t="shared" ref="I50" si="24">H50/I$44</f>
        <v>0</v>
      </c>
      <c r="J50" s="44">
        <v>0</v>
      </c>
      <c r="K50" s="208">
        <f t="shared" ref="K50" si="25">J50/K$44</f>
        <v>0</v>
      </c>
      <c r="L50" s="44">
        <v>0</v>
      </c>
      <c r="M50" s="208">
        <f t="shared" ref="M50" si="26">L50/M$44</f>
        <v>0</v>
      </c>
      <c r="N50" s="44">
        <v>0</v>
      </c>
      <c r="O50" s="208">
        <f t="shared" ref="O50" si="27">N50/O$44</f>
        <v>0</v>
      </c>
      <c r="P50" s="44">
        <v>0</v>
      </c>
      <c r="Q50" s="208">
        <f t="shared" ref="Q50" si="28">P50/Q$44</f>
        <v>0</v>
      </c>
      <c r="R50" s="44">
        <v>0</v>
      </c>
      <c r="S50" s="208">
        <f t="shared" ref="S50" si="29">R50/S$44</f>
        <v>0</v>
      </c>
      <c r="T50" s="44"/>
      <c r="U50" s="224" t="e">
        <f t="shared" si="14"/>
        <v>#DIV/0!</v>
      </c>
      <c r="V50" s="209"/>
      <c r="W50" s="597">
        <f t="shared" si="5"/>
        <v>0</v>
      </c>
      <c r="X50" s="119" t="e">
        <f t="shared" si="15"/>
        <v>#DIV/0!</v>
      </c>
    </row>
    <row r="51" spans="1:24" ht="15" customHeight="1" x14ac:dyDescent="0.2">
      <c r="A51" s="210" t="s">
        <v>46</v>
      </c>
      <c r="B51" s="44">
        <v>0</v>
      </c>
      <c r="C51" s="208">
        <f t="shared" si="6"/>
        <v>0</v>
      </c>
      <c r="D51" s="44">
        <v>0</v>
      </c>
      <c r="E51" s="208">
        <f t="shared" si="6"/>
        <v>0</v>
      </c>
      <c r="F51" s="44">
        <v>0</v>
      </c>
      <c r="G51" s="208">
        <f t="shared" ref="G51" si="30">F51/G$44</f>
        <v>0</v>
      </c>
      <c r="H51" s="44">
        <v>0</v>
      </c>
      <c r="I51" s="208">
        <f t="shared" ref="I51" si="31">H51/I$44</f>
        <v>0</v>
      </c>
      <c r="J51" s="44">
        <v>0</v>
      </c>
      <c r="K51" s="208">
        <f t="shared" ref="K51" si="32">J51/K$44</f>
        <v>0</v>
      </c>
      <c r="L51" s="44">
        <v>0</v>
      </c>
      <c r="M51" s="208">
        <f t="shared" ref="M51" si="33">L51/M$44</f>
        <v>0</v>
      </c>
      <c r="N51" s="44">
        <v>0</v>
      </c>
      <c r="O51" s="208">
        <f t="shared" ref="O51" si="34">N51/O$44</f>
        <v>0</v>
      </c>
      <c r="P51" s="44">
        <v>0</v>
      </c>
      <c r="Q51" s="208">
        <f t="shared" ref="Q51" si="35">P51/Q$44</f>
        <v>0</v>
      </c>
      <c r="R51" s="44">
        <v>0</v>
      </c>
      <c r="S51" s="208">
        <f t="shared" ref="S51" si="36">R51/S$44</f>
        <v>0</v>
      </c>
      <c r="T51" s="44"/>
      <c r="U51" s="224" t="e">
        <f t="shared" si="14"/>
        <v>#DIV/0!</v>
      </c>
      <c r="V51" s="209"/>
      <c r="W51" s="597">
        <f t="shared" si="5"/>
        <v>0</v>
      </c>
      <c r="X51" s="119" t="e">
        <f t="shared" si="15"/>
        <v>#DIV/0!</v>
      </c>
    </row>
    <row r="52" spans="1:24" ht="15" customHeight="1" x14ac:dyDescent="0.2">
      <c r="A52" s="210" t="s">
        <v>47</v>
      </c>
      <c r="B52" s="44">
        <v>0</v>
      </c>
      <c r="C52" s="208">
        <f t="shared" si="6"/>
        <v>0</v>
      </c>
      <c r="D52" s="44">
        <v>0</v>
      </c>
      <c r="E52" s="208">
        <f t="shared" si="6"/>
        <v>0</v>
      </c>
      <c r="F52" s="44">
        <v>0</v>
      </c>
      <c r="G52" s="208">
        <f t="shared" ref="G52" si="37">F52/G$44</f>
        <v>0</v>
      </c>
      <c r="H52" s="44">
        <v>0</v>
      </c>
      <c r="I52" s="208">
        <f t="shared" ref="I52" si="38">H52/I$44</f>
        <v>0</v>
      </c>
      <c r="J52" s="44">
        <v>0</v>
      </c>
      <c r="K52" s="208">
        <f t="shared" ref="K52" si="39">J52/K$44</f>
        <v>0</v>
      </c>
      <c r="L52" s="44">
        <v>0</v>
      </c>
      <c r="M52" s="208">
        <f t="shared" ref="M52" si="40">L52/M$44</f>
        <v>0</v>
      </c>
      <c r="N52" s="44">
        <v>0</v>
      </c>
      <c r="O52" s="208">
        <f t="shared" ref="O52" si="41">N52/O$44</f>
        <v>0</v>
      </c>
      <c r="P52" s="44">
        <v>0</v>
      </c>
      <c r="Q52" s="208">
        <f t="shared" ref="Q52" si="42">P52/Q$44</f>
        <v>0</v>
      </c>
      <c r="R52" s="44">
        <v>0</v>
      </c>
      <c r="S52" s="208">
        <f t="shared" ref="S52" si="43">R52/S$44</f>
        <v>0</v>
      </c>
      <c r="T52" s="44"/>
      <c r="U52" s="224" t="e">
        <f t="shared" si="14"/>
        <v>#DIV/0!</v>
      </c>
      <c r="V52" s="209"/>
      <c r="W52" s="597">
        <f t="shared" si="5"/>
        <v>0</v>
      </c>
      <c r="X52" s="119" t="e">
        <f t="shared" si="15"/>
        <v>#DIV/0!</v>
      </c>
    </row>
    <row r="53" spans="1:24" ht="15" customHeight="1" x14ac:dyDescent="0.2">
      <c r="A53" s="210" t="s">
        <v>48</v>
      </c>
      <c r="B53" s="346"/>
      <c r="C53" s="347"/>
      <c r="D53" s="346"/>
      <c r="E53" s="347"/>
      <c r="F53" s="346"/>
      <c r="G53" s="347"/>
      <c r="H53" s="45">
        <v>0</v>
      </c>
      <c r="I53" s="208">
        <f t="shared" ref="I53" si="44">H53/I$44</f>
        <v>0</v>
      </c>
      <c r="J53" s="45">
        <v>0</v>
      </c>
      <c r="K53" s="208">
        <f t="shared" ref="K53" si="45">J53/K$44</f>
        <v>0</v>
      </c>
      <c r="L53" s="45">
        <v>0</v>
      </c>
      <c r="M53" s="208">
        <f t="shared" ref="M53" si="46">L53/M$44</f>
        <v>0</v>
      </c>
      <c r="N53" s="45">
        <v>0</v>
      </c>
      <c r="O53" s="208">
        <f t="shared" ref="O53" si="47">N53/O$44</f>
        <v>0</v>
      </c>
      <c r="P53" s="45">
        <v>0</v>
      </c>
      <c r="Q53" s="208">
        <f t="shared" ref="Q53" si="48">P53/Q$44</f>
        <v>0</v>
      </c>
      <c r="R53" s="45">
        <v>0</v>
      </c>
      <c r="S53" s="208">
        <f t="shared" ref="S53" si="49">R53/S$44</f>
        <v>0</v>
      </c>
      <c r="T53" s="45"/>
      <c r="U53" s="224" t="e">
        <f t="shared" si="14"/>
        <v>#DIV/0!</v>
      </c>
      <c r="V53" s="209"/>
      <c r="W53" s="597">
        <f t="shared" si="5"/>
        <v>0</v>
      </c>
      <c r="X53" s="119" t="e">
        <f t="shared" si="15"/>
        <v>#DIV/0!</v>
      </c>
    </row>
    <row r="54" spans="1:24" ht="15" customHeight="1" thickBot="1" x14ac:dyDescent="0.25">
      <c r="A54" s="280" t="s">
        <v>49</v>
      </c>
      <c r="B54" s="281">
        <v>0</v>
      </c>
      <c r="C54" s="282">
        <f t="shared" si="6"/>
        <v>0</v>
      </c>
      <c r="D54" s="281">
        <v>0</v>
      </c>
      <c r="E54" s="282">
        <f t="shared" si="6"/>
        <v>0</v>
      </c>
      <c r="F54" s="281">
        <v>0</v>
      </c>
      <c r="G54" s="282">
        <f t="shared" ref="G54" si="50">F54/G$44</f>
        <v>0</v>
      </c>
      <c r="H54" s="281">
        <v>0</v>
      </c>
      <c r="I54" s="282">
        <f t="shared" ref="I54" si="51">H54/I$44</f>
        <v>0</v>
      </c>
      <c r="J54" s="281">
        <v>0</v>
      </c>
      <c r="K54" s="282">
        <f t="shared" ref="K54" si="52">J54/K$44</f>
        <v>0</v>
      </c>
      <c r="L54" s="281">
        <v>0</v>
      </c>
      <c r="M54" s="282">
        <f t="shared" ref="M54" si="53">L54/M$44</f>
        <v>0</v>
      </c>
      <c r="N54" s="281">
        <v>0</v>
      </c>
      <c r="O54" s="282">
        <f t="shared" ref="O54" si="54">N54/O$44</f>
        <v>0</v>
      </c>
      <c r="P54" s="281">
        <v>0</v>
      </c>
      <c r="Q54" s="282">
        <f t="shared" ref="Q54" si="55">P54/Q$44</f>
        <v>0</v>
      </c>
      <c r="R54" s="281">
        <v>0</v>
      </c>
      <c r="S54" s="282">
        <f t="shared" ref="S54" si="56">R54/S$44</f>
        <v>0</v>
      </c>
      <c r="T54" s="281"/>
      <c r="U54" s="283" t="e">
        <f t="shared" si="14"/>
        <v>#DIV/0!</v>
      </c>
      <c r="V54" s="209"/>
      <c r="W54" s="597">
        <f t="shared" si="5"/>
        <v>0</v>
      </c>
      <c r="X54" s="119" t="e">
        <f t="shared" si="15"/>
        <v>#DIV/0!</v>
      </c>
    </row>
    <row r="55" spans="1:24" ht="15" customHeight="1" x14ac:dyDescent="0.2">
      <c r="A55" s="275" t="s">
        <v>50</v>
      </c>
      <c r="B55" s="276"/>
      <c r="C55" s="273"/>
      <c r="D55" s="276"/>
      <c r="E55" s="273"/>
      <c r="F55" s="276"/>
      <c r="G55" s="273"/>
      <c r="H55" s="276"/>
      <c r="I55" s="273"/>
      <c r="J55" s="276"/>
      <c r="K55" s="273"/>
      <c r="L55" s="276"/>
      <c r="M55" s="273"/>
      <c r="N55" s="276"/>
      <c r="O55" s="273"/>
      <c r="P55" s="276"/>
      <c r="Q55" s="273"/>
      <c r="R55" s="276"/>
      <c r="S55" s="273"/>
      <c r="T55" s="276"/>
      <c r="U55" s="274"/>
      <c r="V55" s="209"/>
      <c r="W55" s="597"/>
      <c r="X55" s="119"/>
    </row>
    <row r="56" spans="1:24" ht="15" customHeight="1" x14ac:dyDescent="0.2">
      <c r="A56" s="170" t="s">
        <v>51</v>
      </c>
      <c r="B56" s="40">
        <v>0</v>
      </c>
      <c r="C56" s="208">
        <f t="shared" si="6"/>
        <v>0</v>
      </c>
      <c r="D56" s="40">
        <v>0</v>
      </c>
      <c r="E56" s="208">
        <f t="shared" si="6"/>
        <v>0</v>
      </c>
      <c r="F56" s="40">
        <v>0</v>
      </c>
      <c r="G56" s="208">
        <f t="shared" ref="G56" si="57">F56/G$44</f>
        <v>0</v>
      </c>
      <c r="H56" s="40">
        <v>0</v>
      </c>
      <c r="I56" s="208">
        <f t="shared" ref="I56" si="58">H56/I$44</f>
        <v>0</v>
      </c>
      <c r="J56" s="40">
        <v>0</v>
      </c>
      <c r="K56" s="208">
        <f t="shared" ref="K56" si="59">J56/K$44</f>
        <v>0</v>
      </c>
      <c r="L56" s="40">
        <v>0</v>
      </c>
      <c r="M56" s="208">
        <f t="shared" ref="M56" si="60">L56/M$44</f>
        <v>0</v>
      </c>
      <c r="N56" s="40">
        <v>0</v>
      </c>
      <c r="O56" s="208">
        <f t="shared" ref="O56" si="61">N56/O$44</f>
        <v>0</v>
      </c>
      <c r="P56" s="40">
        <v>3</v>
      </c>
      <c r="Q56" s="208">
        <f t="shared" ref="Q56" si="62">P56/Q$44</f>
        <v>0.75</v>
      </c>
      <c r="R56" s="40">
        <v>2</v>
      </c>
      <c r="S56" s="208">
        <f t="shared" ref="S56" si="63">R56/S$44</f>
        <v>0.66666666666666663</v>
      </c>
      <c r="T56" s="40"/>
      <c r="U56" s="224" t="e">
        <f t="shared" ref="U56:U57" si="64">T56/U$44</f>
        <v>#DIV/0!</v>
      </c>
      <c r="V56" s="209"/>
      <c r="W56" s="597">
        <f t="shared" si="5"/>
        <v>1.25</v>
      </c>
      <c r="X56" s="119" t="e">
        <f t="shared" si="15"/>
        <v>#DIV/0!</v>
      </c>
    </row>
    <row r="57" spans="1:24" ht="15" customHeight="1" thickBot="1" x14ac:dyDescent="0.25">
      <c r="A57" s="280" t="s">
        <v>52</v>
      </c>
      <c r="B57" s="284">
        <v>3</v>
      </c>
      <c r="C57" s="282">
        <f t="shared" si="6"/>
        <v>1</v>
      </c>
      <c r="D57" s="284">
        <v>3</v>
      </c>
      <c r="E57" s="282">
        <f t="shared" si="6"/>
        <v>1</v>
      </c>
      <c r="F57" s="284">
        <v>2</v>
      </c>
      <c r="G57" s="282">
        <f t="shared" ref="G57" si="65">F57/G$44</f>
        <v>1</v>
      </c>
      <c r="H57" s="284">
        <v>1</v>
      </c>
      <c r="I57" s="282">
        <f t="shared" ref="I57" si="66">H57/I$44</f>
        <v>1</v>
      </c>
      <c r="J57" s="284">
        <v>1</v>
      </c>
      <c r="K57" s="282">
        <f t="shared" ref="K57" si="67">J57/K$44</f>
        <v>1</v>
      </c>
      <c r="L57" s="284">
        <v>1</v>
      </c>
      <c r="M57" s="282">
        <f t="shared" ref="M57" si="68">L57/M$44</f>
        <v>1</v>
      </c>
      <c r="N57" s="284">
        <v>1</v>
      </c>
      <c r="O57" s="282">
        <f t="shared" ref="O57" si="69">N57/O$44</f>
        <v>1</v>
      </c>
      <c r="P57" s="284">
        <v>1</v>
      </c>
      <c r="Q57" s="282">
        <f t="shared" ref="Q57" si="70">P57/Q$44</f>
        <v>0.25</v>
      </c>
      <c r="R57" s="284">
        <v>1</v>
      </c>
      <c r="S57" s="282">
        <f t="shared" ref="S57" si="71">R57/S$44</f>
        <v>0.33333333333333331</v>
      </c>
      <c r="T57" s="284"/>
      <c r="U57" s="283" t="e">
        <f t="shared" si="64"/>
        <v>#DIV/0!</v>
      </c>
      <c r="V57" s="209"/>
      <c r="W57" s="597">
        <f t="shared" si="5"/>
        <v>1</v>
      </c>
      <c r="X57" s="119" t="e">
        <f t="shared" si="15"/>
        <v>#DIV/0!</v>
      </c>
    </row>
    <row r="58" spans="1:24" ht="15" customHeight="1" x14ac:dyDescent="0.2">
      <c r="A58" s="275" t="s">
        <v>53</v>
      </c>
      <c r="B58" s="277"/>
      <c r="C58" s="273"/>
      <c r="D58" s="277"/>
      <c r="E58" s="273"/>
      <c r="F58" s="277"/>
      <c r="G58" s="273"/>
      <c r="H58" s="277"/>
      <c r="I58" s="273"/>
      <c r="J58" s="277"/>
      <c r="K58" s="273"/>
      <c r="L58" s="277"/>
      <c r="M58" s="273"/>
      <c r="N58" s="277"/>
      <c r="O58" s="273"/>
      <c r="P58" s="277"/>
      <c r="Q58" s="273"/>
      <c r="R58" s="277"/>
      <c r="S58" s="273"/>
      <c r="T58" s="277"/>
      <c r="U58" s="274"/>
      <c r="V58" s="209"/>
      <c r="W58" s="597"/>
      <c r="X58" s="119"/>
    </row>
    <row r="59" spans="1:24" ht="15" customHeight="1" x14ac:dyDescent="0.2">
      <c r="A59" s="170" t="s">
        <v>54</v>
      </c>
      <c r="B59" s="41">
        <v>1</v>
      </c>
      <c r="C59" s="208">
        <f t="shared" si="6"/>
        <v>0.33333333333333331</v>
      </c>
      <c r="D59" s="41">
        <v>1</v>
      </c>
      <c r="E59" s="208">
        <f t="shared" si="6"/>
        <v>0.33333333333333331</v>
      </c>
      <c r="F59" s="41">
        <v>1</v>
      </c>
      <c r="G59" s="208">
        <f t="shared" ref="G59" si="72">F59/G$44</f>
        <v>0.5</v>
      </c>
      <c r="H59" s="41">
        <v>1</v>
      </c>
      <c r="I59" s="208">
        <f t="shared" ref="I59" si="73">H59/I$44</f>
        <v>1</v>
      </c>
      <c r="J59" s="41">
        <v>1</v>
      </c>
      <c r="K59" s="208">
        <f t="shared" ref="K59" si="74">J59/K$44</f>
        <v>1</v>
      </c>
      <c r="L59" s="41">
        <v>1</v>
      </c>
      <c r="M59" s="208">
        <f t="shared" ref="M59" si="75">L59/M$44</f>
        <v>1</v>
      </c>
      <c r="N59" s="41">
        <v>1</v>
      </c>
      <c r="O59" s="208">
        <f t="shared" ref="O59" si="76">N59/O$44</f>
        <v>1</v>
      </c>
      <c r="P59" s="41">
        <v>2</v>
      </c>
      <c r="Q59" s="208">
        <f t="shared" ref="Q59" si="77">P59/Q$44</f>
        <v>0.5</v>
      </c>
      <c r="R59" s="41">
        <v>1</v>
      </c>
      <c r="S59" s="208">
        <f t="shared" ref="S59" si="78">R59/S$44</f>
        <v>0.33333333333333331</v>
      </c>
      <c r="T59" s="41"/>
      <c r="U59" s="224" t="e">
        <f t="shared" ref="U59:U61" si="79">T59/U$44</f>
        <v>#DIV/0!</v>
      </c>
      <c r="V59" s="209"/>
      <c r="W59" s="597">
        <f t="shared" si="5"/>
        <v>1.25</v>
      </c>
      <c r="X59" s="119" t="e">
        <f t="shared" si="15"/>
        <v>#DIV/0!</v>
      </c>
    </row>
    <row r="60" spans="1:24" ht="15" customHeight="1" x14ac:dyDescent="0.2">
      <c r="A60" s="170" t="s">
        <v>55</v>
      </c>
      <c r="B60" s="41">
        <v>1</v>
      </c>
      <c r="C60" s="208">
        <f t="shared" si="6"/>
        <v>0.33333333333333331</v>
      </c>
      <c r="D60" s="41">
        <v>1</v>
      </c>
      <c r="E60" s="208">
        <f t="shared" si="6"/>
        <v>0.33333333333333331</v>
      </c>
      <c r="F60" s="41">
        <v>1</v>
      </c>
      <c r="G60" s="208">
        <f t="shared" ref="G60" si="80">F60/G$44</f>
        <v>0.5</v>
      </c>
      <c r="H60" s="41">
        <v>0</v>
      </c>
      <c r="I60" s="208">
        <f t="shared" ref="I60" si="81">H60/I$44</f>
        <v>0</v>
      </c>
      <c r="J60" s="41">
        <v>0</v>
      </c>
      <c r="K60" s="208">
        <f t="shared" ref="K60" si="82">J60/K$44</f>
        <v>0</v>
      </c>
      <c r="L60" s="41">
        <v>0</v>
      </c>
      <c r="M60" s="208">
        <f t="shared" ref="M60" si="83">L60/M$44</f>
        <v>0</v>
      </c>
      <c r="N60" s="41">
        <v>0</v>
      </c>
      <c r="O60" s="208">
        <f t="shared" ref="O60" si="84">N60/O$44</f>
        <v>0</v>
      </c>
      <c r="P60" s="41">
        <v>0</v>
      </c>
      <c r="Q60" s="208">
        <f t="shared" ref="Q60" si="85">P60/Q$44</f>
        <v>0</v>
      </c>
      <c r="R60" s="41">
        <v>0</v>
      </c>
      <c r="S60" s="208">
        <f t="shared" ref="S60" si="86">R60/S$44</f>
        <v>0</v>
      </c>
      <c r="T60" s="41"/>
      <c r="U60" s="224" t="e">
        <f t="shared" si="79"/>
        <v>#DIV/0!</v>
      </c>
      <c r="V60" s="209"/>
      <c r="W60" s="597">
        <f t="shared" si="5"/>
        <v>0</v>
      </c>
      <c r="X60" s="119" t="e">
        <f t="shared" si="15"/>
        <v>#DIV/0!</v>
      </c>
    </row>
    <row r="61" spans="1:24" ht="15" customHeight="1" thickBot="1" x14ac:dyDescent="0.25">
      <c r="A61" s="280" t="s">
        <v>56</v>
      </c>
      <c r="B61" s="284">
        <v>1</v>
      </c>
      <c r="C61" s="282">
        <f t="shared" si="6"/>
        <v>0.33333333333333331</v>
      </c>
      <c r="D61" s="284">
        <v>1</v>
      </c>
      <c r="E61" s="282">
        <f t="shared" si="6"/>
        <v>0.33333333333333331</v>
      </c>
      <c r="F61" s="284">
        <v>0</v>
      </c>
      <c r="G61" s="282">
        <f t="shared" ref="G61" si="87">F61/G$44</f>
        <v>0</v>
      </c>
      <c r="H61" s="284">
        <v>0</v>
      </c>
      <c r="I61" s="282">
        <f t="shared" ref="I61" si="88">H61/I$44</f>
        <v>0</v>
      </c>
      <c r="J61" s="284">
        <v>0</v>
      </c>
      <c r="K61" s="282">
        <f t="shared" ref="K61" si="89">J61/K$44</f>
        <v>0</v>
      </c>
      <c r="L61" s="284">
        <v>0</v>
      </c>
      <c r="M61" s="282">
        <f t="shared" ref="M61" si="90">L61/M$44</f>
        <v>0</v>
      </c>
      <c r="N61" s="284">
        <v>0</v>
      </c>
      <c r="O61" s="282">
        <f t="shared" ref="O61" si="91">N61/O$44</f>
        <v>0</v>
      </c>
      <c r="P61" s="284">
        <v>2</v>
      </c>
      <c r="Q61" s="282">
        <f t="shared" ref="Q61" si="92">P61/Q$44</f>
        <v>0.5</v>
      </c>
      <c r="R61" s="284">
        <v>2</v>
      </c>
      <c r="S61" s="282">
        <f t="shared" ref="S61" si="93">R61/S$44</f>
        <v>0.66666666666666663</v>
      </c>
      <c r="T61" s="284"/>
      <c r="U61" s="283" t="e">
        <f t="shared" si="79"/>
        <v>#DIV/0!</v>
      </c>
      <c r="V61" s="209"/>
      <c r="W61" s="597">
        <f t="shared" si="5"/>
        <v>1</v>
      </c>
      <c r="X61" s="119" t="e">
        <f t="shared" si="15"/>
        <v>#DIV/0!</v>
      </c>
    </row>
    <row r="62" spans="1:24" ht="15" customHeight="1" x14ac:dyDescent="0.2">
      <c r="A62" s="275" t="s">
        <v>57</v>
      </c>
      <c r="B62" s="277"/>
      <c r="C62" s="273"/>
      <c r="D62" s="277"/>
      <c r="E62" s="273"/>
      <c r="F62" s="277"/>
      <c r="G62" s="273"/>
      <c r="H62" s="277"/>
      <c r="I62" s="273"/>
      <c r="J62" s="277"/>
      <c r="K62" s="273"/>
      <c r="L62" s="277"/>
      <c r="M62" s="273"/>
      <c r="N62" s="277"/>
      <c r="O62" s="273"/>
      <c r="P62" s="277"/>
      <c r="Q62" s="273"/>
      <c r="R62" s="277"/>
      <c r="S62" s="273"/>
      <c r="T62" s="277"/>
      <c r="U62" s="274"/>
      <c r="V62" s="209"/>
      <c r="W62" s="597"/>
      <c r="X62" s="119"/>
    </row>
    <row r="63" spans="1:24" ht="15" customHeight="1" x14ac:dyDescent="0.2">
      <c r="A63" s="170" t="s">
        <v>58</v>
      </c>
      <c r="B63" s="41">
        <v>1</v>
      </c>
      <c r="C63" s="208">
        <f t="shared" si="6"/>
        <v>0.33333333333333331</v>
      </c>
      <c r="D63" s="41">
        <v>1</v>
      </c>
      <c r="E63" s="208">
        <f t="shared" si="6"/>
        <v>0.33333333333333331</v>
      </c>
      <c r="F63" s="41">
        <v>0</v>
      </c>
      <c r="G63" s="208">
        <f t="shared" ref="G63" si="94">F63/G$44</f>
        <v>0</v>
      </c>
      <c r="H63" s="41">
        <v>0</v>
      </c>
      <c r="I63" s="208">
        <f t="shared" ref="I63" si="95">H63/I$44</f>
        <v>0</v>
      </c>
      <c r="J63" s="41">
        <v>1</v>
      </c>
      <c r="K63" s="208">
        <f t="shared" ref="K63" si="96">J63/K$44</f>
        <v>1</v>
      </c>
      <c r="L63" s="41">
        <v>0</v>
      </c>
      <c r="M63" s="208">
        <f t="shared" ref="M63" si="97">L63/M$44</f>
        <v>0</v>
      </c>
      <c r="N63" s="41">
        <v>0</v>
      </c>
      <c r="O63" s="208">
        <f t="shared" ref="O63" si="98">N63/O$44</f>
        <v>0</v>
      </c>
      <c r="P63" s="41">
        <v>3</v>
      </c>
      <c r="Q63" s="208">
        <f t="shared" ref="Q63" si="99">P63/Q$44</f>
        <v>0.75</v>
      </c>
      <c r="R63" s="41">
        <v>2</v>
      </c>
      <c r="S63" s="208">
        <f t="shared" ref="S63" si="100">R63/S$44</f>
        <v>0.66666666666666663</v>
      </c>
      <c r="T63" s="41"/>
      <c r="U63" s="224" t="e">
        <f t="shared" ref="U63:U66" si="101">T63/U$44</f>
        <v>#DIV/0!</v>
      </c>
      <c r="V63" s="209"/>
      <c r="W63" s="597">
        <f t="shared" si="5"/>
        <v>1.25</v>
      </c>
      <c r="X63" s="119" t="e">
        <f t="shared" si="15"/>
        <v>#DIV/0!</v>
      </c>
    </row>
    <row r="64" spans="1:24" ht="15" customHeight="1" x14ac:dyDescent="0.2">
      <c r="A64" s="170" t="s">
        <v>59</v>
      </c>
      <c r="B64" s="41">
        <v>2</v>
      </c>
      <c r="C64" s="208">
        <f t="shared" si="6"/>
        <v>0.66666666666666663</v>
      </c>
      <c r="D64" s="41">
        <v>2</v>
      </c>
      <c r="E64" s="208">
        <f t="shared" si="6"/>
        <v>0.66666666666666663</v>
      </c>
      <c r="F64" s="41">
        <v>2</v>
      </c>
      <c r="G64" s="208">
        <f t="shared" ref="G64" si="102">F64/G$44</f>
        <v>1</v>
      </c>
      <c r="H64" s="41">
        <v>1</v>
      </c>
      <c r="I64" s="208">
        <f t="shared" ref="I64" si="103">H64/I$44</f>
        <v>1</v>
      </c>
      <c r="J64" s="41">
        <v>0</v>
      </c>
      <c r="K64" s="208">
        <f t="shared" ref="K64" si="104">J64/K$44</f>
        <v>0</v>
      </c>
      <c r="L64" s="41">
        <v>1</v>
      </c>
      <c r="M64" s="208">
        <f t="shared" ref="M64" si="105">L64/M$44</f>
        <v>1</v>
      </c>
      <c r="N64" s="41">
        <v>1</v>
      </c>
      <c r="O64" s="208">
        <f t="shared" ref="O64" si="106">N64/O$44</f>
        <v>1</v>
      </c>
      <c r="P64" s="41">
        <v>1</v>
      </c>
      <c r="Q64" s="208">
        <f t="shared" ref="Q64" si="107">P64/Q$44</f>
        <v>0.25</v>
      </c>
      <c r="R64" s="41">
        <v>1</v>
      </c>
      <c r="S64" s="208">
        <f t="shared" ref="S64" si="108">R64/S$44</f>
        <v>0.33333333333333331</v>
      </c>
      <c r="T64" s="41"/>
      <c r="U64" s="224" t="e">
        <f t="shared" si="101"/>
        <v>#DIV/0!</v>
      </c>
      <c r="V64" s="209"/>
      <c r="W64" s="597">
        <f t="shared" si="5"/>
        <v>1</v>
      </c>
      <c r="X64" s="119" t="e">
        <f t="shared" si="15"/>
        <v>#DIV/0!</v>
      </c>
    </row>
    <row r="65" spans="1:24" ht="15" customHeight="1" x14ac:dyDescent="0.2">
      <c r="A65" s="170" t="s">
        <v>60</v>
      </c>
      <c r="B65" s="41">
        <v>0</v>
      </c>
      <c r="C65" s="208">
        <f t="shared" si="6"/>
        <v>0</v>
      </c>
      <c r="D65" s="41">
        <v>0</v>
      </c>
      <c r="E65" s="208">
        <f t="shared" si="6"/>
        <v>0</v>
      </c>
      <c r="F65" s="41">
        <v>0</v>
      </c>
      <c r="G65" s="208">
        <f t="shared" ref="G65" si="109">F65/G$44</f>
        <v>0</v>
      </c>
      <c r="H65" s="41">
        <v>0</v>
      </c>
      <c r="I65" s="208">
        <f t="shared" ref="I65" si="110">H65/I$44</f>
        <v>0</v>
      </c>
      <c r="J65" s="41">
        <v>0</v>
      </c>
      <c r="K65" s="208">
        <f t="shared" ref="K65" si="111">J65/K$44</f>
        <v>0</v>
      </c>
      <c r="L65" s="41">
        <v>0</v>
      </c>
      <c r="M65" s="208">
        <f t="shared" ref="M65" si="112">L65/M$44</f>
        <v>0</v>
      </c>
      <c r="N65" s="41">
        <v>0</v>
      </c>
      <c r="O65" s="208">
        <f t="shared" ref="O65" si="113">N65/O$44</f>
        <v>0</v>
      </c>
      <c r="P65" s="41">
        <v>0</v>
      </c>
      <c r="Q65" s="208">
        <f t="shared" ref="Q65" si="114">P65/Q$44</f>
        <v>0</v>
      </c>
      <c r="R65" s="41">
        <v>0</v>
      </c>
      <c r="S65" s="208">
        <f t="shared" ref="S65" si="115">R65/S$44</f>
        <v>0</v>
      </c>
      <c r="T65" s="41"/>
      <c r="U65" s="224" t="e">
        <f t="shared" si="101"/>
        <v>#DIV/0!</v>
      </c>
      <c r="V65" s="209"/>
      <c r="W65" s="597">
        <f t="shared" si="5"/>
        <v>0</v>
      </c>
      <c r="X65" s="119" t="e">
        <f t="shared" si="15"/>
        <v>#DIV/0!</v>
      </c>
    </row>
    <row r="66" spans="1:24" ht="15" customHeight="1" thickBot="1" x14ac:dyDescent="0.25">
      <c r="A66" s="211" t="s">
        <v>61</v>
      </c>
      <c r="B66" s="46">
        <v>0</v>
      </c>
      <c r="C66" s="212">
        <f t="shared" si="6"/>
        <v>0</v>
      </c>
      <c r="D66" s="46">
        <v>0</v>
      </c>
      <c r="E66" s="212">
        <f t="shared" si="6"/>
        <v>0</v>
      </c>
      <c r="F66" s="46">
        <v>0</v>
      </c>
      <c r="G66" s="212">
        <f t="shared" ref="G66" si="116">F66/G$44</f>
        <v>0</v>
      </c>
      <c r="H66" s="46">
        <v>0</v>
      </c>
      <c r="I66" s="212">
        <f t="shared" ref="I66" si="117">H66/I$44</f>
        <v>0</v>
      </c>
      <c r="J66" s="46">
        <v>0</v>
      </c>
      <c r="K66" s="212">
        <f t="shared" ref="K66" si="118">J66/K$44</f>
        <v>0</v>
      </c>
      <c r="L66" s="46">
        <v>0</v>
      </c>
      <c r="M66" s="212">
        <f t="shared" ref="M66" si="119">L66/M$44</f>
        <v>0</v>
      </c>
      <c r="N66" s="46">
        <v>0</v>
      </c>
      <c r="O66" s="212">
        <f t="shared" ref="O66" si="120">N66/O$44</f>
        <v>0</v>
      </c>
      <c r="P66" s="46">
        <v>0</v>
      </c>
      <c r="Q66" s="212">
        <f t="shared" ref="Q66" si="121">P66/Q$44</f>
        <v>0</v>
      </c>
      <c r="R66" s="46">
        <v>0</v>
      </c>
      <c r="S66" s="212">
        <f t="shared" ref="S66" si="122">R66/S$44</f>
        <v>0</v>
      </c>
      <c r="T66" s="46"/>
      <c r="U66" s="225" t="e">
        <f t="shared" si="101"/>
        <v>#DIV/0!</v>
      </c>
      <c r="V66" s="209"/>
      <c r="W66" s="603">
        <f t="shared" si="5"/>
        <v>0</v>
      </c>
      <c r="X66" s="128" t="e">
        <f t="shared" si="15"/>
        <v>#DIV/0!</v>
      </c>
    </row>
    <row r="67" spans="1:24" ht="15" customHeight="1" thickTop="1" x14ac:dyDescent="0.2">
      <c r="A67" s="165" t="s">
        <v>100</v>
      </c>
    </row>
  </sheetData>
  <mergeCells count="44">
    <mergeCell ref="L9:M9"/>
    <mergeCell ref="N9:O9"/>
    <mergeCell ref="P9:Q9"/>
    <mergeCell ref="R9:S9"/>
    <mergeCell ref="W9:X9"/>
    <mergeCell ref="T9:U9"/>
    <mergeCell ref="B9:C9"/>
    <mergeCell ref="D9:E9"/>
    <mergeCell ref="F9:G9"/>
    <mergeCell ref="H9:I9"/>
    <mergeCell ref="J9:K9"/>
    <mergeCell ref="W27:X27"/>
    <mergeCell ref="P36:Q36"/>
    <mergeCell ref="R36:S36"/>
    <mergeCell ref="W36:X36"/>
    <mergeCell ref="R27:S27"/>
    <mergeCell ref="P27:Q27"/>
    <mergeCell ref="T27:U27"/>
    <mergeCell ref="T30:U30"/>
    <mergeCell ref="T36:U36"/>
    <mergeCell ref="B30:C30"/>
    <mergeCell ref="B36:C36"/>
    <mergeCell ref="D36:E36"/>
    <mergeCell ref="F36:G36"/>
    <mergeCell ref="H36:I36"/>
    <mergeCell ref="D30:E30"/>
    <mergeCell ref="F30:G30"/>
    <mergeCell ref="H30:I30"/>
    <mergeCell ref="J36:K36"/>
    <mergeCell ref="L36:M36"/>
    <mergeCell ref="N36:O36"/>
    <mergeCell ref="R30:S30"/>
    <mergeCell ref="W30:X30"/>
    <mergeCell ref="N30:O30"/>
    <mergeCell ref="P30:Q30"/>
    <mergeCell ref="J30:K30"/>
    <mergeCell ref="L30:M30"/>
    <mergeCell ref="N27:O27"/>
    <mergeCell ref="B27:C27"/>
    <mergeCell ref="D27:E27"/>
    <mergeCell ref="F27:G27"/>
    <mergeCell ref="H27:I27"/>
    <mergeCell ref="J27:K27"/>
    <mergeCell ref="L27:M27"/>
  </mergeCells>
  <pageMargins left="0.5" right="0.5" top="0.5" bottom="0.5" header="0.3" footer="0.3"/>
  <pageSetup scale="70" orientation="landscape" r:id="rId1"/>
  <headerFooter>
    <oddFooter>&amp;L&amp;9Prepared by Planning and Analysis&amp;C&amp;9&amp;P of &amp;N&amp;R&amp;9Updated &amp;D</oddFooter>
  </headerFooter>
  <rowBreaks count="1" manualBreakCount="1">
    <brk id="35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12"/>
  <sheetViews>
    <sheetView view="pageBreakPreview" zoomScaleNormal="100" zoomScaleSheetLayoutView="100" workbookViewId="0">
      <pane xSplit="1" ySplit="8" topLeftCell="R9" activePane="bottomRight" state="frozen"/>
      <selection activeCell="T4" sqref="T4"/>
      <selection pane="topRight" activeCell="T4" sqref="T4"/>
      <selection pane="bottomLeft" activeCell="T4" sqref="T4"/>
      <selection pane="bottomRight" activeCell="T4" sqref="T4"/>
    </sheetView>
  </sheetViews>
  <sheetFormatPr defaultColWidth="10.28515625" defaultRowHeight="12.75" x14ac:dyDescent="0.2"/>
  <cols>
    <col min="1" max="1" width="42.855468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236" t="s">
        <v>90</v>
      </c>
      <c r="B1"/>
      <c r="C1"/>
      <c r="D1"/>
      <c r="E1"/>
      <c r="F1" s="237"/>
      <c r="G1" s="237"/>
      <c r="H1" s="237"/>
      <c r="I1" s="237"/>
    </row>
    <row r="2" spans="1:29" s="1" customFormat="1" ht="15.75" x14ac:dyDescent="0.25">
      <c r="A2" s="236" t="s">
        <v>91</v>
      </c>
      <c r="B2"/>
      <c r="C2"/>
      <c r="D2"/>
      <c r="E2"/>
      <c r="F2" s="237"/>
      <c r="G2" s="237"/>
      <c r="H2" s="237"/>
      <c r="I2" s="237"/>
    </row>
    <row r="3" spans="1:29" s="1" customFormat="1" ht="5.25" customHeight="1" x14ac:dyDescent="0.25">
      <c r="A3" s="236"/>
      <c r="B3"/>
      <c r="C3"/>
      <c r="D3"/>
      <c r="E3"/>
      <c r="F3" s="237"/>
      <c r="G3" s="237"/>
      <c r="H3" s="237"/>
      <c r="I3" s="237"/>
    </row>
    <row r="4" spans="1:29" s="1" customFormat="1" ht="15.75" x14ac:dyDescent="0.25">
      <c r="A4" s="238" t="s">
        <v>92</v>
      </c>
      <c r="B4"/>
      <c r="C4"/>
      <c r="D4"/>
      <c r="E4"/>
      <c r="F4" s="237"/>
      <c r="G4" s="237"/>
      <c r="H4" s="237"/>
      <c r="I4" s="237"/>
    </row>
    <row r="5" spans="1:29" s="1" customFormat="1" ht="6" customHeight="1" x14ac:dyDescent="0.25">
      <c r="A5" s="238"/>
      <c r="B5"/>
      <c r="C5"/>
      <c r="D5"/>
      <c r="E5"/>
      <c r="F5" s="237"/>
      <c r="G5" s="237"/>
      <c r="H5" s="237"/>
      <c r="I5" s="237"/>
    </row>
    <row r="6" spans="1:29" s="1" customFormat="1" x14ac:dyDescent="0.2">
      <c r="A6" s="244" t="s">
        <v>93</v>
      </c>
      <c r="F6" s="239"/>
      <c r="G6" s="239"/>
      <c r="H6" s="239"/>
      <c r="I6" s="239"/>
      <c r="U6" s="1" t="s">
        <v>14</v>
      </c>
    </row>
    <row r="7" spans="1:29" s="1" customFormat="1" x14ac:dyDescent="0.2">
      <c r="A7" s="240">
        <v>3670080020</v>
      </c>
      <c r="F7" s="239"/>
      <c r="G7" s="239"/>
      <c r="H7" s="239"/>
      <c r="I7" s="239"/>
    </row>
    <row r="8" spans="1:29" s="1" customFormat="1" ht="15" customHeight="1" thickBot="1" x14ac:dyDescent="0.25">
      <c r="A8" s="241"/>
      <c r="B8" s="242"/>
      <c r="C8" s="242"/>
      <c r="D8" s="242"/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</row>
    <row r="9" spans="1:29" ht="15" customHeight="1" thickTop="1" thickBot="1" x14ac:dyDescent="0.25">
      <c r="A9" s="3"/>
      <c r="B9" s="648" t="s">
        <v>0</v>
      </c>
      <c r="C9" s="649"/>
      <c r="D9" s="648" t="s">
        <v>1</v>
      </c>
      <c r="E9" s="649"/>
      <c r="F9" s="648" t="s">
        <v>2</v>
      </c>
      <c r="G9" s="649"/>
      <c r="H9" s="648" t="s">
        <v>3</v>
      </c>
      <c r="I9" s="649"/>
      <c r="J9" s="648" t="s">
        <v>4</v>
      </c>
      <c r="K9" s="649"/>
      <c r="L9" s="648" t="s">
        <v>5</v>
      </c>
      <c r="M9" s="649"/>
      <c r="N9" s="648" t="s">
        <v>6</v>
      </c>
      <c r="O9" s="649"/>
      <c r="P9" s="648" t="s">
        <v>7</v>
      </c>
      <c r="Q9" s="649"/>
      <c r="R9" s="648" t="s">
        <v>8</v>
      </c>
      <c r="S9" s="649"/>
      <c r="T9" s="648" t="s">
        <v>123</v>
      </c>
      <c r="U9" s="652"/>
      <c r="W9" s="650" t="s">
        <v>9</v>
      </c>
      <c r="X9" s="651"/>
    </row>
    <row r="10" spans="1:29" ht="15" customHeight="1" x14ac:dyDescent="0.2">
      <c r="A10" s="4"/>
      <c r="B10" s="173" t="s">
        <v>97</v>
      </c>
      <c r="C10" s="6" t="s">
        <v>10</v>
      </c>
      <c r="D10" s="573" t="s">
        <v>97</v>
      </c>
      <c r="E10" s="6" t="s">
        <v>10</v>
      </c>
      <c r="F10" s="573" t="s">
        <v>97</v>
      </c>
      <c r="G10" s="6" t="s">
        <v>10</v>
      </c>
      <c r="H10" s="573" t="s">
        <v>97</v>
      </c>
      <c r="I10" s="6" t="s">
        <v>10</v>
      </c>
      <c r="J10" s="573" t="s">
        <v>97</v>
      </c>
      <c r="K10" s="6" t="s">
        <v>10</v>
      </c>
      <c r="L10" s="573" t="s">
        <v>97</v>
      </c>
      <c r="M10" s="6" t="s">
        <v>10</v>
      </c>
      <c r="N10" s="573" t="s">
        <v>97</v>
      </c>
      <c r="O10" s="6" t="s">
        <v>10</v>
      </c>
      <c r="P10" s="573" t="s">
        <v>97</v>
      </c>
      <c r="Q10" s="6" t="s">
        <v>10</v>
      </c>
      <c r="R10" s="573" t="s">
        <v>97</v>
      </c>
      <c r="S10" s="6" t="s">
        <v>10</v>
      </c>
      <c r="T10" s="573" t="s">
        <v>97</v>
      </c>
      <c r="U10" s="37" t="s">
        <v>10</v>
      </c>
      <c r="W10" s="581" t="s">
        <v>97</v>
      </c>
      <c r="X10" s="578" t="s">
        <v>11</v>
      </c>
    </row>
    <row r="11" spans="1:29" ht="15" customHeight="1" thickBot="1" x14ac:dyDescent="0.25">
      <c r="A11" s="34" t="s">
        <v>98</v>
      </c>
      <c r="B11" s="33" t="s">
        <v>12</v>
      </c>
      <c r="C11" s="33" t="s">
        <v>13</v>
      </c>
      <c r="D11" s="33" t="s">
        <v>12</v>
      </c>
      <c r="E11" s="574" t="s">
        <v>13</v>
      </c>
      <c r="F11" s="575" t="s">
        <v>12</v>
      </c>
      <c r="G11" s="576" t="s">
        <v>13</v>
      </c>
      <c r="H11" s="575" t="s">
        <v>12</v>
      </c>
      <c r="I11" s="576" t="s">
        <v>13</v>
      </c>
      <c r="J11" s="33" t="s">
        <v>12</v>
      </c>
      <c r="K11" s="574" t="s">
        <v>13</v>
      </c>
      <c r="L11" s="575" t="s">
        <v>12</v>
      </c>
      <c r="M11" s="576" t="s">
        <v>13</v>
      </c>
      <c r="N11" s="33" t="s">
        <v>12</v>
      </c>
      <c r="O11" s="574" t="s">
        <v>13</v>
      </c>
      <c r="P11" s="575" t="s">
        <v>12</v>
      </c>
      <c r="Q11" s="576" t="s">
        <v>13</v>
      </c>
      <c r="R11" s="575" t="s">
        <v>12</v>
      </c>
      <c r="S11" s="576" t="s">
        <v>13</v>
      </c>
      <c r="T11" s="575" t="s">
        <v>12</v>
      </c>
      <c r="U11" s="577" t="s">
        <v>13</v>
      </c>
      <c r="W11" s="7" t="s">
        <v>12</v>
      </c>
      <c r="X11" s="8" t="s">
        <v>13</v>
      </c>
    </row>
    <row r="12" spans="1:29" ht="15" customHeight="1" x14ac:dyDescent="0.2">
      <c r="A12" s="591" t="s">
        <v>70</v>
      </c>
      <c r="B12" s="11"/>
      <c r="C12" s="12"/>
      <c r="D12" s="9"/>
      <c r="E12" s="10"/>
      <c r="F12" s="11"/>
      <c r="G12" s="10"/>
      <c r="H12" s="11"/>
      <c r="I12" s="10"/>
      <c r="J12" s="11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3"/>
      <c r="W12" s="14"/>
      <c r="X12" s="15"/>
    </row>
    <row r="13" spans="1:29" s="35" customFormat="1" ht="15" customHeight="1" x14ac:dyDescent="0.2">
      <c r="A13" s="590" t="s">
        <v>68</v>
      </c>
      <c r="B13" s="133">
        <v>13</v>
      </c>
      <c r="C13" s="134">
        <v>4</v>
      </c>
      <c r="D13" s="133">
        <v>13</v>
      </c>
      <c r="E13" s="135">
        <v>3</v>
      </c>
      <c r="F13" s="136">
        <v>12</v>
      </c>
      <c r="G13" s="135">
        <v>0</v>
      </c>
      <c r="H13" s="136">
        <v>12</v>
      </c>
      <c r="I13" s="135">
        <v>0</v>
      </c>
      <c r="J13" s="136">
        <v>14</v>
      </c>
      <c r="K13" s="135">
        <v>0</v>
      </c>
      <c r="L13" s="136">
        <v>15</v>
      </c>
      <c r="M13" s="135">
        <v>2</v>
      </c>
      <c r="N13" s="136">
        <v>12</v>
      </c>
      <c r="O13" s="135">
        <v>6</v>
      </c>
      <c r="P13" s="136">
        <v>7</v>
      </c>
      <c r="Q13" s="135">
        <v>1</v>
      </c>
      <c r="R13" s="136">
        <v>4</v>
      </c>
      <c r="S13" s="135">
        <v>4</v>
      </c>
      <c r="T13" s="133">
        <v>3</v>
      </c>
      <c r="U13" s="609"/>
      <c r="W13" s="14">
        <f>AVERAGE(T13,L13,R13,N13,P13)</f>
        <v>8.1999999999999993</v>
      </c>
      <c r="X13" s="17">
        <f>AVERAGE(O13,M13,K13,S13,Q13)</f>
        <v>2.6</v>
      </c>
    </row>
    <row r="14" spans="1:29" s="16" customFormat="1" ht="15" customHeight="1" thickBot="1" x14ac:dyDescent="0.25">
      <c r="A14" s="132" t="s">
        <v>69</v>
      </c>
      <c r="B14" s="137">
        <v>0</v>
      </c>
      <c r="C14" s="138">
        <v>0</v>
      </c>
      <c r="D14" s="137">
        <v>0</v>
      </c>
      <c r="E14" s="139">
        <v>0</v>
      </c>
      <c r="F14" s="140">
        <v>1</v>
      </c>
      <c r="G14" s="139">
        <v>0</v>
      </c>
      <c r="H14" s="140">
        <v>1</v>
      </c>
      <c r="I14" s="139">
        <v>0</v>
      </c>
      <c r="J14" s="141"/>
      <c r="K14" s="142"/>
      <c r="L14" s="141"/>
      <c r="M14" s="142"/>
      <c r="N14" s="141"/>
      <c r="O14" s="142"/>
      <c r="P14" s="141"/>
      <c r="Q14" s="142"/>
      <c r="R14" s="141"/>
      <c r="S14" s="142"/>
      <c r="T14" s="151"/>
      <c r="U14" s="152"/>
      <c r="W14" s="130"/>
      <c r="X14" s="131"/>
    </row>
    <row r="15" spans="1:29" ht="15" customHeight="1" thickTop="1" thickBot="1" x14ac:dyDescent="0.25">
      <c r="A15" s="66" t="s">
        <v>65</v>
      </c>
      <c r="B15" s="657"/>
      <c r="C15" s="658"/>
      <c r="D15" s="657"/>
      <c r="E15" s="658"/>
      <c r="F15" s="657"/>
      <c r="G15" s="658"/>
      <c r="H15" s="657"/>
      <c r="I15" s="658"/>
      <c r="J15" s="657"/>
      <c r="K15" s="658"/>
      <c r="L15" s="657"/>
      <c r="M15" s="658"/>
      <c r="N15" s="657"/>
      <c r="O15" s="658"/>
      <c r="P15" s="657"/>
      <c r="Q15" s="658"/>
      <c r="R15" s="657"/>
      <c r="S15" s="658"/>
      <c r="T15" s="657"/>
      <c r="U15" s="655"/>
      <c r="V15" s="48"/>
      <c r="W15" s="654"/>
      <c r="X15" s="655"/>
    </row>
    <row r="16" spans="1:29" ht="15" customHeight="1" thickBot="1" x14ac:dyDescent="0.25">
      <c r="A16" s="68" t="s">
        <v>67</v>
      </c>
      <c r="B16" s="69"/>
      <c r="C16" s="70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  <c r="P16" s="69"/>
      <c r="Q16" s="70"/>
      <c r="R16" s="69"/>
      <c r="S16" s="70"/>
      <c r="T16" s="69"/>
      <c r="U16" s="71"/>
      <c r="V16" s="48"/>
      <c r="W16" s="579"/>
      <c r="X16" s="580" t="e">
        <f>AVERAGE(O16,M16,U16,S16,Q16)</f>
        <v>#DIV/0!</v>
      </c>
    </row>
    <row r="17" spans="1:27" ht="15" customHeight="1" thickTop="1" thickBot="1" x14ac:dyDescent="0.25">
      <c r="A17" s="73" t="s">
        <v>17</v>
      </c>
      <c r="B17" s="657"/>
      <c r="C17" s="658"/>
      <c r="D17" s="657"/>
      <c r="E17" s="658"/>
      <c r="F17" s="657"/>
      <c r="G17" s="658"/>
      <c r="H17" s="657"/>
      <c r="I17" s="658"/>
      <c r="J17" s="657"/>
      <c r="K17" s="658"/>
      <c r="L17" s="657"/>
      <c r="M17" s="658"/>
      <c r="N17" s="657"/>
      <c r="O17" s="658"/>
      <c r="P17" s="657"/>
      <c r="Q17" s="658"/>
      <c r="R17" s="657"/>
      <c r="S17" s="658"/>
      <c r="T17" s="657"/>
      <c r="U17" s="655"/>
      <c r="V17" s="48"/>
      <c r="W17" s="654"/>
      <c r="X17" s="655"/>
    </row>
    <row r="18" spans="1:27" ht="15" customHeight="1" x14ac:dyDescent="0.2">
      <c r="A18" s="291" t="s">
        <v>18</v>
      </c>
      <c r="B18" s="74"/>
      <c r="C18" s="76"/>
      <c r="D18" s="75"/>
      <c r="E18" s="77"/>
      <c r="F18" s="74"/>
      <c r="G18" s="77"/>
      <c r="H18" s="74"/>
      <c r="I18" s="77"/>
      <c r="J18" s="74"/>
      <c r="K18" s="77"/>
      <c r="L18" s="74"/>
      <c r="M18" s="77"/>
      <c r="N18" s="74"/>
      <c r="O18" s="77"/>
      <c r="P18" s="74"/>
      <c r="Q18" s="77"/>
      <c r="R18" s="74"/>
      <c r="S18" s="77"/>
      <c r="T18" s="74"/>
      <c r="U18" s="78"/>
      <c r="V18" s="48"/>
      <c r="W18" s="81"/>
      <c r="X18" s="80"/>
    </row>
    <row r="19" spans="1:27" ht="15" customHeight="1" x14ac:dyDescent="0.2">
      <c r="A19" s="291" t="s">
        <v>19</v>
      </c>
      <c r="B19" s="74"/>
      <c r="C19" s="76"/>
      <c r="D19" s="75"/>
      <c r="E19" s="77"/>
      <c r="F19" s="74"/>
      <c r="G19" s="77"/>
      <c r="H19" s="74"/>
      <c r="I19" s="77"/>
      <c r="J19" s="74"/>
      <c r="K19" s="77"/>
      <c r="L19" s="74"/>
      <c r="M19" s="77"/>
      <c r="N19" s="74"/>
      <c r="O19" s="77"/>
      <c r="P19" s="74"/>
      <c r="Q19" s="77"/>
      <c r="R19" s="74"/>
      <c r="S19" s="77"/>
      <c r="T19" s="74"/>
      <c r="U19" s="78"/>
      <c r="V19" s="48"/>
      <c r="W19" s="81"/>
      <c r="X19" s="80"/>
    </row>
    <row r="20" spans="1:27" ht="15" customHeight="1" x14ac:dyDescent="0.2">
      <c r="A20" s="291" t="s">
        <v>20</v>
      </c>
      <c r="B20" s="75"/>
      <c r="C20" s="76">
        <v>4147</v>
      </c>
      <c r="D20" s="75"/>
      <c r="E20" s="77">
        <v>4261</v>
      </c>
      <c r="F20" s="74"/>
      <c r="G20" s="77">
        <v>4381</v>
      </c>
      <c r="H20" s="74"/>
      <c r="I20" s="77">
        <v>4718</v>
      </c>
      <c r="J20" s="74"/>
      <c r="K20" s="77">
        <v>4435</v>
      </c>
      <c r="L20" s="74"/>
      <c r="M20" s="77">
        <v>4478</v>
      </c>
      <c r="N20" s="74"/>
      <c r="O20" s="77">
        <v>4381</v>
      </c>
      <c r="P20" s="74"/>
      <c r="Q20" s="77">
        <v>4513</v>
      </c>
      <c r="R20" s="74"/>
      <c r="S20" s="77">
        <v>4471</v>
      </c>
      <c r="T20" s="74"/>
      <c r="U20" s="606"/>
      <c r="V20" s="48"/>
      <c r="W20" s="81"/>
      <c r="X20" s="80">
        <f>AVERAGE(K20,M20,O20,Q20,S20)</f>
        <v>4455.6000000000004</v>
      </c>
    </row>
    <row r="21" spans="1:27" ht="15" customHeight="1" thickBot="1" x14ac:dyDescent="0.25">
      <c r="A21" s="583" t="s">
        <v>21</v>
      </c>
      <c r="B21" s="75"/>
      <c r="C21" s="76">
        <v>134</v>
      </c>
      <c r="D21" s="75"/>
      <c r="E21" s="77">
        <v>93</v>
      </c>
      <c r="F21" s="74"/>
      <c r="G21" s="77">
        <v>107</v>
      </c>
      <c r="H21" s="74"/>
      <c r="I21" s="77">
        <v>111</v>
      </c>
      <c r="J21" s="74"/>
      <c r="K21" s="77">
        <v>137</v>
      </c>
      <c r="L21" s="74"/>
      <c r="M21" s="77">
        <v>132</v>
      </c>
      <c r="N21" s="74"/>
      <c r="O21" s="77">
        <v>131</v>
      </c>
      <c r="P21" s="74"/>
      <c r="Q21" s="77">
        <v>66</v>
      </c>
      <c r="R21" s="74"/>
      <c r="S21" s="77">
        <v>23</v>
      </c>
      <c r="T21" s="36"/>
      <c r="U21" s="607"/>
      <c r="V21" s="48"/>
      <c r="W21" s="81"/>
      <c r="X21" s="80">
        <f t="shared" ref="X21:X22" si="0">AVERAGE(K21,M21,O21,Q21,S21)</f>
        <v>97.8</v>
      </c>
    </row>
    <row r="22" spans="1:27" ht="15" customHeight="1" thickBot="1" x14ac:dyDescent="0.25">
      <c r="A22" s="582" t="s">
        <v>22</v>
      </c>
      <c r="B22" s="82"/>
      <c r="C22" s="83">
        <f>SUM(C18:C21)</f>
        <v>4281</v>
      </c>
      <c r="D22" s="84"/>
      <c r="E22" s="85">
        <f>SUM(E18:E21)</f>
        <v>4354</v>
      </c>
      <c r="F22" s="82"/>
      <c r="G22" s="85">
        <f>SUM(G18:G21)</f>
        <v>4488</v>
      </c>
      <c r="H22" s="82"/>
      <c r="I22" s="85">
        <f>SUM(I18:I21)</f>
        <v>4829</v>
      </c>
      <c r="J22" s="82"/>
      <c r="K22" s="85">
        <f>SUM(K18:K21)</f>
        <v>4572</v>
      </c>
      <c r="L22" s="82"/>
      <c r="M22" s="85">
        <f>SUM(M18:M21)</f>
        <v>4610</v>
      </c>
      <c r="N22" s="82"/>
      <c r="O22" s="85">
        <f>SUM(O18:O21)</f>
        <v>4512</v>
      </c>
      <c r="P22" s="82"/>
      <c r="Q22" s="85">
        <f>SUM(Q18:Q21)</f>
        <v>4579</v>
      </c>
      <c r="R22" s="82"/>
      <c r="S22" s="85">
        <f>SUM(S18:S21)</f>
        <v>4494</v>
      </c>
      <c r="T22" s="82"/>
      <c r="U22" s="610">
        <f>SUM(U18:U21)</f>
        <v>0</v>
      </c>
      <c r="V22" s="48"/>
      <c r="W22" s="604"/>
      <c r="X22" s="605">
        <f t="shared" si="0"/>
        <v>4553.3999999999996</v>
      </c>
    </row>
    <row r="23" spans="1:27" ht="15" customHeight="1" thickTop="1" thickBot="1" x14ac:dyDescent="0.25">
      <c r="A23" s="87"/>
      <c r="B23" s="88"/>
      <c r="C23" s="89"/>
      <c r="D23" s="88"/>
      <c r="E23" s="89"/>
      <c r="F23" s="88"/>
      <c r="G23" s="89"/>
      <c r="H23" s="88"/>
      <c r="I23" s="89"/>
      <c r="J23" s="88"/>
      <c r="K23" s="89"/>
      <c r="L23" s="88"/>
      <c r="M23" s="89"/>
      <c r="N23" s="88"/>
      <c r="O23" s="89"/>
      <c r="P23" s="88"/>
      <c r="Q23" s="89"/>
      <c r="R23" s="88"/>
      <c r="S23" s="89"/>
      <c r="T23" s="88"/>
      <c r="U23" s="89"/>
      <c r="V23" s="90"/>
      <c r="W23" s="91"/>
      <c r="X23" s="89"/>
    </row>
    <row r="24" spans="1:27" ht="15" customHeight="1" thickTop="1" thickBot="1" x14ac:dyDescent="0.25">
      <c r="A24" s="92" t="s">
        <v>23</v>
      </c>
      <c r="B24" s="644" t="s">
        <v>24</v>
      </c>
      <c r="C24" s="656"/>
      <c r="D24" s="644" t="s">
        <v>25</v>
      </c>
      <c r="E24" s="653"/>
      <c r="F24" s="644" t="s">
        <v>26</v>
      </c>
      <c r="G24" s="653"/>
      <c r="H24" s="644" t="s">
        <v>27</v>
      </c>
      <c r="I24" s="653"/>
      <c r="J24" s="644" t="s">
        <v>28</v>
      </c>
      <c r="K24" s="653"/>
      <c r="L24" s="644" t="s">
        <v>29</v>
      </c>
      <c r="M24" s="653"/>
      <c r="N24" s="644" t="s">
        <v>30</v>
      </c>
      <c r="O24" s="653"/>
      <c r="P24" s="644" t="s">
        <v>31</v>
      </c>
      <c r="Q24" s="653"/>
      <c r="R24" s="644" t="s">
        <v>32</v>
      </c>
      <c r="S24" s="653"/>
      <c r="T24" s="644" t="s">
        <v>124</v>
      </c>
      <c r="U24" s="645"/>
      <c r="V24" s="93"/>
      <c r="W24" s="654" t="s">
        <v>9</v>
      </c>
      <c r="X24" s="655"/>
      <c r="Y24" s="29"/>
      <c r="Z24" s="29"/>
      <c r="AA24" s="30"/>
    </row>
    <row r="25" spans="1:27" ht="15" customHeight="1" x14ac:dyDescent="0.2">
      <c r="A25" s="143" t="s">
        <v>103</v>
      </c>
      <c r="B25" s="94"/>
      <c r="C25" s="42">
        <v>2.4E-2</v>
      </c>
      <c r="D25" s="145"/>
      <c r="E25" s="38">
        <v>2.4E-2</v>
      </c>
      <c r="F25" s="146"/>
      <c r="G25" s="38">
        <v>1.9E-2</v>
      </c>
      <c r="H25" s="147"/>
      <c r="I25" s="38">
        <v>1.7000000000000001E-2</v>
      </c>
      <c r="J25" s="147"/>
      <c r="K25" s="38">
        <v>0.11899999999999999</v>
      </c>
      <c r="L25" s="147"/>
      <c r="M25" s="38">
        <v>2.1000000000000001E-2</v>
      </c>
      <c r="N25" s="147"/>
      <c r="O25" s="38">
        <v>2.4E-2</v>
      </c>
      <c r="P25" s="147"/>
      <c r="Q25" s="38">
        <v>1.2E-2</v>
      </c>
      <c r="R25" s="147"/>
      <c r="S25" s="38">
        <v>0</v>
      </c>
      <c r="T25" s="98"/>
      <c r="U25" s="99">
        <v>0</v>
      </c>
      <c r="V25" s="100"/>
      <c r="W25" s="101"/>
      <c r="X25" s="102">
        <f>AVERAGE(O25,M25,S25,U25,Q25)</f>
        <v>1.1399999999999999E-2</v>
      </c>
      <c r="Y25" s="29"/>
      <c r="Z25" s="29"/>
      <c r="AA25" s="30"/>
    </row>
    <row r="26" spans="1:27" ht="15" customHeight="1" x14ac:dyDescent="0.2">
      <c r="A26" s="144" t="s">
        <v>104</v>
      </c>
      <c r="B26" s="103"/>
      <c r="C26" s="43">
        <v>0.90700000000000003</v>
      </c>
      <c r="D26" s="148"/>
      <c r="E26" s="39">
        <v>0.95699999999999996</v>
      </c>
      <c r="F26" s="149"/>
      <c r="G26" s="39">
        <v>0.92300000000000004</v>
      </c>
      <c r="H26" s="150"/>
      <c r="I26" s="39">
        <v>0.97299999999999998</v>
      </c>
      <c r="J26" s="150"/>
      <c r="K26" s="39">
        <v>0.81599999999999995</v>
      </c>
      <c r="L26" s="150"/>
      <c r="M26" s="39">
        <v>0.95899999999999996</v>
      </c>
      <c r="N26" s="150"/>
      <c r="O26" s="39">
        <v>0.96399999999999997</v>
      </c>
      <c r="P26" s="150"/>
      <c r="Q26" s="39">
        <v>0.96899999999999997</v>
      </c>
      <c r="R26" s="150"/>
      <c r="S26" s="39">
        <v>0.99099999999999999</v>
      </c>
      <c r="T26" s="105"/>
      <c r="U26" s="106">
        <v>0.98199999999999998</v>
      </c>
      <c r="V26" s="100"/>
      <c r="W26" s="107"/>
      <c r="X26" s="108">
        <f>AVERAGE(O26,M26,S26,U26,Q26)</f>
        <v>0.97300000000000009</v>
      </c>
      <c r="Y26" s="29"/>
      <c r="Z26" s="29"/>
      <c r="AA26" s="30"/>
    </row>
    <row r="27" spans="1:27" ht="15" customHeight="1" thickBot="1" x14ac:dyDescent="0.25">
      <c r="A27" s="109" t="s">
        <v>106</v>
      </c>
      <c r="B27" s="659">
        <f>1-C25-C26</f>
        <v>6.899999999999995E-2</v>
      </c>
      <c r="C27" s="660"/>
      <c r="D27" s="659">
        <f>1-E25-E26</f>
        <v>1.9000000000000017E-2</v>
      </c>
      <c r="E27" s="660"/>
      <c r="F27" s="659">
        <f>1-G25-G26</f>
        <v>5.799999999999994E-2</v>
      </c>
      <c r="G27" s="660"/>
      <c r="H27" s="659">
        <f>1-I25-I26</f>
        <v>1.0000000000000009E-2</v>
      </c>
      <c r="I27" s="660"/>
      <c r="J27" s="659">
        <f>1-K25-K26</f>
        <v>6.5000000000000058E-2</v>
      </c>
      <c r="K27" s="660"/>
      <c r="L27" s="659">
        <f>1-M25-M26</f>
        <v>2.0000000000000018E-2</v>
      </c>
      <c r="M27" s="660"/>
      <c r="N27" s="659">
        <f>1-O25-O26</f>
        <v>1.2000000000000011E-2</v>
      </c>
      <c r="O27" s="660"/>
      <c r="P27" s="659">
        <f>1-Q25-Q26</f>
        <v>1.9000000000000017E-2</v>
      </c>
      <c r="Q27" s="660"/>
      <c r="R27" s="659">
        <f>1-S25-S26</f>
        <v>9.000000000000008E-3</v>
      </c>
      <c r="S27" s="660"/>
      <c r="T27" s="659">
        <f>1-U25-U26</f>
        <v>1.8000000000000016E-2</v>
      </c>
      <c r="U27" s="662"/>
      <c r="V27" s="100"/>
      <c r="W27" s="661">
        <f>AVERAGE(N27,L27,R27,T27,P27)</f>
        <v>1.5600000000000013E-2</v>
      </c>
      <c r="X27" s="662" t="e">
        <f>AVERAGE(O27,M27,I27,K27,Q27)</f>
        <v>#DIV/0!</v>
      </c>
      <c r="Y27" s="31"/>
      <c r="Z27" s="29"/>
      <c r="AA27" s="30"/>
    </row>
    <row r="28" spans="1:27" s="2" customFormat="1" ht="15" customHeight="1" thickTop="1" thickBot="1" x14ac:dyDescent="0.25">
      <c r="A28" s="49" t="s">
        <v>62</v>
      </c>
      <c r="B28" s="50" t="s">
        <v>33</v>
      </c>
      <c r="C28" s="51" t="s">
        <v>66</v>
      </c>
      <c r="D28" s="50" t="s">
        <v>33</v>
      </c>
      <c r="E28" s="51" t="s">
        <v>66</v>
      </c>
      <c r="F28" s="50" t="s">
        <v>33</v>
      </c>
      <c r="G28" s="51" t="s">
        <v>66</v>
      </c>
      <c r="H28" s="50" t="s">
        <v>33</v>
      </c>
      <c r="I28" s="51" t="s">
        <v>66</v>
      </c>
      <c r="J28" s="50" t="s">
        <v>33</v>
      </c>
      <c r="K28" s="51" t="s">
        <v>66</v>
      </c>
      <c r="L28" s="50" t="s">
        <v>33</v>
      </c>
      <c r="M28" s="51" t="s">
        <v>66</v>
      </c>
      <c r="N28" s="50" t="s">
        <v>33</v>
      </c>
      <c r="O28" s="51" t="s">
        <v>66</v>
      </c>
      <c r="P28" s="50" t="s">
        <v>33</v>
      </c>
      <c r="Q28" s="51" t="s">
        <v>66</v>
      </c>
      <c r="R28" s="50" t="s">
        <v>33</v>
      </c>
      <c r="S28" s="51" t="s">
        <v>66</v>
      </c>
      <c r="T28" s="50" t="s">
        <v>33</v>
      </c>
      <c r="U28" s="52" t="s">
        <v>66</v>
      </c>
      <c r="V28" s="53"/>
      <c r="W28" s="246" t="s">
        <v>33</v>
      </c>
      <c r="X28" s="247" t="s">
        <v>66</v>
      </c>
    </row>
    <row r="29" spans="1:27" ht="15" customHeight="1" thickBot="1" x14ac:dyDescent="0.25">
      <c r="A29" s="57" t="s">
        <v>64</v>
      </c>
      <c r="B29" s="58"/>
      <c r="C29" s="59"/>
      <c r="D29" s="584"/>
      <c r="E29" s="585"/>
      <c r="F29" s="584"/>
      <c r="G29" s="585"/>
      <c r="H29" s="58">
        <v>9</v>
      </c>
      <c r="I29" s="59">
        <f>H29/H$13</f>
        <v>0.75</v>
      </c>
      <c r="J29" s="58">
        <v>11</v>
      </c>
      <c r="K29" s="59">
        <f>J29/J$13</f>
        <v>0.7857142857142857</v>
      </c>
      <c r="L29" s="58">
        <v>9</v>
      </c>
      <c r="M29" s="59">
        <f>L29/L$13</f>
        <v>0.6</v>
      </c>
      <c r="N29" s="58">
        <v>8</v>
      </c>
      <c r="O29" s="59">
        <f>N29/N$13</f>
        <v>0.66666666666666663</v>
      </c>
      <c r="P29" s="58">
        <v>5</v>
      </c>
      <c r="Q29" s="59">
        <f>P29/P$13</f>
        <v>0.7142857142857143</v>
      </c>
      <c r="R29" s="58">
        <v>2</v>
      </c>
      <c r="S29" s="59">
        <f>R29/R$13</f>
        <v>0.5</v>
      </c>
      <c r="T29" s="58"/>
      <c r="U29" s="229">
        <f>T29/T$13</f>
        <v>0</v>
      </c>
      <c r="V29" s="48"/>
      <c r="W29" s="290">
        <f>AVERAGE(R29,P29,N29,L29,T29,)</f>
        <v>4.8</v>
      </c>
      <c r="X29" s="349">
        <f>W29/W13</f>
        <v>0.58536585365853666</v>
      </c>
    </row>
    <row r="30" spans="1:27" s="289" customFormat="1" ht="15" customHeight="1" thickTop="1" x14ac:dyDescent="0.2">
      <c r="A30" s="18" t="s">
        <v>16</v>
      </c>
      <c r="B30" s="19"/>
      <c r="C30" s="20"/>
      <c r="D30" s="19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W30" s="21"/>
      <c r="X30" s="22"/>
    </row>
    <row r="31" spans="1:27" s="1" customFormat="1" ht="15" customHeight="1" thickBot="1" x14ac:dyDescent="0.25">
      <c r="A31" s="87"/>
      <c r="B31" s="88"/>
      <c r="C31" s="286"/>
      <c r="D31" s="88"/>
      <c r="E31" s="286"/>
      <c r="F31" s="88"/>
      <c r="G31" s="286"/>
      <c r="H31" s="88"/>
      <c r="I31" s="286"/>
      <c r="J31" s="88"/>
      <c r="K31" s="286"/>
      <c r="L31" s="88"/>
      <c r="M31" s="286"/>
      <c r="N31" s="88"/>
      <c r="O31" s="286"/>
      <c r="P31" s="88"/>
      <c r="Q31" s="286"/>
      <c r="R31" s="88"/>
      <c r="S31" s="286"/>
      <c r="T31" s="88"/>
      <c r="U31" s="286"/>
      <c r="V31" s="72"/>
      <c r="W31" s="72"/>
      <c r="X31" s="287"/>
    </row>
    <row r="32" spans="1:27" s="1" customFormat="1" ht="15" customHeight="1" thickTop="1" thickBot="1" x14ac:dyDescent="0.25">
      <c r="A32" s="271" t="s">
        <v>99</v>
      </c>
      <c r="B32" s="644" t="s">
        <v>24</v>
      </c>
      <c r="C32" s="656"/>
      <c r="D32" s="644" t="s">
        <v>25</v>
      </c>
      <c r="E32" s="653"/>
      <c r="F32" s="644" t="s">
        <v>26</v>
      </c>
      <c r="G32" s="653"/>
      <c r="H32" s="644" t="s">
        <v>27</v>
      </c>
      <c r="I32" s="653"/>
      <c r="J32" s="644" t="s">
        <v>28</v>
      </c>
      <c r="K32" s="653"/>
      <c r="L32" s="644" t="s">
        <v>29</v>
      </c>
      <c r="M32" s="653"/>
      <c r="N32" s="644" t="s">
        <v>30</v>
      </c>
      <c r="O32" s="653"/>
      <c r="P32" s="644" t="s">
        <v>31</v>
      </c>
      <c r="Q32" s="653"/>
      <c r="R32" s="644" t="s">
        <v>32</v>
      </c>
      <c r="S32" s="653"/>
      <c r="T32" s="644" t="s">
        <v>124</v>
      </c>
      <c r="U32" s="645"/>
      <c r="V32" s="72"/>
      <c r="W32" s="654" t="s">
        <v>9</v>
      </c>
      <c r="X32" s="655"/>
    </row>
    <row r="33" spans="1:24" s="1" customFormat="1" ht="24" x14ac:dyDescent="0.2">
      <c r="A33" s="292" t="s">
        <v>107</v>
      </c>
      <c r="B33" s="296"/>
      <c r="C33" s="297"/>
      <c r="D33" s="296"/>
      <c r="E33" s="298"/>
      <c r="F33" s="296"/>
      <c r="G33" s="298"/>
      <c r="H33" s="296"/>
      <c r="I33" s="298"/>
      <c r="J33" s="296"/>
      <c r="K33" s="298"/>
      <c r="L33" s="296"/>
      <c r="M33" s="298"/>
      <c r="N33" s="296"/>
      <c r="O33" s="298"/>
      <c r="P33" s="296"/>
      <c r="Q33" s="298"/>
      <c r="R33" s="296"/>
      <c r="S33" s="298"/>
      <c r="T33" s="296"/>
      <c r="U33" s="299"/>
      <c r="V33" s="293"/>
      <c r="W33" s="294"/>
      <c r="X33" s="295"/>
    </row>
    <row r="34" spans="1:24" s="1" customFormat="1" ht="15" customHeight="1" x14ac:dyDescent="0.2">
      <c r="A34" s="309" t="s">
        <v>88</v>
      </c>
      <c r="B34" s="105"/>
      <c r="C34" s="232">
        <v>5</v>
      </c>
      <c r="D34" s="105"/>
      <c r="E34" s="232">
        <v>6</v>
      </c>
      <c r="F34" s="105"/>
      <c r="G34" s="232">
        <v>5</v>
      </c>
      <c r="H34" s="105"/>
      <c r="I34" s="232">
        <v>5</v>
      </c>
      <c r="J34" s="105"/>
      <c r="K34" s="232">
        <v>5</v>
      </c>
      <c r="L34" s="105"/>
      <c r="M34" s="232">
        <v>5</v>
      </c>
      <c r="N34" s="105"/>
      <c r="O34" s="232">
        <v>4</v>
      </c>
      <c r="P34" s="105"/>
      <c r="Q34" s="232">
        <v>4</v>
      </c>
      <c r="R34" s="105"/>
      <c r="S34" s="232">
        <v>4</v>
      </c>
      <c r="T34" s="233"/>
      <c r="U34" s="234"/>
      <c r="V34" s="72"/>
      <c r="W34" s="302"/>
      <c r="X34" s="234">
        <f>AVERAGE(O34,M34,S34,U34,Q34)</f>
        <v>4.25</v>
      </c>
    </row>
    <row r="35" spans="1:24" s="1" customFormat="1" ht="24" x14ac:dyDescent="0.2">
      <c r="A35" s="300" t="s">
        <v>108</v>
      </c>
      <c r="B35" s="233"/>
      <c r="C35" s="301">
        <v>5</v>
      </c>
      <c r="D35" s="233"/>
      <c r="E35" s="301">
        <v>6</v>
      </c>
      <c r="F35" s="233"/>
      <c r="G35" s="301">
        <v>5</v>
      </c>
      <c r="H35" s="233"/>
      <c r="I35" s="301">
        <v>5</v>
      </c>
      <c r="J35" s="233"/>
      <c r="K35" s="301">
        <v>5</v>
      </c>
      <c r="L35" s="233"/>
      <c r="M35" s="301">
        <v>5</v>
      </c>
      <c r="N35" s="233"/>
      <c r="O35" s="301">
        <v>4</v>
      </c>
      <c r="P35" s="233"/>
      <c r="Q35" s="301">
        <v>4</v>
      </c>
      <c r="R35" s="233"/>
      <c r="S35" s="301">
        <v>4</v>
      </c>
      <c r="T35" s="233"/>
      <c r="U35" s="234"/>
      <c r="V35" s="72"/>
      <c r="W35" s="303"/>
      <c r="X35" s="304">
        <f t="shared" ref="X35:X36" si="1">AVERAGE(O35,M35,S35,U35,Q35)</f>
        <v>4.25</v>
      </c>
    </row>
    <row r="36" spans="1:24" s="1" customFormat="1" ht="15" customHeight="1" thickBot="1" x14ac:dyDescent="0.25">
      <c r="A36" s="369" t="s">
        <v>89</v>
      </c>
      <c r="B36" s="370"/>
      <c r="C36" s="371">
        <v>5.2</v>
      </c>
      <c r="D36" s="370"/>
      <c r="E36" s="371">
        <f>4.64+0.8</f>
        <v>5.4399999999999995</v>
      </c>
      <c r="F36" s="370"/>
      <c r="G36" s="371">
        <v>4.04</v>
      </c>
      <c r="H36" s="370"/>
      <c r="I36" s="371">
        <v>5.04</v>
      </c>
      <c r="J36" s="370"/>
      <c r="K36" s="371">
        <f>4.04+1.37</f>
        <v>5.41</v>
      </c>
      <c r="L36" s="370"/>
      <c r="M36" s="371">
        <v>4.84</v>
      </c>
      <c r="N36" s="370"/>
      <c r="O36" s="371">
        <v>3.84</v>
      </c>
      <c r="P36" s="370"/>
      <c r="Q36" s="371">
        <v>5.3</v>
      </c>
      <c r="R36" s="370"/>
      <c r="S36" s="371">
        <f>3.25+2.15</f>
        <v>5.4</v>
      </c>
      <c r="T36" s="372"/>
      <c r="U36" s="373"/>
      <c r="V36" s="72"/>
      <c r="W36" s="374"/>
      <c r="X36" s="373">
        <f t="shared" si="1"/>
        <v>4.8449999999999998</v>
      </c>
    </row>
    <row r="37" spans="1:24" s="1" customFormat="1" ht="15" customHeight="1" thickBot="1" x14ac:dyDescent="0.25">
      <c r="A37" s="356" t="s">
        <v>101</v>
      </c>
      <c r="B37" s="335" t="s">
        <v>34</v>
      </c>
      <c r="C37" s="336" t="s">
        <v>35</v>
      </c>
      <c r="D37" s="335" t="s">
        <v>34</v>
      </c>
      <c r="E37" s="336" t="s">
        <v>35</v>
      </c>
      <c r="F37" s="364" t="s">
        <v>34</v>
      </c>
      <c r="G37" s="363" t="s">
        <v>35</v>
      </c>
      <c r="H37" s="364" t="s">
        <v>34</v>
      </c>
      <c r="I37" s="363" t="s">
        <v>35</v>
      </c>
      <c r="J37" s="364" t="s">
        <v>34</v>
      </c>
      <c r="K37" s="363" t="s">
        <v>35</v>
      </c>
      <c r="L37" s="364" t="s">
        <v>34</v>
      </c>
      <c r="M37" s="363" t="s">
        <v>35</v>
      </c>
      <c r="N37" s="364" t="s">
        <v>34</v>
      </c>
      <c r="O37" s="363" t="s">
        <v>35</v>
      </c>
      <c r="P37" s="364" t="s">
        <v>34</v>
      </c>
      <c r="Q37" s="363" t="s">
        <v>35</v>
      </c>
      <c r="R37" s="364" t="s">
        <v>34</v>
      </c>
      <c r="S37" s="363" t="s">
        <v>35</v>
      </c>
      <c r="T37" s="364" t="s">
        <v>34</v>
      </c>
      <c r="U37" s="365" t="s">
        <v>35</v>
      </c>
      <c r="V37" s="72"/>
      <c r="W37" s="398" t="s">
        <v>34</v>
      </c>
      <c r="X37" s="365" t="s">
        <v>102</v>
      </c>
    </row>
    <row r="38" spans="1:24" s="1" customFormat="1" ht="15" customHeight="1" x14ac:dyDescent="0.2">
      <c r="A38" s="307" t="s">
        <v>36</v>
      </c>
      <c r="B38" s="305"/>
      <c r="C38" s="306"/>
      <c r="D38" s="376"/>
      <c r="E38" s="377"/>
      <c r="F38" s="385"/>
      <c r="G38" s="377"/>
      <c r="H38" s="385"/>
      <c r="I38" s="377"/>
      <c r="J38" s="385"/>
      <c r="K38" s="377"/>
      <c r="L38" s="385"/>
      <c r="M38" s="377"/>
      <c r="N38" s="385"/>
      <c r="O38" s="377"/>
      <c r="P38" s="385"/>
      <c r="Q38" s="377"/>
      <c r="R38" s="385"/>
      <c r="S38" s="377"/>
      <c r="T38" s="385"/>
      <c r="U38" s="391"/>
      <c r="V38" s="72"/>
      <c r="W38" s="399"/>
      <c r="X38" s="400"/>
    </row>
    <row r="39" spans="1:24" s="1" customFormat="1" ht="15" customHeight="1" x14ac:dyDescent="0.2">
      <c r="A39" s="310" t="s">
        <v>37</v>
      </c>
      <c r="B39" s="354"/>
      <c r="C39" s="76">
        <v>6</v>
      </c>
      <c r="D39" s="378"/>
      <c r="E39" s="417">
        <v>8</v>
      </c>
      <c r="F39" s="378"/>
      <c r="G39" s="417">
        <v>8</v>
      </c>
      <c r="H39" s="378"/>
      <c r="I39" s="417">
        <v>8</v>
      </c>
      <c r="J39" s="419">
        <v>7</v>
      </c>
      <c r="K39" s="417">
        <v>7</v>
      </c>
      <c r="L39" s="419">
        <v>7</v>
      </c>
      <c r="M39" s="417">
        <v>7</v>
      </c>
      <c r="N39" s="419">
        <v>6</v>
      </c>
      <c r="O39" s="417">
        <v>6</v>
      </c>
      <c r="P39" s="419">
        <v>8</v>
      </c>
      <c r="Q39" s="417">
        <v>8</v>
      </c>
      <c r="R39" s="419">
        <v>7</v>
      </c>
      <c r="S39" s="417">
        <v>7</v>
      </c>
      <c r="T39" s="392"/>
      <c r="U39" s="393"/>
      <c r="V39" s="72"/>
      <c r="W39" s="401">
        <f>AVERAGE(R39,P39,N39,L39,T39)</f>
        <v>7</v>
      </c>
      <c r="X39" s="402">
        <f>AVERAGE(O39,M39,S39,U39,Q39)</f>
        <v>7</v>
      </c>
    </row>
    <row r="40" spans="1:24" s="1" customFormat="1" ht="15" customHeight="1" x14ac:dyDescent="0.2">
      <c r="A40" s="310" t="s">
        <v>38</v>
      </c>
      <c r="B40" s="354"/>
      <c r="C40" s="76">
        <v>2</v>
      </c>
      <c r="D40" s="378"/>
      <c r="E40" s="417">
        <v>2</v>
      </c>
      <c r="F40" s="378"/>
      <c r="G40" s="417">
        <v>2</v>
      </c>
      <c r="H40" s="378"/>
      <c r="I40" s="417">
        <v>2</v>
      </c>
      <c r="J40" s="380">
        <v>1.8</v>
      </c>
      <c r="K40" s="417">
        <v>3</v>
      </c>
      <c r="L40" s="380">
        <v>2.6</v>
      </c>
      <c r="M40" s="417">
        <v>4</v>
      </c>
      <c r="N40" s="380">
        <v>1.8</v>
      </c>
      <c r="O40" s="417">
        <v>3</v>
      </c>
      <c r="P40" s="380">
        <v>0.5</v>
      </c>
      <c r="Q40" s="417">
        <v>1</v>
      </c>
      <c r="R40" s="380">
        <v>0.6</v>
      </c>
      <c r="S40" s="417">
        <v>2</v>
      </c>
      <c r="T40" s="386"/>
      <c r="U40" s="393"/>
      <c r="V40" s="72"/>
      <c r="W40" s="401">
        <f t="shared" ref="W40:W43" si="2">AVERAGE(R40,P40,N40,L40,T40)</f>
        <v>1.375</v>
      </c>
      <c r="X40" s="402">
        <f t="shared" ref="X40:X43" si="3">AVERAGE(O40,M40,S40,U40,Q40)</f>
        <v>2.5</v>
      </c>
    </row>
    <row r="41" spans="1:24" s="1" customFormat="1" ht="15" customHeight="1" x14ac:dyDescent="0.2">
      <c r="A41" s="308" t="s">
        <v>39</v>
      </c>
      <c r="B41" s="74"/>
      <c r="C41" s="111"/>
      <c r="D41" s="380"/>
      <c r="E41" s="418"/>
      <c r="F41" s="380"/>
      <c r="G41" s="418"/>
      <c r="H41" s="380"/>
      <c r="I41" s="418"/>
      <c r="J41" s="380"/>
      <c r="K41" s="418"/>
      <c r="L41" s="380"/>
      <c r="M41" s="418"/>
      <c r="N41" s="380"/>
      <c r="O41" s="418"/>
      <c r="P41" s="380"/>
      <c r="Q41" s="418"/>
      <c r="R41" s="380"/>
      <c r="S41" s="418"/>
      <c r="T41" s="386"/>
      <c r="U41" s="394"/>
      <c r="V41" s="72"/>
      <c r="W41" s="401"/>
      <c r="X41" s="402"/>
    </row>
    <row r="42" spans="1:24" s="1" customFormat="1" ht="15" customHeight="1" x14ac:dyDescent="0.2">
      <c r="A42" s="310" t="s">
        <v>37</v>
      </c>
      <c r="B42" s="354"/>
      <c r="C42" s="111">
        <v>10</v>
      </c>
      <c r="D42" s="378"/>
      <c r="E42" s="418">
        <v>10</v>
      </c>
      <c r="F42" s="378"/>
      <c r="G42" s="418">
        <v>10</v>
      </c>
      <c r="H42" s="378"/>
      <c r="I42" s="418">
        <v>12</v>
      </c>
      <c r="J42" s="419">
        <v>12</v>
      </c>
      <c r="K42" s="418">
        <v>12</v>
      </c>
      <c r="L42" s="419">
        <v>14</v>
      </c>
      <c r="M42" s="418">
        <v>14</v>
      </c>
      <c r="N42" s="419">
        <v>16</v>
      </c>
      <c r="O42" s="418">
        <v>16</v>
      </c>
      <c r="P42" s="419">
        <v>21</v>
      </c>
      <c r="Q42" s="418">
        <v>21</v>
      </c>
      <c r="R42" s="419">
        <v>21</v>
      </c>
      <c r="S42" s="418">
        <v>21</v>
      </c>
      <c r="T42" s="392"/>
      <c r="U42" s="394"/>
      <c r="V42" s="72"/>
      <c r="W42" s="401">
        <f t="shared" si="2"/>
        <v>18</v>
      </c>
      <c r="X42" s="402">
        <f t="shared" si="3"/>
        <v>18</v>
      </c>
    </row>
    <row r="43" spans="1:24" s="1" customFormat="1" ht="15" customHeight="1" thickBot="1" x14ac:dyDescent="0.25">
      <c r="A43" s="311" t="s">
        <v>38</v>
      </c>
      <c r="B43" s="355"/>
      <c r="C43" s="111">
        <v>1</v>
      </c>
      <c r="D43" s="378"/>
      <c r="E43" s="418">
        <v>1</v>
      </c>
      <c r="F43" s="378"/>
      <c r="G43" s="418">
        <v>1</v>
      </c>
      <c r="H43" s="378"/>
      <c r="I43" s="418">
        <v>1</v>
      </c>
      <c r="J43" s="419">
        <v>0</v>
      </c>
      <c r="K43" s="418">
        <v>0</v>
      </c>
      <c r="L43" s="419">
        <v>0</v>
      </c>
      <c r="M43" s="418">
        <v>0</v>
      </c>
      <c r="N43" s="419">
        <v>0</v>
      </c>
      <c r="O43" s="418">
        <v>0</v>
      </c>
      <c r="P43" s="380">
        <v>0.5</v>
      </c>
      <c r="Q43" s="418">
        <v>1</v>
      </c>
      <c r="R43" s="380">
        <v>1.3</v>
      </c>
      <c r="S43" s="418">
        <v>2</v>
      </c>
      <c r="T43" s="395"/>
      <c r="U43" s="396"/>
      <c r="V43" s="72"/>
      <c r="W43" s="403">
        <f t="shared" si="2"/>
        <v>0.45</v>
      </c>
      <c r="X43" s="404">
        <f t="shared" si="3"/>
        <v>0.75</v>
      </c>
    </row>
    <row r="44" spans="1:24" s="1" customFormat="1" ht="15" customHeight="1" thickBot="1" x14ac:dyDescent="0.25">
      <c r="A44" s="366" t="s">
        <v>22</v>
      </c>
      <c r="B44" s="367"/>
      <c r="C44" s="368">
        <f>SUM(C39:C43)</f>
        <v>19</v>
      </c>
      <c r="D44" s="383"/>
      <c r="E44" s="384">
        <f>SUM(E39:E43)</f>
        <v>21</v>
      </c>
      <c r="F44" s="387"/>
      <c r="G44" s="384">
        <f>SUM(G39:G43)</f>
        <v>21</v>
      </c>
      <c r="H44" s="387"/>
      <c r="I44" s="384">
        <f t="shared" ref="I44:S44" si="4">SUM(I39:I43)</f>
        <v>23</v>
      </c>
      <c r="J44" s="412">
        <f t="shared" si="4"/>
        <v>20.8</v>
      </c>
      <c r="K44" s="384">
        <f t="shared" si="4"/>
        <v>22</v>
      </c>
      <c r="L44" s="412">
        <f t="shared" si="4"/>
        <v>23.6</v>
      </c>
      <c r="M44" s="384">
        <f t="shared" si="4"/>
        <v>25</v>
      </c>
      <c r="N44" s="412">
        <f t="shared" si="4"/>
        <v>23.8</v>
      </c>
      <c r="O44" s="384">
        <f t="shared" si="4"/>
        <v>25</v>
      </c>
      <c r="P44" s="412">
        <f t="shared" si="4"/>
        <v>30</v>
      </c>
      <c r="Q44" s="384">
        <f t="shared" si="4"/>
        <v>31</v>
      </c>
      <c r="R44" s="412">
        <f t="shared" si="4"/>
        <v>29.900000000000002</v>
      </c>
      <c r="S44" s="384">
        <f t="shared" si="4"/>
        <v>32</v>
      </c>
      <c r="T44" s="412">
        <f t="shared" ref="T44:U44" si="5">SUM(T39:T43)</f>
        <v>0</v>
      </c>
      <c r="U44" s="397">
        <f t="shared" si="5"/>
        <v>0</v>
      </c>
      <c r="V44" s="72"/>
      <c r="W44" s="405">
        <f>AVERAGE(R44,P44,N44,L44,T44)</f>
        <v>21.46</v>
      </c>
      <c r="X44" s="406">
        <f>AVERAGE(O44,M44,S44,U44,Q44)</f>
        <v>22.6</v>
      </c>
    </row>
    <row r="45" spans="1:24" s="1" customFormat="1" ht="15" customHeight="1" thickBot="1" x14ac:dyDescent="0.25">
      <c r="A45" s="360" t="s">
        <v>40</v>
      </c>
      <c r="B45" s="361" t="s">
        <v>33</v>
      </c>
      <c r="C45" s="362" t="s">
        <v>41</v>
      </c>
      <c r="D45" s="361" t="s">
        <v>33</v>
      </c>
      <c r="E45" s="363" t="s">
        <v>41</v>
      </c>
      <c r="F45" s="364" t="s">
        <v>33</v>
      </c>
      <c r="G45" s="363" t="s">
        <v>41</v>
      </c>
      <c r="H45" s="364" t="s">
        <v>33</v>
      </c>
      <c r="I45" s="363" t="s">
        <v>41</v>
      </c>
      <c r="J45" s="364" t="s">
        <v>33</v>
      </c>
      <c r="K45" s="363" t="s">
        <v>41</v>
      </c>
      <c r="L45" s="364" t="s">
        <v>33</v>
      </c>
      <c r="M45" s="363" t="s">
        <v>41</v>
      </c>
      <c r="N45" s="364" t="s">
        <v>33</v>
      </c>
      <c r="O45" s="363" t="s">
        <v>41</v>
      </c>
      <c r="P45" s="364" t="s">
        <v>33</v>
      </c>
      <c r="Q45" s="363" t="s">
        <v>41</v>
      </c>
      <c r="R45" s="364" t="s">
        <v>33</v>
      </c>
      <c r="S45" s="363" t="s">
        <v>41</v>
      </c>
      <c r="T45" s="364" t="s">
        <v>33</v>
      </c>
      <c r="U45" s="365" t="s">
        <v>41</v>
      </c>
      <c r="V45" s="72"/>
      <c r="W45" s="398" t="s">
        <v>33</v>
      </c>
      <c r="X45" s="365" t="s">
        <v>41</v>
      </c>
    </row>
    <row r="46" spans="1:24" s="1" customFormat="1" ht="15" customHeight="1" x14ac:dyDescent="0.2">
      <c r="A46" s="312" t="s">
        <v>42</v>
      </c>
      <c r="B46" s="272">
        <v>13</v>
      </c>
      <c r="C46" s="313">
        <f t="shared" ref="C46:C53" si="6">B46/C$44</f>
        <v>0.68421052631578949</v>
      </c>
      <c r="D46" s="272">
        <v>14</v>
      </c>
      <c r="E46" s="314">
        <f t="shared" ref="E46:K53" si="7">D46/E$44</f>
        <v>0.66666666666666663</v>
      </c>
      <c r="F46" s="272">
        <v>14</v>
      </c>
      <c r="G46" s="314">
        <f t="shared" si="7"/>
        <v>0.66666666666666663</v>
      </c>
      <c r="H46" s="272">
        <v>15</v>
      </c>
      <c r="I46" s="314">
        <f t="shared" ref="I46:I53" si="8">H46/I$44</f>
        <v>0.65217391304347827</v>
      </c>
      <c r="J46" s="272">
        <f>3+10</f>
        <v>13</v>
      </c>
      <c r="K46" s="314">
        <f t="shared" si="7"/>
        <v>0.59090909090909094</v>
      </c>
      <c r="L46" s="272">
        <v>15</v>
      </c>
      <c r="M46" s="314">
        <f t="shared" ref="M46:M51" si="9">L46/M$44</f>
        <v>0.6</v>
      </c>
      <c r="N46" s="272">
        <v>15</v>
      </c>
      <c r="O46" s="314">
        <f t="shared" ref="O46:Q51" si="10">N46/O$44</f>
        <v>0.6</v>
      </c>
      <c r="P46" s="272">
        <v>19</v>
      </c>
      <c r="Q46" s="314">
        <f t="shared" si="10"/>
        <v>0.61290322580645162</v>
      </c>
      <c r="R46" s="272">
        <f>3+15</f>
        <v>18</v>
      </c>
      <c r="S46" s="314">
        <f t="shared" ref="S46:S51" si="11">R46/S$44</f>
        <v>0.5625</v>
      </c>
      <c r="T46" s="315"/>
      <c r="U46" s="316" t="e">
        <f t="shared" ref="U46:U51" si="12">T46/U$44</f>
        <v>#DIV/0!</v>
      </c>
      <c r="V46" s="117"/>
      <c r="W46" s="317">
        <f t="shared" ref="W46:W65" si="13">AVERAGE(R46,P46,N46,L46,T46)</f>
        <v>16.75</v>
      </c>
      <c r="X46" s="318" t="e">
        <f t="shared" ref="X46:X65" si="14">AVERAGE(O46,M46,S46,U46,Q46)</f>
        <v>#DIV/0!</v>
      </c>
    </row>
    <row r="47" spans="1:24" s="1" customFormat="1" ht="15" customHeight="1" x14ac:dyDescent="0.2">
      <c r="A47" s="120" t="s">
        <v>43</v>
      </c>
      <c r="B47" s="44">
        <v>0</v>
      </c>
      <c r="C47" s="113">
        <f t="shared" si="6"/>
        <v>0</v>
      </c>
      <c r="D47" s="44">
        <v>0</v>
      </c>
      <c r="E47" s="114">
        <f t="shared" si="7"/>
        <v>0</v>
      </c>
      <c r="F47" s="44">
        <v>0</v>
      </c>
      <c r="G47" s="114">
        <f t="shared" si="7"/>
        <v>0</v>
      </c>
      <c r="H47" s="44">
        <v>0</v>
      </c>
      <c r="I47" s="114">
        <f t="shared" si="8"/>
        <v>0</v>
      </c>
      <c r="J47" s="44">
        <f>0</f>
        <v>0</v>
      </c>
      <c r="K47" s="114">
        <f t="shared" si="7"/>
        <v>0</v>
      </c>
      <c r="L47" s="44">
        <v>0</v>
      </c>
      <c r="M47" s="114">
        <f t="shared" si="9"/>
        <v>0</v>
      </c>
      <c r="N47" s="44">
        <v>0</v>
      </c>
      <c r="O47" s="114">
        <f t="shared" si="10"/>
        <v>0</v>
      </c>
      <c r="P47" s="44">
        <v>0</v>
      </c>
      <c r="Q47" s="114">
        <f t="shared" si="10"/>
        <v>0</v>
      </c>
      <c r="R47" s="44"/>
      <c r="S47" s="114">
        <f t="shared" si="11"/>
        <v>0</v>
      </c>
      <c r="T47" s="115"/>
      <c r="U47" s="116" t="e">
        <f t="shared" si="12"/>
        <v>#DIV/0!</v>
      </c>
      <c r="V47" s="117"/>
      <c r="W47" s="118">
        <f t="shared" si="13"/>
        <v>0</v>
      </c>
      <c r="X47" s="119" t="e">
        <f t="shared" si="14"/>
        <v>#DIV/0!</v>
      </c>
    </row>
    <row r="48" spans="1:24" s="1" customFormat="1" ht="15" customHeight="1" x14ac:dyDescent="0.2">
      <c r="A48" s="120" t="s">
        <v>44</v>
      </c>
      <c r="B48" s="44">
        <v>0</v>
      </c>
      <c r="C48" s="113">
        <f t="shared" si="6"/>
        <v>0</v>
      </c>
      <c r="D48" s="44">
        <v>0</v>
      </c>
      <c r="E48" s="114">
        <f t="shared" si="7"/>
        <v>0</v>
      </c>
      <c r="F48" s="44">
        <v>0</v>
      </c>
      <c r="G48" s="114">
        <f t="shared" si="7"/>
        <v>0</v>
      </c>
      <c r="H48" s="44">
        <v>0</v>
      </c>
      <c r="I48" s="114">
        <f t="shared" si="8"/>
        <v>0</v>
      </c>
      <c r="J48" s="44">
        <f>0</f>
        <v>0</v>
      </c>
      <c r="K48" s="114">
        <f t="shared" si="7"/>
        <v>0</v>
      </c>
      <c r="L48" s="44">
        <v>0</v>
      </c>
      <c r="M48" s="114">
        <f t="shared" si="9"/>
        <v>0</v>
      </c>
      <c r="N48" s="44">
        <v>0</v>
      </c>
      <c r="O48" s="114">
        <f t="shared" si="10"/>
        <v>0</v>
      </c>
      <c r="P48" s="44">
        <v>0</v>
      </c>
      <c r="Q48" s="114">
        <f t="shared" si="10"/>
        <v>0</v>
      </c>
      <c r="R48" s="44"/>
      <c r="S48" s="114">
        <f t="shared" si="11"/>
        <v>0</v>
      </c>
      <c r="T48" s="115"/>
      <c r="U48" s="116" t="e">
        <f t="shared" si="12"/>
        <v>#DIV/0!</v>
      </c>
      <c r="V48" s="117"/>
      <c r="W48" s="118">
        <f t="shared" si="13"/>
        <v>0</v>
      </c>
      <c r="X48" s="119" t="e">
        <f t="shared" si="14"/>
        <v>#DIV/0!</v>
      </c>
    </row>
    <row r="49" spans="1:24" s="1" customFormat="1" ht="15" customHeight="1" x14ac:dyDescent="0.2">
      <c r="A49" s="120" t="s">
        <v>45</v>
      </c>
      <c r="B49" s="44">
        <v>0</v>
      </c>
      <c r="C49" s="113">
        <f t="shared" si="6"/>
        <v>0</v>
      </c>
      <c r="D49" s="44">
        <v>0</v>
      </c>
      <c r="E49" s="114">
        <f t="shared" si="7"/>
        <v>0</v>
      </c>
      <c r="F49" s="44">
        <v>0</v>
      </c>
      <c r="G49" s="114">
        <f t="shared" si="7"/>
        <v>0</v>
      </c>
      <c r="H49" s="44">
        <v>0</v>
      </c>
      <c r="I49" s="114">
        <f t="shared" si="8"/>
        <v>0</v>
      </c>
      <c r="J49" s="44">
        <f>0</f>
        <v>0</v>
      </c>
      <c r="K49" s="114">
        <f t="shared" si="7"/>
        <v>0</v>
      </c>
      <c r="L49" s="44">
        <v>0</v>
      </c>
      <c r="M49" s="114">
        <f t="shared" si="9"/>
        <v>0</v>
      </c>
      <c r="N49" s="44">
        <v>0</v>
      </c>
      <c r="O49" s="114">
        <f t="shared" si="10"/>
        <v>0</v>
      </c>
      <c r="P49" s="44">
        <v>0</v>
      </c>
      <c r="Q49" s="114">
        <f t="shared" si="10"/>
        <v>0</v>
      </c>
      <c r="R49" s="44">
        <v>1</v>
      </c>
      <c r="S49" s="114">
        <f t="shared" si="11"/>
        <v>3.125E-2</v>
      </c>
      <c r="T49" s="115"/>
      <c r="U49" s="116" t="e">
        <f t="shared" si="12"/>
        <v>#DIV/0!</v>
      </c>
      <c r="V49" s="117"/>
      <c r="W49" s="118">
        <f t="shared" si="13"/>
        <v>0.25</v>
      </c>
      <c r="X49" s="119" t="e">
        <f t="shared" si="14"/>
        <v>#DIV/0!</v>
      </c>
    </row>
    <row r="50" spans="1:24" s="1" customFormat="1" ht="15" customHeight="1" x14ac:dyDescent="0.2">
      <c r="A50" s="120" t="s">
        <v>46</v>
      </c>
      <c r="B50" s="44">
        <v>3</v>
      </c>
      <c r="C50" s="113">
        <f t="shared" si="6"/>
        <v>0.15789473684210525</v>
      </c>
      <c r="D50" s="44">
        <v>3</v>
      </c>
      <c r="E50" s="114">
        <f t="shared" si="7"/>
        <v>0.14285714285714285</v>
      </c>
      <c r="F50" s="44">
        <v>4</v>
      </c>
      <c r="G50" s="114">
        <f t="shared" si="7"/>
        <v>0.19047619047619047</v>
      </c>
      <c r="H50" s="44">
        <v>5</v>
      </c>
      <c r="I50" s="114">
        <f t="shared" si="8"/>
        <v>0.21739130434782608</v>
      </c>
      <c r="J50" s="44">
        <f>6</f>
        <v>6</v>
      </c>
      <c r="K50" s="114">
        <f t="shared" si="7"/>
        <v>0.27272727272727271</v>
      </c>
      <c r="L50" s="44">
        <v>8</v>
      </c>
      <c r="M50" s="114">
        <f t="shared" si="9"/>
        <v>0.32</v>
      </c>
      <c r="N50" s="44">
        <v>8</v>
      </c>
      <c r="O50" s="114">
        <f t="shared" si="10"/>
        <v>0.32</v>
      </c>
      <c r="P50" s="44">
        <v>9</v>
      </c>
      <c r="Q50" s="114">
        <f t="shared" si="10"/>
        <v>0.29032258064516131</v>
      </c>
      <c r="R50" s="44">
        <v>9</v>
      </c>
      <c r="S50" s="114">
        <f t="shared" si="11"/>
        <v>0.28125</v>
      </c>
      <c r="T50" s="115"/>
      <c r="U50" s="116" t="e">
        <f t="shared" si="12"/>
        <v>#DIV/0!</v>
      </c>
      <c r="V50" s="117"/>
      <c r="W50" s="118">
        <f t="shared" si="13"/>
        <v>8.5</v>
      </c>
      <c r="X50" s="119" t="e">
        <f t="shared" si="14"/>
        <v>#DIV/0!</v>
      </c>
    </row>
    <row r="51" spans="1:24" s="1" customFormat="1" ht="15" customHeight="1" x14ac:dyDescent="0.2">
      <c r="A51" s="120" t="s">
        <v>47</v>
      </c>
      <c r="B51" s="44">
        <v>3</v>
      </c>
      <c r="C51" s="113">
        <f t="shared" si="6"/>
        <v>0.15789473684210525</v>
      </c>
      <c r="D51" s="44">
        <v>2</v>
      </c>
      <c r="E51" s="114">
        <f t="shared" si="7"/>
        <v>9.5238095238095233E-2</v>
      </c>
      <c r="F51" s="44">
        <v>1</v>
      </c>
      <c r="G51" s="114">
        <f t="shared" si="7"/>
        <v>4.7619047619047616E-2</v>
      </c>
      <c r="H51" s="44">
        <v>2</v>
      </c>
      <c r="I51" s="114">
        <f t="shared" si="8"/>
        <v>8.6956521739130432E-2</v>
      </c>
      <c r="J51" s="44">
        <f>2</f>
        <v>2</v>
      </c>
      <c r="K51" s="114">
        <f t="shared" si="7"/>
        <v>9.0909090909090912E-2</v>
      </c>
      <c r="L51" s="44">
        <v>2</v>
      </c>
      <c r="M51" s="114">
        <f t="shared" si="9"/>
        <v>0.08</v>
      </c>
      <c r="N51" s="44">
        <v>2</v>
      </c>
      <c r="O51" s="114">
        <f t="shared" si="10"/>
        <v>0.08</v>
      </c>
      <c r="P51" s="44">
        <v>3</v>
      </c>
      <c r="Q51" s="114">
        <f t="shared" si="10"/>
        <v>9.6774193548387094E-2</v>
      </c>
      <c r="R51" s="44">
        <v>3</v>
      </c>
      <c r="S51" s="114">
        <f t="shared" si="11"/>
        <v>9.375E-2</v>
      </c>
      <c r="T51" s="115"/>
      <c r="U51" s="116" t="e">
        <f t="shared" si="12"/>
        <v>#DIV/0!</v>
      </c>
      <c r="V51" s="117"/>
      <c r="W51" s="118">
        <f t="shared" si="13"/>
        <v>2.5</v>
      </c>
      <c r="X51" s="119" t="e">
        <f t="shared" si="14"/>
        <v>#DIV/0!</v>
      </c>
    </row>
    <row r="52" spans="1:24" s="1" customFormat="1" ht="15" customHeight="1" x14ac:dyDescent="0.2">
      <c r="A52" s="120" t="s">
        <v>48</v>
      </c>
      <c r="B52" s="129"/>
      <c r="C52" s="113"/>
      <c r="D52" s="586"/>
      <c r="E52" s="587"/>
      <c r="F52" s="586"/>
      <c r="G52" s="587"/>
      <c r="H52" s="45">
        <v>0</v>
      </c>
      <c r="I52" s="114">
        <f t="shared" si="8"/>
        <v>0</v>
      </c>
      <c r="J52" s="45">
        <f>0</f>
        <v>0</v>
      </c>
      <c r="K52" s="114">
        <f>J52/K$44</f>
        <v>0</v>
      </c>
      <c r="L52" s="45">
        <v>0</v>
      </c>
      <c r="M52" s="114">
        <f>L52/M$44</f>
        <v>0</v>
      </c>
      <c r="N52" s="45">
        <v>0</v>
      </c>
      <c r="O52" s="114">
        <f>N52/O$44</f>
        <v>0</v>
      </c>
      <c r="P52" s="45">
        <v>0</v>
      </c>
      <c r="Q52" s="114">
        <f>P52/Q$44</f>
        <v>0</v>
      </c>
      <c r="R52" s="45"/>
      <c r="S52" s="114">
        <f>R52/S$44</f>
        <v>0</v>
      </c>
      <c r="T52" s="115"/>
      <c r="U52" s="116" t="e">
        <f>T52/U$44</f>
        <v>#DIV/0!</v>
      </c>
      <c r="V52" s="117"/>
      <c r="W52" s="118">
        <f t="shared" si="13"/>
        <v>0</v>
      </c>
      <c r="X52" s="119" t="e">
        <f t="shared" si="14"/>
        <v>#DIV/0!</v>
      </c>
    </row>
    <row r="53" spans="1:24" s="1" customFormat="1" ht="15" customHeight="1" thickBot="1" x14ac:dyDescent="0.25">
      <c r="A53" s="325" t="s">
        <v>49</v>
      </c>
      <c r="B53" s="281">
        <v>0</v>
      </c>
      <c r="C53" s="326">
        <f t="shared" si="6"/>
        <v>0</v>
      </c>
      <c r="D53" s="281">
        <v>2</v>
      </c>
      <c r="E53" s="327">
        <f t="shared" si="7"/>
        <v>9.5238095238095233E-2</v>
      </c>
      <c r="F53" s="281">
        <v>2</v>
      </c>
      <c r="G53" s="327">
        <f t="shared" si="7"/>
        <v>9.5238095238095233E-2</v>
      </c>
      <c r="H53" s="281">
        <v>1</v>
      </c>
      <c r="I53" s="327">
        <f t="shared" si="8"/>
        <v>4.3478260869565216E-2</v>
      </c>
      <c r="J53" s="281">
        <f>1</f>
        <v>1</v>
      </c>
      <c r="K53" s="327">
        <f t="shared" si="7"/>
        <v>4.5454545454545456E-2</v>
      </c>
      <c r="L53" s="281">
        <v>0</v>
      </c>
      <c r="M53" s="327">
        <f>L53/M$44</f>
        <v>0</v>
      </c>
      <c r="N53" s="281">
        <v>0</v>
      </c>
      <c r="O53" s="327">
        <f>N53/O$44</f>
        <v>0</v>
      </c>
      <c r="P53" s="281">
        <v>0</v>
      </c>
      <c r="Q53" s="327">
        <f>P53/Q$44</f>
        <v>0</v>
      </c>
      <c r="R53" s="281">
        <v>1</v>
      </c>
      <c r="S53" s="327">
        <f>R53/S$44</f>
        <v>3.125E-2</v>
      </c>
      <c r="T53" s="328"/>
      <c r="U53" s="329" t="e">
        <f>T53/U$44</f>
        <v>#DIV/0!</v>
      </c>
      <c r="V53" s="117"/>
      <c r="W53" s="330">
        <f t="shared" si="13"/>
        <v>0.25</v>
      </c>
      <c r="X53" s="331" t="e">
        <f t="shared" si="14"/>
        <v>#DIV/0!</v>
      </c>
    </row>
    <row r="54" spans="1:24" s="1" customFormat="1" ht="15" customHeight="1" x14ac:dyDescent="0.2">
      <c r="A54" s="307" t="s">
        <v>50</v>
      </c>
      <c r="B54" s="319"/>
      <c r="C54" s="320"/>
      <c r="D54" s="319"/>
      <c r="E54" s="321"/>
      <c r="F54" s="319"/>
      <c r="G54" s="321"/>
      <c r="H54" s="319"/>
      <c r="I54" s="321"/>
      <c r="J54" s="319"/>
      <c r="K54" s="321"/>
      <c r="L54" s="319"/>
      <c r="M54" s="321"/>
      <c r="N54" s="319"/>
      <c r="O54" s="321"/>
      <c r="P54" s="319"/>
      <c r="Q54" s="321"/>
      <c r="R54" s="319"/>
      <c r="S54" s="321"/>
      <c r="T54" s="322"/>
      <c r="U54" s="323"/>
      <c r="V54" s="117"/>
      <c r="W54" s="317"/>
      <c r="X54" s="318"/>
    </row>
    <row r="55" spans="1:24" s="1" customFormat="1" ht="15" customHeight="1" x14ac:dyDescent="0.2">
      <c r="A55" s="110" t="s">
        <v>51</v>
      </c>
      <c r="B55" s="40">
        <v>12</v>
      </c>
      <c r="C55" s="113">
        <f>B55/C$44</f>
        <v>0.63157894736842102</v>
      </c>
      <c r="D55" s="40">
        <v>13</v>
      </c>
      <c r="E55" s="114">
        <f>D55/E$44</f>
        <v>0.61904761904761907</v>
      </c>
      <c r="F55" s="40">
        <v>12</v>
      </c>
      <c r="G55" s="114">
        <f>F55/G$44</f>
        <v>0.5714285714285714</v>
      </c>
      <c r="H55" s="40">
        <v>13</v>
      </c>
      <c r="I55" s="114">
        <f>H55/I$44</f>
        <v>0.56521739130434778</v>
      </c>
      <c r="J55" s="40">
        <f>12</f>
        <v>12</v>
      </c>
      <c r="K55" s="114">
        <f>J55/K$44</f>
        <v>0.54545454545454541</v>
      </c>
      <c r="L55" s="40">
        <v>14</v>
      </c>
      <c r="M55" s="114">
        <f>L55/M$44</f>
        <v>0.56000000000000005</v>
      </c>
      <c r="N55" s="40">
        <v>15</v>
      </c>
      <c r="O55" s="114">
        <f>N55/O$44</f>
        <v>0.6</v>
      </c>
      <c r="P55" s="40">
        <v>21</v>
      </c>
      <c r="Q55" s="114">
        <f>P55/Q$44</f>
        <v>0.67741935483870963</v>
      </c>
      <c r="R55" s="40">
        <v>22</v>
      </c>
      <c r="S55" s="114">
        <f>R55/S$44</f>
        <v>0.6875</v>
      </c>
      <c r="T55" s="76"/>
      <c r="U55" s="116" t="e">
        <f>T55/U$44</f>
        <v>#DIV/0!</v>
      </c>
      <c r="V55" s="117"/>
      <c r="W55" s="118">
        <f t="shared" si="13"/>
        <v>18</v>
      </c>
      <c r="X55" s="119" t="e">
        <f t="shared" si="14"/>
        <v>#DIV/0!</v>
      </c>
    </row>
    <row r="56" spans="1:24" s="1" customFormat="1" ht="15" customHeight="1" thickBot="1" x14ac:dyDescent="0.25">
      <c r="A56" s="325" t="s">
        <v>52</v>
      </c>
      <c r="B56" s="284">
        <v>7</v>
      </c>
      <c r="C56" s="326">
        <f>B56/C$44</f>
        <v>0.36842105263157893</v>
      </c>
      <c r="D56" s="284">
        <v>8</v>
      </c>
      <c r="E56" s="327">
        <f>D56/E$44</f>
        <v>0.38095238095238093</v>
      </c>
      <c r="F56" s="284">
        <v>9</v>
      </c>
      <c r="G56" s="327">
        <f>F56/G$44</f>
        <v>0.42857142857142855</v>
      </c>
      <c r="H56" s="284">
        <v>10</v>
      </c>
      <c r="I56" s="327">
        <f>H56/I$44</f>
        <v>0.43478260869565216</v>
      </c>
      <c r="J56" s="284">
        <f>3+7</f>
        <v>10</v>
      </c>
      <c r="K56" s="327">
        <f>J56/K$44</f>
        <v>0.45454545454545453</v>
      </c>
      <c r="L56" s="284">
        <v>11</v>
      </c>
      <c r="M56" s="327">
        <f>L56/M$44</f>
        <v>0.44</v>
      </c>
      <c r="N56" s="284">
        <v>10</v>
      </c>
      <c r="O56" s="327">
        <f>N56/O$44</f>
        <v>0.4</v>
      </c>
      <c r="P56" s="284">
        <v>10</v>
      </c>
      <c r="Q56" s="327">
        <f>P56/Q$44</f>
        <v>0.32258064516129031</v>
      </c>
      <c r="R56" s="284">
        <v>10</v>
      </c>
      <c r="S56" s="327">
        <f>R56/S$44</f>
        <v>0.3125</v>
      </c>
      <c r="T56" s="332"/>
      <c r="U56" s="329" t="e">
        <f>T56/U$44</f>
        <v>#DIV/0!</v>
      </c>
      <c r="V56" s="117"/>
      <c r="W56" s="330">
        <f t="shared" si="13"/>
        <v>10.25</v>
      </c>
      <c r="X56" s="331" t="e">
        <f t="shared" si="14"/>
        <v>#DIV/0!</v>
      </c>
    </row>
    <row r="57" spans="1:24" s="1" customFormat="1" ht="15" customHeight="1" x14ac:dyDescent="0.2">
      <c r="A57" s="307" t="s">
        <v>53</v>
      </c>
      <c r="B57" s="277"/>
      <c r="C57" s="313"/>
      <c r="D57" s="277"/>
      <c r="E57" s="314"/>
      <c r="F57" s="277"/>
      <c r="G57" s="314"/>
      <c r="H57" s="277"/>
      <c r="I57" s="314"/>
      <c r="J57" s="277"/>
      <c r="K57" s="314"/>
      <c r="L57" s="277"/>
      <c r="M57" s="314"/>
      <c r="N57" s="277"/>
      <c r="O57" s="314"/>
      <c r="P57" s="277"/>
      <c r="Q57" s="314"/>
      <c r="R57" s="277"/>
      <c r="S57" s="314"/>
      <c r="T57" s="324"/>
      <c r="U57" s="316"/>
      <c r="V57" s="117"/>
      <c r="W57" s="317"/>
      <c r="X57" s="318"/>
    </row>
    <row r="58" spans="1:24" s="1" customFormat="1" ht="15" customHeight="1" x14ac:dyDescent="0.2">
      <c r="A58" s="110" t="s">
        <v>54</v>
      </c>
      <c r="B58" s="41">
        <v>10</v>
      </c>
      <c r="C58" s="113">
        <f>B58/C$44</f>
        <v>0.52631578947368418</v>
      </c>
      <c r="D58" s="41">
        <v>12</v>
      </c>
      <c r="E58" s="114">
        <f>D58/E$44</f>
        <v>0.5714285714285714</v>
      </c>
      <c r="F58" s="41">
        <v>12</v>
      </c>
      <c r="G58" s="114">
        <f>F58/G$44</f>
        <v>0.5714285714285714</v>
      </c>
      <c r="H58" s="41">
        <v>14</v>
      </c>
      <c r="I58" s="114">
        <f>H58/I$44</f>
        <v>0.60869565217391308</v>
      </c>
      <c r="J58" s="41">
        <f>12</f>
        <v>12</v>
      </c>
      <c r="K58" s="114">
        <f>J58/K$44</f>
        <v>0.54545454545454541</v>
      </c>
      <c r="L58" s="41">
        <v>15</v>
      </c>
      <c r="M58" s="114">
        <f>L58/M$44</f>
        <v>0.6</v>
      </c>
      <c r="N58" s="41">
        <v>14</v>
      </c>
      <c r="O58" s="114">
        <f>N58/O$44</f>
        <v>0.56000000000000005</v>
      </c>
      <c r="P58" s="41">
        <v>16</v>
      </c>
      <c r="Q58" s="114">
        <f>P58/Q$44</f>
        <v>0.5161290322580645</v>
      </c>
      <c r="R58" s="41">
        <v>17</v>
      </c>
      <c r="S58" s="114">
        <f>R58/S$44</f>
        <v>0.53125</v>
      </c>
      <c r="T58" s="121"/>
      <c r="U58" s="116" t="e">
        <f>T58/U$44</f>
        <v>#DIV/0!</v>
      </c>
      <c r="V58" s="117"/>
      <c r="W58" s="118">
        <f t="shared" si="13"/>
        <v>15.5</v>
      </c>
      <c r="X58" s="119" t="e">
        <f t="shared" si="14"/>
        <v>#DIV/0!</v>
      </c>
    </row>
    <row r="59" spans="1:24" s="1" customFormat="1" ht="15" customHeight="1" x14ac:dyDescent="0.2">
      <c r="A59" s="110" t="s">
        <v>55</v>
      </c>
      <c r="B59" s="41">
        <v>4</v>
      </c>
      <c r="C59" s="113">
        <f>B59/C$44</f>
        <v>0.21052631578947367</v>
      </c>
      <c r="D59" s="41">
        <v>3</v>
      </c>
      <c r="E59" s="114">
        <f>D59/E$44</f>
        <v>0.14285714285714285</v>
      </c>
      <c r="F59" s="41">
        <v>3</v>
      </c>
      <c r="G59" s="114">
        <f>F59/G$44</f>
        <v>0.14285714285714285</v>
      </c>
      <c r="H59" s="41">
        <v>1</v>
      </c>
      <c r="I59" s="114">
        <f>H59/I$44</f>
        <v>4.3478260869565216E-2</v>
      </c>
      <c r="J59" s="41">
        <f>1</f>
        <v>1</v>
      </c>
      <c r="K59" s="114">
        <f>J59/K$44</f>
        <v>4.5454545454545456E-2</v>
      </c>
      <c r="L59" s="41">
        <v>0</v>
      </c>
      <c r="M59" s="114">
        <f>L59/M$44</f>
        <v>0</v>
      </c>
      <c r="N59" s="41">
        <v>0</v>
      </c>
      <c r="O59" s="114">
        <f>N59/O$44</f>
        <v>0</v>
      </c>
      <c r="P59" s="41">
        <v>3</v>
      </c>
      <c r="Q59" s="114">
        <f>P59/Q$44</f>
        <v>9.6774193548387094E-2</v>
      </c>
      <c r="R59" s="41">
        <v>4</v>
      </c>
      <c r="S59" s="114">
        <f>R59/S$44</f>
        <v>0.125</v>
      </c>
      <c r="T59" s="121"/>
      <c r="U59" s="116" t="e">
        <f>T59/U$44</f>
        <v>#DIV/0!</v>
      </c>
      <c r="V59" s="117"/>
      <c r="W59" s="118">
        <f t="shared" si="13"/>
        <v>1.75</v>
      </c>
      <c r="X59" s="119" t="e">
        <f t="shared" si="14"/>
        <v>#DIV/0!</v>
      </c>
    </row>
    <row r="60" spans="1:24" s="1" customFormat="1" ht="15" customHeight="1" thickBot="1" x14ac:dyDescent="0.25">
      <c r="A60" s="325" t="s">
        <v>56</v>
      </c>
      <c r="B60" s="284">
        <v>5</v>
      </c>
      <c r="C60" s="326">
        <f>B60/C$44</f>
        <v>0.26315789473684209</v>
      </c>
      <c r="D60" s="284">
        <v>6</v>
      </c>
      <c r="E60" s="327">
        <f>D60/E$44</f>
        <v>0.2857142857142857</v>
      </c>
      <c r="F60" s="284">
        <v>6</v>
      </c>
      <c r="G60" s="327">
        <f>F60/G$44</f>
        <v>0.2857142857142857</v>
      </c>
      <c r="H60" s="284">
        <v>8</v>
      </c>
      <c r="I60" s="327">
        <f>H60/I$44</f>
        <v>0.34782608695652173</v>
      </c>
      <c r="J60" s="284">
        <f>3+6</f>
        <v>9</v>
      </c>
      <c r="K60" s="327">
        <f>J60/K$44</f>
        <v>0.40909090909090912</v>
      </c>
      <c r="L60" s="284">
        <v>10</v>
      </c>
      <c r="M60" s="327">
        <f>L60/M$44</f>
        <v>0.4</v>
      </c>
      <c r="N60" s="284">
        <v>11</v>
      </c>
      <c r="O60" s="327">
        <f>N60/O$44</f>
        <v>0.44</v>
      </c>
      <c r="P60" s="284">
        <v>12</v>
      </c>
      <c r="Q60" s="327">
        <f>P60/Q$44</f>
        <v>0.38709677419354838</v>
      </c>
      <c r="R60" s="284">
        <v>11</v>
      </c>
      <c r="S60" s="327">
        <f>R60/S$44</f>
        <v>0.34375</v>
      </c>
      <c r="T60" s="332"/>
      <c r="U60" s="329" t="e">
        <f>T60/U$44</f>
        <v>#DIV/0!</v>
      </c>
      <c r="V60" s="117"/>
      <c r="W60" s="330">
        <f t="shared" si="13"/>
        <v>11</v>
      </c>
      <c r="X60" s="331" t="e">
        <f t="shared" si="14"/>
        <v>#DIV/0!</v>
      </c>
    </row>
    <row r="61" spans="1:24" s="1" customFormat="1" ht="15" customHeight="1" x14ac:dyDescent="0.2">
      <c r="A61" s="307" t="s">
        <v>57</v>
      </c>
      <c r="B61" s="277"/>
      <c r="C61" s="313"/>
      <c r="D61" s="277"/>
      <c r="E61" s="314"/>
      <c r="F61" s="277"/>
      <c r="G61" s="314"/>
      <c r="H61" s="277"/>
      <c r="I61" s="314"/>
      <c r="J61" s="277"/>
      <c r="K61" s="314"/>
      <c r="L61" s="277"/>
      <c r="M61" s="314"/>
      <c r="N61" s="277"/>
      <c r="O61" s="314"/>
      <c r="P61" s="277"/>
      <c r="Q61" s="314"/>
      <c r="R61" s="277"/>
      <c r="S61" s="314"/>
      <c r="T61" s="324"/>
      <c r="U61" s="316"/>
      <c r="V61" s="117"/>
      <c r="W61" s="317"/>
      <c r="X61" s="318"/>
    </row>
    <row r="62" spans="1:24" s="1" customFormat="1" ht="15" customHeight="1" x14ac:dyDescent="0.2">
      <c r="A62" s="110" t="s">
        <v>58</v>
      </c>
      <c r="B62" s="41">
        <v>19</v>
      </c>
      <c r="C62" s="113">
        <f>B62/C$44</f>
        <v>1</v>
      </c>
      <c r="D62" s="41">
        <v>21</v>
      </c>
      <c r="E62" s="114">
        <f>D62/E$44</f>
        <v>1</v>
      </c>
      <c r="F62" s="41">
        <v>21</v>
      </c>
      <c r="G62" s="114">
        <f>F62/G$44</f>
        <v>1</v>
      </c>
      <c r="H62" s="41">
        <v>23</v>
      </c>
      <c r="I62" s="114">
        <f>H62/I$44</f>
        <v>1</v>
      </c>
      <c r="J62" s="41">
        <f>3+19</f>
        <v>22</v>
      </c>
      <c r="K62" s="114">
        <f>J62/K$44</f>
        <v>1</v>
      </c>
      <c r="L62" s="41">
        <v>25</v>
      </c>
      <c r="M62" s="114">
        <f>L62/M$44</f>
        <v>1</v>
      </c>
      <c r="N62" s="41">
        <v>25</v>
      </c>
      <c r="O62" s="114">
        <f>N62/O$44</f>
        <v>1</v>
      </c>
      <c r="P62" s="41">
        <v>31</v>
      </c>
      <c r="Q62" s="114">
        <f>P62/Q$44</f>
        <v>1</v>
      </c>
      <c r="R62" s="41">
        <v>32</v>
      </c>
      <c r="S62" s="114">
        <f>R62/S$44</f>
        <v>1</v>
      </c>
      <c r="T62" s="121"/>
      <c r="U62" s="116" t="e">
        <f>T62/U$44</f>
        <v>#DIV/0!</v>
      </c>
      <c r="V62" s="117"/>
      <c r="W62" s="118">
        <f t="shared" si="13"/>
        <v>28.25</v>
      </c>
      <c r="X62" s="119" t="e">
        <f t="shared" si="14"/>
        <v>#DIV/0!</v>
      </c>
    </row>
    <row r="63" spans="1:24" s="1" customFormat="1" ht="15" customHeight="1" x14ac:dyDescent="0.2">
      <c r="A63" s="110" t="s">
        <v>59</v>
      </c>
      <c r="B63" s="41">
        <v>0</v>
      </c>
      <c r="C63" s="113">
        <f>B63/C$44</f>
        <v>0</v>
      </c>
      <c r="D63" s="41">
        <v>0</v>
      </c>
      <c r="E63" s="114">
        <f>D63/E$44</f>
        <v>0</v>
      </c>
      <c r="F63" s="41">
        <v>0</v>
      </c>
      <c r="G63" s="114">
        <f>F63/G$44</f>
        <v>0</v>
      </c>
      <c r="H63" s="41">
        <v>0</v>
      </c>
      <c r="I63" s="114">
        <f>H63/I$44</f>
        <v>0</v>
      </c>
      <c r="J63" s="41">
        <f>0</f>
        <v>0</v>
      </c>
      <c r="K63" s="114">
        <f>J63/K$44</f>
        <v>0</v>
      </c>
      <c r="L63" s="41">
        <v>0</v>
      </c>
      <c r="M63" s="114">
        <f>L63/M$44</f>
        <v>0</v>
      </c>
      <c r="N63" s="41">
        <v>0</v>
      </c>
      <c r="O63" s="114">
        <f>N63/O$44</f>
        <v>0</v>
      </c>
      <c r="P63" s="41">
        <v>0</v>
      </c>
      <c r="Q63" s="114">
        <f>P63/Q$44</f>
        <v>0</v>
      </c>
      <c r="R63" s="41">
        <v>0</v>
      </c>
      <c r="S63" s="114">
        <f>R63/S$44</f>
        <v>0</v>
      </c>
      <c r="T63" s="121"/>
      <c r="U63" s="116" t="e">
        <f>T63/U$44</f>
        <v>#DIV/0!</v>
      </c>
      <c r="V63" s="117"/>
      <c r="W63" s="118">
        <f t="shared" si="13"/>
        <v>0</v>
      </c>
      <c r="X63" s="119" t="e">
        <f t="shared" si="14"/>
        <v>#DIV/0!</v>
      </c>
    </row>
    <row r="64" spans="1:24" s="1" customFormat="1" ht="15" customHeight="1" x14ac:dyDescent="0.2">
      <c r="A64" s="110" t="s">
        <v>60</v>
      </c>
      <c r="B64" s="41">
        <v>0</v>
      </c>
      <c r="C64" s="113">
        <f>B64/C$44</f>
        <v>0</v>
      </c>
      <c r="D64" s="41">
        <v>0</v>
      </c>
      <c r="E64" s="114">
        <f>D64/E$44</f>
        <v>0</v>
      </c>
      <c r="F64" s="41">
        <v>0</v>
      </c>
      <c r="G64" s="114">
        <f>F64/G$44</f>
        <v>0</v>
      </c>
      <c r="H64" s="41">
        <v>0</v>
      </c>
      <c r="I64" s="114">
        <f>H64/I$44</f>
        <v>0</v>
      </c>
      <c r="J64" s="41">
        <f>0</f>
        <v>0</v>
      </c>
      <c r="K64" s="114">
        <f>J64/K$44</f>
        <v>0</v>
      </c>
      <c r="L64" s="41">
        <v>0</v>
      </c>
      <c r="M64" s="114">
        <f>L64/M$44</f>
        <v>0</v>
      </c>
      <c r="N64" s="41">
        <v>0</v>
      </c>
      <c r="O64" s="114">
        <f>N64/O$44</f>
        <v>0</v>
      </c>
      <c r="P64" s="41">
        <v>0</v>
      </c>
      <c r="Q64" s="114">
        <f>P64/Q$44</f>
        <v>0</v>
      </c>
      <c r="R64" s="41">
        <v>0</v>
      </c>
      <c r="S64" s="114">
        <f>R64/S$44</f>
        <v>0</v>
      </c>
      <c r="T64" s="121"/>
      <c r="U64" s="116" t="e">
        <f>T64/U$44</f>
        <v>#DIV/0!</v>
      </c>
      <c r="V64" s="72"/>
      <c r="W64" s="118">
        <f t="shared" si="13"/>
        <v>0</v>
      </c>
      <c r="X64" s="119" t="e">
        <f t="shared" si="14"/>
        <v>#DIV/0!</v>
      </c>
    </row>
    <row r="65" spans="1:24" s="1" customFormat="1" ht="15" customHeight="1" thickBot="1" x14ac:dyDescent="0.25">
      <c r="A65" s="122" t="s">
        <v>61</v>
      </c>
      <c r="B65" s="46">
        <v>0</v>
      </c>
      <c r="C65" s="123">
        <f>B65/C$44</f>
        <v>0</v>
      </c>
      <c r="D65" s="46">
        <v>0</v>
      </c>
      <c r="E65" s="124">
        <f>D65/E$44</f>
        <v>0</v>
      </c>
      <c r="F65" s="46">
        <v>0</v>
      </c>
      <c r="G65" s="124">
        <f>F65/G$44</f>
        <v>0</v>
      </c>
      <c r="H65" s="46">
        <v>0</v>
      </c>
      <c r="I65" s="124">
        <f>H65/I$44</f>
        <v>0</v>
      </c>
      <c r="J65" s="46">
        <f>0</f>
        <v>0</v>
      </c>
      <c r="K65" s="124">
        <f>J65/K$44</f>
        <v>0</v>
      </c>
      <c r="L65" s="46">
        <v>0</v>
      </c>
      <c r="M65" s="124">
        <f>L65/M$44</f>
        <v>0</v>
      </c>
      <c r="N65" s="46">
        <v>0</v>
      </c>
      <c r="O65" s="124">
        <f>N65/O$44</f>
        <v>0</v>
      </c>
      <c r="P65" s="46">
        <v>0</v>
      </c>
      <c r="Q65" s="124">
        <f>P65/Q$44</f>
        <v>0</v>
      </c>
      <c r="R65" s="46">
        <v>0</v>
      </c>
      <c r="S65" s="124">
        <f>R65/S$44</f>
        <v>0</v>
      </c>
      <c r="T65" s="125"/>
      <c r="U65" s="126" t="e">
        <f>T65/U$44</f>
        <v>#DIV/0!</v>
      </c>
      <c r="V65" s="72"/>
      <c r="W65" s="127">
        <f t="shared" si="13"/>
        <v>0</v>
      </c>
      <c r="X65" s="128" t="e">
        <f t="shared" si="14"/>
        <v>#DIV/0!</v>
      </c>
    </row>
    <row r="66" spans="1:24" ht="15" customHeight="1" thickTop="1" x14ac:dyDescent="0.2">
      <c r="A66" s="165" t="s">
        <v>100</v>
      </c>
    </row>
    <row r="67" spans="1:24" ht="15" customHeight="1" x14ac:dyDescent="0.2">
      <c r="A67" s="1"/>
      <c r="H67" s="32" t="s">
        <v>14</v>
      </c>
      <c r="J67" s="32" t="s">
        <v>14</v>
      </c>
      <c r="L67" s="32" t="s">
        <v>14</v>
      </c>
      <c r="N67" s="32" t="s">
        <v>14</v>
      </c>
      <c r="P67" s="32" t="s">
        <v>14</v>
      </c>
      <c r="R67" s="32" t="s">
        <v>14</v>
      </c>
      <c r="T67" s="32" t="s">
        <v>14</v>
      </c>
    </row>
    <row r="68" spans="1:24" x14ac:dyDescent="0.2">
      <c r="A68" s="1"/>
    </row>
    <row r="69" spans="1:24" x14ac:dyDescent="0.2">
      <c r="A69" s="1"/>
    </row>
    <row r="70" spans="1:24" x14ac:dyDescent="0.2">
      <c r="A70" s="1"/>
    </row>
    <row r="71" spans="1:24" x14ac:dyDescent="0.2">
      <c r="A71" s="1"/>
    </row>
    <row r="72" spans="1:24" x14ac:dyDescent="0.2">
      <c r="A72" s="1"/>
    </row>
    <row r="73" spans="1:24" x14ac:dyDescent="0.2">
      <c r="A73" s="1"/>
    </row>
    <row r="74" spans="1:24" x14ac:dyDescent="0.2">
      <c r="A74" s="1"/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</sheetData>
  <mergeCells count="66">
    <mergeCell ref="N27:O27"/>
    <mergeCell ref="P27:Q27"/>
    <mergeCell ref="R27:S27"/>
    <mergeCell ref="W27:X27"/>
    <mergeCell ref="L27:M27"/>
    <mergeCell ref="T27:U27"/>
    <mergeCell ref="B27:C27"/>
    <mergeCell ref="D27:E27"/>
    <mergeCell ref="F27:G27"/>
    <mergeCell ref="H27:I27"/>
    <mergeCell ref="J27:K27"/>
    <mergeCell ref="L24:M24"/>
    <mergeCell ref="N24:O24"/>
    <mergeCell ref="P24:Q24"/>
    <mergeCell ref="R24:S24"/>
    <mergeCell ref="W24:X24"/>
    <mergeCell ref="T24:U24"/>
    <mergeCell ref="B24:C24"/>
    <mergeCell ref="D24:E24"/>
    <mergeCell ref="F24:G24"/>
    <mergeCell ref="H24:I24"/>
    <mergeCell ref="J24:K24"/>
    <mergeCell ref="L17:M17"/>
    <mergeCell ref="N17:O17"/>
    <mergeCell ref="P17:Q17"/>
    <mergeCell ref="R17:S17"/>
    <mergeCell ref="W17:X17"/>
    <mergeCell ref="T17:U17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W15:X15"/>
    <mergeCell ref="T15:U15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N32:O32"/>
    <mergeCell ref="P32:Q32"/>
    <mergeCell ref="R32:S32"/>
    <mergeCell ref="W32:X32"/>
    <mergeCell ref="B32:C32"/>
    <mergeCell ref="D32:E32"/>
    <mergeCell ref="F32:G32"/>
    <mergeCell ref="H32:I32"/>
    <mergeCell ref="J32:K32"/>
    <mergeCell ref="L32:M32"/>
    <mergeCell ref="T32:U32"/>
  </mergeCells>
  <printOptions horizontalCentered="1"/>
  <pageMargins left="0.75" right="0.75" top="0.5" bottom="0.5" header="0.3" footer="0.3"/>
  <pageSetup scale="54" orientation="landscape" r:id="rId1"/>
  <headerFooter alignWithMargins="0">
    <oddFooter>&amp;LPrepared by Planning and Analysis&amp;C&amp;P of &amp;N&amp;RUpdated &amp;D</oddFooter>
  </headerFooter>
  <rowBreaks count="1" manualBreakCount="1">
    <brk id="30" max="21" man="1"/>
  </rowBreaks>
  <colBreaks count="1" manualBreakCount="1">
    <brk id="21" min="8" max="64" man="1"/>
  </colBreaks>
  <ignoredErrors>
    <ignoredError sqref="D46:R6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412"/>
  <sheetViews>
    <sheetView view="pageBreakPreview" zoomScaleNormal="100" zoomScaleSheetLayoutView="100" workbookViewId="0">
      <pane xSplit="1" ySplit="8" topLeftCell="O9" activePane="bottomRight" state="frozen"/>
      <selection activeCell="T4" sqref="T4"/>
      <selection pane="topRight" activeCell="T4" sqref="T4"/>
      <selection pane="bottomLeft" activeCell="T4" sqref="T4"/>
      <selection pane="bottomRight" activeCell="T4" sqref="T4"/>
    </sheetView>
  </sheetViews>
  <sheetFormatPr defaultColWidth="10.28515625" defaultRowHeight="12.75" x14ac:dyDescent="0.2"/>
  <cols>
    <col min="1" max="1" width="37.140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236" t="s">
        <v>90</v>
      </c>
      <c r="B1"/>
      <c r="C1"/>
      <c r="D1"/>
      <c r="E1"/>
      <c r="F1" s="237"/>
      <c r="G1" s="237"/>
      <c r="H1" s="237"/>
      <c r="I1" s="237"/>
    </row>
    <row r="2" spans="1:29" s="1" customFormat="1" ht="15.75" x14ac:dyDescent="0.25">
      <c r="A2" s="236" t="s">
        <v>91</v>
      </c>
      <c r="B2"/>
      <c r="C2"/>
      <c r="D2"/>
      <c r="E2"/>
      <c r="F2" s="237"/>
      <c r="G2" s="237"/>
      <c r="H2" s="237"/>
      <c r="I2" s="237"/>
    </row>
    <row r="3" spans="1:29" s="1" customFormat="1" ht="5.25" customHeight="1" x14ac:dyDescent="0.25">
      <c r="A3" s="236"/>
      <c r="B3"/>
      <c r="C3"/>
      <c r="D3"/>
      <c r="E3"/>
      <c r="F3" s="237"/>
      <c r="G3" s="237"/>
      <c r="H3" s="237"/>
      <c r="I3" s="237"/>
    </row>
    <row r="4" spans="1:29" s="1" customFormat="1" ht="15.75" x14ac:dyDescent="0.25">
      <c r="A4" s="238" t="s">
        <v>92</v>
      </c>
      <c r="B4"/>
      <c r="C4"/>
      <c r="D4"/>
      <c r="E4"/>
      <c r="F4" s="237"/>
      <c r="G4" s="237"/>
      <c r="H4" s="237"/>
      <c r="I4" s="237"/>
    </row>
    <row r="5" spans="1:29" s="1" customFormat="1" ht="6" customHeight="1" x14ac:dyDescent="0.25">
      <c r="A5" s="238"/>
      <c r="B5"/>
      <c r="C5"/>
      <c r="D5"/>
      <c r="E5"/>
      <c r="F5" s="237"/>
      <c r="G5" s="237"/>
      <c r="H5" s="237"/>
      <c r="I5" s="237"/>
      <c r="V5" s="1" t="s">
        <v>14</v>
      </c>
    </row>
    <row r="6" spans="1:29" s="1" customFormat="1" x14ac:dyDescent="0.2">
      <c r="A6" s="2" t="s">
        <v>96</v>
      </c>
      <c r="F6" s="239"/>
      <c r="G6" s="239"/>
      <c r="H6" s="239"/>
      <c r="I6" s="239"/>
    </row>
    <row r="7" spans="1:29" s="1" customFormat="1" x14ac:dyDescent="0.2">
      <c r="A7" s="240">
        <v>3670080040</v>
      </c>
      <c r="F7" s="239"/>
      <c r="G7" s="239"/>
      <c r="H7" s="239"/>
      <c r="I7" s="239"/>
    </row>
    <row r="8" spans="1:29" s="1" customFormat="1" ht="6" customHeight="1" thickBot="1" x14ac:dyDescent="0.25">
      <c r="A8" s="241"/>
      <c r="B8" s="242"/>
      <c r="C8" s="242"/>
      <c r="D8" s="242"/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</row>
    <row r="9" spans="1:29" ht="15" customHeight="1" thickTop="1" thickBot="1" x14ac:dyDescent="0.25">
      <c r="A9" s="3"/>
      <c r="B9" s="648" t="s">
        <v>0</v>
      </c>
      <c r="C9" s="649"/>
      <c r="D9" s="648" t="s">
        <v>1</v>
      </c>
      <c r="E9" s="649"/>
      <c r="F9" s="648" t="s">
        <v>2</v>
      </c>
      <c r="G9" s="649"/>
      <c r="H9" s="648" t="s">
        <v>3</v>
      </c>
      <c r="I9" s="649"/>
      <c r="J9" s="648" t="s">
        <v>4</v>
      </c>
      <c r="K9" s="649"/>
      <c r="L9" s="648" t="s">
        <v>5</v>
      </c>
      <c r="M9" s="649"/>
      <c r="N9" s="648" t="s">
        <v>6</v>
      </c>
      <c r="O9" s="649"/>
      <c r="P9" s="648" t="s">
        <v>7</v>
      </c>
      <c r="Q9" s="649"/>
      <c r="R9" s="648" t="s">
        <v>8</v>
      </c>
      <c r="S9" s="649"/>
      <c r="T9" s="648" t="s">
        <v>123</v>
      </c>
      <c r="U9" s="652"/>
      <c r="W9" s="650" t="s">
        <v>9</v>
      </c>
      <c r="X9" s="651"/>
    </row>
    <row r="10" spans="1:29" ht="15" customHeight="1" x14ac:dyDescent="0.2">
      <c r="A10" s="4"/>
      <c r="B10" s="173" t="s">
        <v>97</v>
      </c>
      <c r="C10" s="6" t="s">
        <v>10</v>
      </c>
      <c r="D10" s="573" t="s">
        <v>97</v>
      </c>
      <c r="E10" s="6" t="s">
        <v>10</v>
      </c>
      <c r="F10" s="573" t="s">
        <v>97</v>
      </c>
      <c r="G10" s="6" t="s">
        <v>10</v>
      </c>
      <c r="H10" s="573" t="s">
        <v>97</v>
      </c>
      <c r="I10" s="6" t="s">
        <v>10</v>
      </c>
      <c r="J10" s="573" t="s">
        <v>97</v>
      </c>
      <c r="K10" s="6" t="s">
        <v>10</v>
      </c>
      <c r="L10" s="573" t="s">
        <v>97</v>
      </c>
      <c r="M10" s="6" t="s">
        <v>10</v>
      </c>
      <c r="N10" s="573" t="s">
        <v>97</v>
      </c>
      <c r="O10" s="6" t="s">
        <v>10</v>
      </c>
      <c r="P10" s="573" t="s">
        <v>97</v>
      </c>
      <c r="Q10" s="6" t="s">
        <v>10</v>
      </c>
      <c r="R10" s="573" t="s">
        <v>97</v>
      </c>
      <c r="S10" s="6" t="s">
        <v>10</v>
      </c>
      <c r="T10" s="573" t="s">
        <v>97</v>
      </c>
      <c r="U10" s="37" t="s">
        <v>10</v>
      </c>
      <c r="W10" s="589" t="s">
        <v>97</v>
      </c>
      <c r="X10" s="5" t="s">
        <v>11</v>
      </c>
    </row>
    <row r="11" spans="1:29" ht="15" customHeight="1" thickBot="1" x14ac:dyDescent="0.25">
      <c r="A11" s="34" t="s">
        <v>98</v>
      </c>
      <c r="B11" s="33" t="s">
        <v>12</v>
      </c>
      <c r="C11" s="33" t="s">
        <v>13</v>
      </c>
      <c r="D11" s="575" t="s">
        <v>12</v>
      </c>
      <c r="E11" s="576" t="s">
        <v>13</v>
      </c>
      <c r="F11" s="575" t="s">
        <v>12</v>
      </c>
      <c r="G11" s="576" t="s">
        <v>13</v>
      </c>
      <c r="H11" s="575" t="s">
        <v>12</v>
      </c>
      <c r="I11" s="576" t="s">
        <v>13</v>
      </c>
      <c r="J11" s="575" t="s">
        <v>12</v>
      </c>
      <c r="K11" s="576" t="s">
        <v>13</v>
      </c>
      <c r="L11" s="33" t="s">
        <v>12</v>
      </c>
      <c r="M11" s="576" t="s">
        <v>13</v>
      </c>
      <c r="N11" s="33" t="s">
        <v>12</v>
      </c>
      <c r="O11" s="574" t="s">
        <v>13</v>
      </c>
      <c r="P11" s="33" t="s">
        <v>12</v>
      </c>
      <c r="Q11" s="576" t="s">
        <v>13</v>
      </c>
      <c r="R11" s="33" t="s">
        <v>12</v>
      </c>
      <c r="S11" s="576" t="s">
        <v>13</v>
      </c>
      <c r="T11" s="33" t="s">
        <v>12</v>
      </c>
      <c r="U11" s="577" t="s">
        <v>13</v>
      </c>
      <c r="W11" s="592" t="s">
        <v>12</v>
      </c>
      <c r="X11" s="8" t="s">
        <v>13</v>
      </c>
    </row>
    <row r="12" spans="1:29" ht="15" customHeight="1" x14ac:dyDescent="0.2">
      <c r="A12" s="47" t="s">
        <v>71</v>
      </c>
      <c r="B12" s="11"/>
      <c r="C12" s="12"/>
      <c r="D12" s="9"/>
      <c r="E12" s="10"/>
      <c r="F12" s="11"/>
      <c r="G12" s="10"/>
      <c r="H12" s="11"/>
      <c r="I12" s="10"/>
      <c r="J12" s="11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3"/>
      <c r="W12" s="14"/>
      <c r="X12" s="15"/>
    </row>
    <row r="13" spans="1:29" s="16" customFormat="1" ht="15" customHeight="1" x14ac:dyDescent="0.2">
      <c r="A13" s="593" t="s">
        <v>74</v>
      </c>
      <c r="B13" s="9">
        <v>1</v>
      </c>
      <c r="C13" s="153">
        <f>1+1</f>
        <v>2</v>
      </c>
      <c r="D13" s="9">
        <v>0</v>
      </c>
      <c r="E13" s="154">
        <v>2</v>
      </c>
      <c r="F13" s="155"/>
      <c r="G13" s="156"/>
      <c r="H13" s="155"/>
      <c r="I13" s="156"/>
      <c r="J13" s="155"/>
      <c r="K13" s="156"/>
      <c r="L13" s="155"/>
      <c r="M13" s="156"/>
      <c r="N13" s="155"/>
      <c r="O13" s="160"/>
      <c r="P13" s="161"/>
      <c r="Q13" s="162"/>
      <c r="R13" s="161"/>
      <c r="S13" s="162"/>
      <c r="T13" s="163"/>
      <c r="U13" s="164"/>
      <c r="W13" s="14"/>
      <c r="X13" s="17"/>
    </row>
    <row r="14" spans="1:29" s="16" customFormat="1" ht="15" customHeight="1" thickBot="1" x14ac:dyDescent="0.25">
      <c r="A14" s="594" t="s">
        <v>72</v>
      </c>
      <c r="B14" s="157">
        <v>19</v>
      </c>
      <c r="C14" s="138">
        <f>2+1</f>
        <v>3</v>
      </c>
      <c r="D14" s="157">
        <v>21</v>
      </c>
      <c r="E14" s="139">
        <v>1</v>
      </c>
      <c r="F14" s="158">
        <v>23</v>
      </c>
      <c r="G14" s="139">
        <v>6</v>
      </c>
      <c r="H14" s="158">
        <v>18</v>
      </c>
      <c r="I14" s="139">
        <v>11</v>
      </c>
      <c r="J14" s="158">
        <v>18</v>
      </c>
      <c r="K14" s="139">
        <v>2</v>
      </c>
      <c r="L14" s="158">
        <v>29</v>
      </c>
      <c r="M14" s="139">
        <v>1</v>
      </c>
      <c r="N14" s="158">
        <v>37</v>
      </c>
      <c r="O14" s="139">
        <v>10</v>
      </c>
      <c r="P14" s="158">
        <v>37</v>
      </c>
      <c r="Q14" s="139">
        <v>7</v>
      </c>
      <c r="R14" s="158">
        <v>40</v>
      </c>
      <c r="S14" s="139">
        <v>7</v>
      </c>
      <c r="T14" s="159">
        <v>45</v>
      </c>
      <c r="U14" s="611"/>
      <c r="W14" s="130">
        <f>AVERAGE(N14,L14,R14,T14,P14)</f>
        <v>37.6</v>
      </c>
      <c r="X14" s="131">
        <f>AVERAGE(O14,M14,S14,K14,Q14)</f>
        <v>5.4</v>
      </c>
    </row>
    <row r="15" spans="1:29" ht="15" customHeight="1" thickTop="1" thickBot="1" x14ac:dyDescent="0.25">
      <c r="A15" s="66" t="s">
        <v>65</v>
      </c>
      <c r="B15" s="657"/>
      <c r="C15" s="658"/>
      <c r="D15" s="657"/>
      <c r="E15" s="658"/>
      <c r="F15" s="657"/>
      <c r="G15" s="658"/>
      <c r="H15" s="657"/>
      <c r="I15" s="658"/>
      <c r="J15" s="657"/>
      <c r="K15" s="658"/>
      <c r="L15" s="657"/>
      <c r="M15" s="658"/>
      <c r="N15" s="657"/>
      <c r="O15" s="658"/>
      <c r="P15" s="657"/>
      <c r="Q15" s="658"/>
      <c r="R15" s="657"/>
      <c r="S15" s="658"/>
      <c r="T15" s="657"/>
      <c r="U15" s="655"/>
      <c r="V15" s="48"/>
      <c r="W15" s="654"/>
      <c r="X15" s="655"/>
    </row>
    <row r="16" spans="1:29" ht="15" customHeight="1" thickBot="1" x14ac:dyDescent="0.25">
      <c r="A16" s="68" t="s">
        <v>67</v>
      </c>
      <c r="B16" s="69"/>
      <c r="C16" s="70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  <c r="P16" s="69"/>
      <c r="Q16" s="70"/>
      <c r="R16" s="69"/>
      <c r="S16" s="70"/>
      <c r="T16" s="69"/>
      <c r="U16" s="71"/>
      <c r="V16" s="48"/>
      <c r="W16" s="408"/>
      <c r="X16" s="407"/>
    </row>
    <row r="17" spans="1:27" ht="15" customHeight="1" thickTop="1" thickBot="1" x14ac:dyDescent="0.25">
      <c r="A17" s="73" t="s">
        <v>17</v>
      </c>
      <c r="B17" s="657"/>
      <c r="C17" s="658"/>
      <c r="D17" s="657"/>
      <c r="E17" s="658"/>
      <c r="F17" s="657"/>
      <c r="G17" s="658"/>
      <c r="H17" s="657"/>
      <c r="I17" s="658"/>
      <c r="J17" s="657"/>
      <c r="K17" s="658"/>
      <c r="L17" s="657"/>
      <c r="M17" s="658"/>
      <c r="N17" s="657"/>
      <c r="O17" s="658"/>
      <c r="P17" s="657"/>
      <c r="Q17" s="658"/>
      <c r="R17" s="657"/>
      <c r="S17" s="658"/>
      <c r="T17" s="657"/>
      <c r="U17" s="655"/>
      <c r="V17" s="48"/>
      <c r="W17" s="654"/>
      <c r="X17" s="655"/>
    </row>
    <row r="18" spans="1:27" ht="15" customHeight="1" x14ac:dyDescent="0.2">
      <c r="A18" s="67" t="s">
        <v>18</v>
      </c>
      <c r="B18" s="74"/>
      <c r="C18" s="27">
        <v>0</v>
      </c>
      <c r="D18" s="24"/>
      <c r="E18" s="27">
        <v>0</v>
      </c>
      <c r="F18" s="24"/>
      <c r="G18" s="27">
        <v>0</v>
      </c>
      <c r="H18" s="24"/>
      <c r="I18" s="27">
        <v>0</v>
      </c>
      <c r="J18" s="24"/>
      <c r="K18" s="27">
        <v>15</v>
      </c>
      <c r="L18" s="24"/>
      <c r="M18" s="27">
        <v>21</v>
      </c>
      <c r="N18" s="24"/>
      <c r="O18" s="27">
        <v>24</v>
      </c>
      <c r="P18" s="24"/>
      <c r="Q18" s="27">
        <v>0</v>
      </c>
      <c r="R18" s="24"/>
      <c r="S18" s="27">
        <v>0</v>
      </c>
      <c r="T18" s="74"/>
      <c r="U18" s="606"/>
      <c r="V18" s="48"/>
      <c r="W18" s="79"/>
      <c r="X18" s="80">
        <f t="shared" ref="X18:X22" si="0">AVERAGE(O18,M18,S18,K18,Q18)</f>
        <v>12</v>
      </c>
    </row>
    <row r="19" spans="1:27" ht="15" customHeight="1" x14ac:dyDescent="0.2">
      <c r="A19" s="67" t="s">
        <v>19</v>
      </c>
      <c r="B19" s="74"/>
      <c r="C19" s="27">
        <v>0</v>
      </c>
      <c r="D19" s="24"/>
      <c r="E19" s="27">
        <v>0</v>
      </c>
      <c r="F19" s="24"/>
      <c r="G19" s="27">
        <v>0</v>
      </c>
      <c r="H19" s="24"/>
      <c r="I19" s="27">
        <v>0</v>
      </c>
      <c r="J19" s="24"/>
      <c r="K19" s="27">
        <v>8</v>
      </c>
      <c r="L19" s="24"/>
      <c r="M19" s="27">
        <v>9</v>
      </c>
      <c r="N19" s="24"/>
      <c r="O19" s="27">
        <v>1</v>
      </c>
      <c r="P19" s="24"/>
      <c r="Q19" s="27">
        <v>4</v>
      </c>
      <c r="R19" s="24"/>
      <c r="S19" s="27">
        <v>260</v>
      </c>
      <c r="T19" s="74"/>
      <c r="U19" s="606"/>
      <c r="V19" s="48"/>
      <c r="W19" s="81"/>
      <c r="X19" s="80">
        <f t="shared" si="0"/>
        <v>56.4</v>
      </c>
    </row>
    <row r="20" spans="1:27" ht="15" customHeight="1" x14ac:dyDescent="0.2">
      <c r="A20" s="67" t="s">
        <v>20</v>
      </c>
      <c r="B20" s="74"/>
      <c r="C20" s="26">
        <f>4830</f>
        <v>4830</v>
      </c>
      <c r="D20" s="23"/>
      <c r="E20" s="25">
        <v>5037</v>
      </c>
      <c r="F20" s="24"/>
      <c r="G20" s="25">
        <v>5157</v>
      </c>
      <c r="H20" s="24"/>
      <c r="I20" s="25">
        <v>6063</v>
      </c>
      <c r="J20" s="24"/>
      <c r="K20" s="25">
        <v>5493</v>
      </c>
      <c r="L20" s="24"/>
      <c r="M20" s="25">
        <v>5629</v>
      </c>
      <c r="N20" s="24"/>
      <c r="O20" s="25">
        <v>5151</v>
      </c>
      <c r="P20" s="24"/>
      <c r="Q20" s="25">
        <v>5356</v>
      </c>
      <c r="R20" s="24"/>
      <c r="S20" s="25">
        <v>5416</v>
      </c>
      <c r="T20" s="74"/>
      <c r="U20" s="606"/>
      <c r="V20" s="48"/>
      <c r="W20" s="81"/>
      <c r="X20" s="80">
        <f t="shared" si="0"/>
        <v>5409</v>
      </c>
    </row>
    <row r="21" spans="1:27" ht="15" customHeight="1" thickBot="1" x14ac:dyDescent="0.25">
      <c r="A21" s="588" t="s">
        <v>21</v>
      </c>
      <c r="B21" s="36"/>
      <c r="C21" s="26">
        <v>210</v>
      </c>
      <c r="D21" s="23"/>
      <c r="E21" s="25">
        <v>302</v>
      </c>
      <c r="F21" s="24"/>
      <c r="G21" s="25">
        <v>324</v>
      </c>
      <c r="H21" s="24"/>
      <c r="I21" s="25">
        <v>255</v>
      </c>
      <c r="J21" s="24"/>
      <c r="K21" s="25">
        <v>264</v>
      </c>
      <c r="L21" s="24"/>
      <c r="M21" s="25">
        <v>390</v>
      </c>
      <c r="N21" s="24"/>
      <c r="O21" s="25">
        <v>437</v>
      </c>
      <c r="P21" s="24"/>
      <c r="Q21" s="25">
        <v>449</v>
      </c>
      <c r="R21" s="24"/>
      <c r="S21" s="25">
        <v>518</v>
      </c>
      <c r="T21" s="36"/>
      <c r="U21" s="607"/>
      <c r="V21" s="48"/>
      <c r="W21" s="81"/>
      <c r="X21" s="80">
        <f t="shared" si="0"/>
        <v>411.6</v>
      </c>
    </row>
    <row r="22" spans="1:27" ht="15" customHeight="1" thickBot="1" x14ac:dyDescent="0.25">
      <c r="A22" s="582" t="s">
        <v>22</v>
      </c>
      <c r="B22" s="82"/>
      <c r="C22" s="83">
        <f>SUM(C18:C21)</f>
        <v>5040</v>
      </c>
      <c r="D22" s="84"/>
      <c r="E22" s="85">
        <f>SUM(E18:E21)</f>
        <v>5339</v>
      </c>
      <c r="F22" s="82"/>
      <c r="G22" s="85">
        <f>SUM(G18:G21)</f>
        <v>5481</v>
      </c>
      <c r="H22" s="82"/>
      <c r="I22" s="85">
        <f>SUM(I18:I21)</f>
        <v>6318</v>
      </c>
      <c r="J22" s="82"/>
      <c r="K22" s="85">
        <f>SUM(K18:K21)</f>
        <v>5780</v>
      </c>
      <c r="L22" s="82"/>
      <c r="M22" s="85">
        <f>SUM(M18:M21)</f>
        <v>6049</v>
      </c>
      <c r="N22" s="82"/>
      <c r="O22" s="85">
        <f>SUM(O18:O21)</f>
        <v>5613</v>
      </c>
      <c r="P22" s="82"/>
      <c r="Q22" s="85">
        <f>SUM(Q18:Q21)</f>
        <v>5809</v>
      </c>
      <c r="R22" s="82"/>
      <c r="S22" s="85">
        <f>SUM(S18:S21)</f>
        <v>6194</v>
      </c>
      <c r="T22" s="82"/>
      <c r="U22" s="610">
        <f>SUM(U18:U21)</f>
        <v>0</v>
      </c>
      <c r="V22" s="48"/>
      <c r="W22" s="86"/>
      <c r="X22" s="605">
        <f t="shared" si="0"/>
        <v>5889</v>
      </c>
    </row>
    <row r="23" spans="1:27" ht="15" customHeight="1" thickTop="1" thickBot="1" x14ac:dyDescent="0.25">
      <c r="A23" s="87"/>
      <c r="B23" s="88"/>
      <c r="C23" s="89"/>
      <c r="D23" s="88"/>
      <c r="E23" s="89"/>
      <c r="F23" s="88"/>
      <c r="G23" s="89"/>
      <c r="H23" s="88"/>
      <c r="I23" s="89"/>
      <c r="J23" s="88"/>
      <c r="K23" s="89"/>
      <c r="L23" s="88"/>
      <c r="M23" s="89"/>
      <c r="N23" s="88"/>
      <c r="O23" s="89"/>
      <c r="P23" s="88"/>
      <c r="Q23" s="89"/>
      <c r="R23" s="88"/>
      <c r="S23" s="89"/>
      <c r="T23" s="88"/>
      <c r="U23" s="89"/>
      <c r="V23" s="90"/>
      <c r="W23" s="91"/>
      <c r="X23" s="89"/>
    </row>
    <row r="24" spans="1:27" ht="15" customHeight="1" thickTop="1" thickBot="1" x14ac:dyDescent="0.25">
      <c r="A24" s="92" t="s">
        <v>23</v>
      </c>
      <c r="B24" s="644" t="s">
        <v>24</v>
      </c>
      <c r="C24" s="656"/>
      <c r="D24" s="644" t="s">
        <v>25</v>
      </c>
      <c r="E24" s="653"/>
      <c r="F24" s="644" t="s">
        <v>26</v>
      </c>
      <c r="G24" s="653"/>
      <c r="H24" s="644" t="s">
        <v>27</v>
      </c>
      <c r="I24" s="653"/>
      <c r="J24" s="644" t="s">
        <v>28</v>
      </c>
      <c r="K24" s="653"/>
      <c r="L24" s="644" t="s">
        <v>29</v>
      </c>
      <c r="M24" s="653"/>
      <c r="N24" s="644" t="s">
        <v>30</v>
      </c>
      <c r="O24" s="653"/>
      <c r="P24" s="644" t="s">
        <v>31</v>
      </c>
      <c r="Q24" s="653"/>
      <c r="R24" s="644" t="s">
        <v>32</v>
      </c>
      <c r="S24" s="653"/>
      <c r="T24" s="644" t="s">
        <v>124</v>
      </c>
      <c r="U24" s="645"/>
      <c r="V24" s="93"/>
      <c r="W24" s="654" t="s">
        <v>9</v>
      </c>
      <c r="X24" s="655"/>
      <c r="Y24" s="29"/>
      <c r="Z24" s="29"/>
      <c r="AA24" s="30"/>
    </row>
    <row r="25" spans="1:27" ht="15" customHeight="1" x14ac:dyDescent="0.2">
      <c r="A25" s="143" t="s">
        <v>103</v>
      </c>
      <c r="B25" s="94"/>
      <c r="C25" s="42">
        <v>4.1000000000000002E-2</v>
      </c>
      <c r="D25" s="145"/>
      <c r="E25" s="38">
        <v>4.2000000000000003E-2</v>
      </c>
      <c r="F25" s="146"/>
      <c r="G25" s="38">
        <v>5.1999999999999998E-2</v>
      </c>
      <c r="H25" s="147"/>
      <c r="I25" s="38">
        <v>3.7999999999999999E-2</v>
      </c>
      <c r="J25" s="147"/>
      <c r="K25" s="38">
        <v>6.9000000000000006E-2</v>
      </c>
      <c r="L25" s="147"/>
      <c r="M25" s="38">
        <v>6.8000000000000005E-2</v>
      </c>
      <c r="N25" s="147"/>
      <c r="O25" s="38">
        <v>7.1999999999999995E-2</v>
      </c>
      <c r="P25" s="147"/>
      <c r="Q25" s="38">
        <v>6.5000000000000002E-2</v>
      </c>
      <c r="R25" s="147"/>
      <c r="S25" s="38">
        <v>7.4999999999999997E-2</v>
      </c>
      <c r="T25" s="98"/>
      <c r="U25" s="99">
        <v>7.8E-2</v>
      </c>
      <c r="V25" s="100"/>
      <c r="W25" s="101"/>
      <c r="X25" s="102">
        <f>AVERAGE(O25,M25,S25,U25,Q25)</f>
        <v>7.1600000000000011E-2</v>
      </c>
      <c r="Y25" s="29"/>
      <c r="Z25" s="29"/>
      <c r="AA25" s="30"/>
    </row>
    <row r="26" spans="1:27" ht="15" customHeight="1" x14ac:dyDescent="0.2">
      <c r="A26" s="144" t="s">
        <v>104</v>
      </c>
      <c r="B26" s="103"/>
      <c r="C26" s="43">
        <v>0.91300000000000003</v>
      </c>
      <c r="D26" s="148"/>
      <c r="E26" s="39">
        <v>0.879</v>
      </c>
      <c r="F26" s="149"/>
      <c r="G26" s="39">
        <v>0.86199999999999999</v>
      </c>
      <c r="H26" s="150"/>
      <c r="I26" s="39">
        <v>0.83599999999999997</v>
      </c>
      <c r="J26" s="150"/>
      <c r="K26" s="39">
        <v>0.64</v>
      </c>
      <c r="L26" s="150"/>
      <c r="M26" s="39">
        <v>0.78500000000000003</v>
      </c>
      <c r="N26" s="150"/>
      <c r="O26" s="39">
        <v>0.76600000000000001</v>
      </c>
      <c r="P26" s="150"/>
      <c r="Q26" s="39">
        <v>0.753</v>
      </c>
      <c r="R26" s="150"/>
      <c r="S26" s="39">
        <v>0.67500000000000004</v>
      </c>
      <c r="T26" s="105"/>
      <c r="U26" s="106">
        <v>0.67400000000000004</v>
      </c>
      <c r="V26" s="100"/>
      <c r="W26" s="107"/>
      <c r="X26" s="108">
        <f>AVERAGE(O26,M26,S26,U26,Q26)</f>
        <v>0.73060000000000003</v>
      </c>
      <c r="Y26" s="29"/>
      <c r="Z26" s="29"/>
      <c r="AA26" s="30"/>
    </row>
    <row r="27" spans="1:27" ht="15" customHeight="1" thickBot="1" x14ac:dyDescent="0.25">
      <c r="A27" s="109" t="s">
        <v>105</v>
      </c>
      <c r="B27" s="659">
        <f>1-C25-C26</f>
        <v>4.599999999999993E-2</v>
      </c>
      <c r="C27" s="660"/>
      <c r="D27" s="659">
        <f>1-E25-E26</f>
        <v>7.8999999999999959E-2</v>
      </c>
      <c r="E27" s="660"/>
      <c r="F27" s="659">
        <f>1-G25-G26</f>
        <v>8.5999999999999965E-2</v>
      </c>
      <c r="G27" s="660"/>
      <c r="H27" s="659">
        <f>1-I25-I26</f>
        <v>0.126</v>
      </c>
      <c r="I27" s="660"/>
      <c r="J27" s="659">
        <f>1-K25-K26</f>
        <v>0.29100000000000004</v>
      </c>
      <c r="K27" s="660"/>
      <c r="L27" s="659">
        <f>1-M25-M26</f>
        <v>0.14699999999999991</v>
      </c>
      <c r="M27" s="660"/>
      <c r="N27" s="659">
        <f>1-O25-O26</f>
        <v>0.16200000000000003</v>
      </c>
      <c r="O27" s="660"/>
      <c r="P27" s="659">
        <f>1-Q25-Q26</f>
        <v>0.18200000000000005</v>
      </c>
      <c r="Q27" s="660"/>
      <c r="R27" s="659">
        <f>1-S25-S26</f>
        <v>0.25</v>
      </c>
      <c r="S27" s="660"/>
      <c r="T27" s="659">
        <f>1-U25-U26</f>
        <v>0.248</v>
      </c>
      <c r="U27" s="662"/>
      <c r="V27" s="100"/>
      <c r="W27" s="661">
        <f>AVERAGE(N27,L27,R27,T27,P27)</f>
        <v>0.1978</v>
      </c>
      <c r="X27" s="662" t="e">
        <f>AVERAGE(O27,M27,I27,K27,Q27)</f>
        <v>#DIV/0!</v>
      </c>
      <c r="Y27" s="31"/>
      <c r="Z27" s="29"/>
      <c r="AA27" s="30"/>
    </row>
    <row r="28" spans="1:27" s="2" customFormat="1" ht="15" customHeight="1" thickTop="1" thickBot="1" x14ac:dyDescent="0.25">
      <c r="A28" s="49" t="s">
        <v>62</v>
      </c>
      <c r="B28" s="50" t="s">
        <v>33</v>
      </c>
      <c r="C28" s="51" t="s">
        <v>66</v>
      </c>
      <c r="D28" s="50" t="s">
        <v>33</v>
      </c>
      <c r="E28" s="51" t="s">
        <v>66</v>
      </c>
      <c r="F28" s="50" t="s">
        <v>33</v>
      </c>
      <c r="G28" s="51" t="s">
        <v>66</v>
      </c>
      <c r="H28" s="50" t="s">
        <v>33</v>
      </c>
      <c r="I28" s="51" t="s">
        <v>66</v>
      </c>
      <c r="J28" s="50" t="s">
        <v>33</v>
      </c>
      <c r="K28" s="51" t="s">
        <v>66</v>
      </c>
      <c r="L28" s="50" t="s">
        <v>33</v>
      </c>
      <c r="M28" s="51" t="s">
        <v>66</v>
      </c>
      <c r="N28" s="50" t="s">
        <v>33</v>
      </c>
      <c r="O28" s="51" t="s">
        <v>66</v>
      </c>
      <c r="P28" s="50" t="s">
        <v>33</v>
      </c>
      <c r="Q28" s="51" t="s">
        <v>66</v>
      </c>
      <c r="R28" s="50" t="s">
        <v>33</v>
      </c>
      <c r="S28" s="51" t="s">
        <v>66</v>
      </c>
      <c r="T28" s="50" t="s">
        <v>33</v>
      </c>
      <c r="U28" s="52" t="s">
        <v>66</v>
      </c>
      <c r="V28" s="53"/>
      <c r="W28" s="426" t="s">
        <v>33</v>
      </c>
      <c r="X28" s="247" t="s">
        <v>66</v>
      </c>
    </row>
    <row r="29" spans="1:27" ht="15" customHeight="1" thickBot="1" x14ac:dyDescent="0.25">
      <c r="A29" s="57" t="s">
        <v>64</v>
      </c>
      <c r="B29" s="58"/>
      <c r="C29" s="59">
        <f>B29/B$14</f>
        <v>0</v>
      </c>
      <c r="D29" s="58"/>
      <c r="E29" s="59">
        <f>D29/D$14</f>
        <v>0</v>
      </c>
      <c r="F29" s="58"/>
      <c r="G29" s="59">
        <f>F29/F$14</f>
        <v>0</v>
      </c>
      <c r="H29" s="58">
        <v>14</v>
      </c>
      <c r="I29" s="59">
        <f>H29/H$14</f>
        <v>0.77777777777777779</v>
      </c>
      <c r="J29" s="58">
        <v>14</v>
      </c>
      <c r="K29" s="59">
        <f>J29/J$14</f>
        <v>0.77777777777777779</v>
      </c>
      <c r="L29" s="58">
        <v>24</v>
      </c>
      <c r="M29" s="59">
        <f>L29/L$14</f>
        <v>0.82758620689655171</v>
      </c>
      <c r="N29" s="58">
        <v>29</v>
      </c>
      <c r="O29" s="59">
        <f>N29/N$14</f>
        <v>0.78378378378378377</v>
      </c>
      <c r="P29" s="58">
        <v>31</v>
      </c>
      <c r="Q29" s="59">
        <f>P29/P$14</f>
        <v>0.83783783783783783</v>
      </c>
      <c r="R29" s="58">
        <v>34</v>
      </c>
      <c r="S29" s="59">
        <f>R29/R$14</f>
        <v>0.85</v>
      </c>
      <c r="T29" s="58"/>
      <c r="U29" s="59">
        <f>T29/T$14</f>
        <v>0</v>
      </c>
      <c r="V29" s="48"/>
      <c r="W29" s="60">
        <f>AVERAGE(N29,L29,R29,T29,P29)</f>
        <v>29.5</v>
      </c>
      <c r="X29" s="348">
        <f>W29/W14</f>
        <v>0.78457446808510634</v>
      </c>
    </row>
    <row r="30" spans="1:27" s="289" customFormat="1" ht="15" customHeight="1" thickTop="1" x14ac:dyDescent="0.2">
      <c r="A30" s="18" t="s">
        <v>16</v>
      </c>
      <c r="B30" s="19"/>
      <c r="C30" s="288" t="s">
        <v>73</v>
      </c>
      <c r="D30" s="19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W30" s="21"/>
      <c r="X30" s="22"/>
    </row>
    <row r="31" spans="1:27" s="1" customFormat="1" ht="15" customHeight="1" thickBot="1" x14ac:dyDescent="0.25">
      <c r="A31" s="87"/>
      <c r="B31" s="88"/>
      <c r="C31" s="286"/>
      <c r="D31" s="88"/>
      <c r="E31" s="286"/>
      <c r="F31" s="88"/>
      <c r="G31" s="286"/>
      <c r="H31" s="88"/>
      <c r="I31" s="286"/>
      <c r="J31" s="88"/>
      <c r="K31" s="286"/>
      <c r="L31" s="88"/>
      <c r="M31" s="286"/>
      <c r="N31" s="88"/>
      <c r="O31" s="286"/>
      <c r="P31" s="88"/>
      <c r="Q31" s="286"/>
      <c r="R31" s="88"/>
      <c r="S31" s="286"/>
      <c r="T31" s="88"/>
      <c r="U31" s="286"/>
      <c r="V31" s="72"/>
      <c r="W31" s="72"/>
      <c r="X31" s="287"/>
    </row>
    <row r="32" spans="1:27" s="1" customFormat="1" ht="15" customHeight="1" thickTop="1" thickBot="1" x14ac:dyDescent="0.25">
      <c r="A32" s="271" t="s">
        <v>99</v>
      </c>
      <c r="B32" s="644" t="s">
        <v>24</v>
      </c>
      <c r="C32" s="656"/>
      <c r="D32" s="644" t="s">
        <v>25</v>
      </c>
      <c r="E32" s="653"/>
      <c r="F32" s="644" t="s">
        <v>26</v>
      </c>
      <c r="G32" s="653"/>
      <c r="H32" s="644" t="s">
        <v>27</v>
      </c>
      <c r="I32" s="653"/>
      <c r="J32" s="644" t="s">
        <v>28</v>
      </c>
      <c r="K32" s="653"/>
      <c r="L32" s="644" t="s">
        <v>29</v>
      </c>
      <c r="M32" s="653"/>
      <c r="N32" s="644" t="s">
        <v>30</v>
      </c>
      <c r="O32" s="653"/>
      <c r="P32" s="644" t="s">
        <v>31</v>
      </c>
      <c r="Q32" s="653"/>
      <c r="R32" s="644" t="s">
        <v>32</v>
      </c>
      <c r="S32" s="653"/>
      <c r="T32" s="644" t="s">
        <v>124</v>
      </c>
      <c r="U32" s="645"/>
      <c r="V32" s="72"/>
      <c r="W32" s="654" t="s">
        <v>9</v>
      </c>
      <c r="X32" s="655"/>
    </row>
    <row r="33" spans="1:24" s="1" customFormat="1" ht="24" x14ac:dyDescent="0.2">
      <c r="A33" s="292" t="s">
        <v>107</v>
      </c>
      <c r="B33" s="296"/>
      <c r="C33" s="297"/>
      <c r="D33" s="296"/>
      <c r="E33" s="298"/>
      <c r="F33" s="296"/>
      <c r="G33" s="298"/>
      <c r="H33" s="296"/>
      <c r="I33" s="298"/>
      <c r="J33" s="296"/>
      <c r="K33" s="298"/>
      <c r="L33" s="296"/>
      <c r="M33" s="298"/>
      <c r="N33" s="296"/>
      <c r="O33" s="298"/>
      <c r="P33" s="296"/>
      <c r="Q33" s="298"/>
      <c r="R33" s="296"/>
      <c r="S33" s="298"/>
      <c r="T33" s="296"/>
      <c r="U33" s="299"/>
      <c r="V33" s="293"/>
      <c r="W33" s="294"/>
      <c r="X33" s="295"/>
    </row>
    <row r="34" spans="1:24" s="343" customFormat="1" ht="24" x14ac:dyDescent="0.2">
      <c r="A34" s="300" t="s">
        <v>88</v>
      </c>
      <c r="B34" s="337"/>
      <c r="C34" s="338">
        <v>17</v>
      </c>
      <c r="D34" s="337"/>
      <c r="E34" s="338">
        <v>15</v>
      </c>
      <c r="F34" s="337"/>
      <c r="G34" s="338">
        <v>10</v>
      </c>
      <c r="H34" s="337"/>
      <c r="I34" s="338">
        <v>9</v>
      </c>
      <c r="J34" s="337"/>
      <c r="K34" s="338">
        <v>8</v>
      </c>
      <c r="L34" s="337"/>
      <c r="M34" s="338">
        <v>11</v>
      </c>
      <c r="N34" s="337"/>
      <c r="O34" s="338">
        <v>11</v>
      </c>
      <c r="P34" s="337"/>
      <c r="Q34" s="338">
        <v>9</v>
      </c>
      <c r="R34" s="337"/>
      <c r="S34" s="338">
        <v>10</v>
      </c>
      <c r="T34" s="339"/>
      <c r="U34" s="340"/>
      <c r="V34" s="341"/>
      <c r="W34" s="342"/>
      <c r="X34" s="340">
        <f>AVERAGE(O34,M34,S34,U34,Q34)</f>
        <v>10.25</v>
      </c>
    </row>
    <row r="35" spans="1:24" s="1" customFormat="1" ht="24" x14ac:dyDescent="0.2">
      <c r="A35" s="300" t="s">
        <v>108</v>
      </c>
      <c r="B35" s="233"/>
      <c r="C35" s="301">
        <v>17</v>
      </c>
      <c r="D35" s="233"/>
      <c r="E35" s="301">
        <v>15</v>
      </c>
      <c r="F35" s="233"/>
      <c r="G35" s="301">
        <v>10</v>
      </c>
      <c r="H35" s="233"/>
      <c r="I35" s="301">
        <v>9</v>
      </c>
      <c r="J35" s="233"/>
      <c r="K35" s="301">
        <v>8</v>
      </c>
      <c r="L35" s="233"/>
      <c r="M35" s="301">
        <v>11</v>
      </c>
      <c r="N35" s="233"/>
      <c r="O35" s="301">
        <v>11</v>
      </c>
      <c r="P35" s="233"/>
      <c r="Q35" s="301">
        <v>9</v>
      </c>
      <c r="R35" s="233"/>
      <c r="S35" s="301">
        <v>10</v>
      </c>
      <c r="T35" s="233"/>
      <c r="U35" s="234"/>
      <c r="V35" s="72"/>
      <c r="W35" s="303"/>
      <c r="X35" s="304">
        <f t="shared" ref="X35:X36" si="1">AVERAGE(O35,M35,S35,U35,Q35)</f>
        <v>10.25</v>
      </c>
    </row>
    <row r="36" spans="1:24" s="1" customFormat="1" ht="15" customHeight="1" thickBot="1" x14ac:dyDescent="0.25">
      <c r="A36" s="369" t="s">
        <v>89</v>
      </c>
      <c r="B36" s="370"/>
      <c r="C36" s="371">
        <v>13.8</v>
      </c>
      <c r="D36" s="370"/>
      <c r="E36" s="371">
        <f>10.95+2.15</f>
        <v>13.1</v>
      </c>
      <c r="F36" s="370"/>
      <c r="G36" s="371">
        <v>7.7</v>
      </c>
      <c r="H36" s="370"/>
      <c r="I36" s="371">
        <v>10.55</v>
      </c>
      <c r="J36" s="370"/>
      <c r="K36" s="371">
        <f>6.3+3.8</f>
        <v>10.1</v>
      </c>
      <c r="L36" s="370"/>
      <c r="M36" s="371">
        <v>11.63</v>
      </c>
      <c r="N36" s="370"/>
      <c r="O36" s="371">
        <v>12.13</v>
      </c>
      <c r="P36" s="370"/>
      <c r="Q36" s="371">
        <v>10.3</v>
      </c>
      <c r="R36" s="370"/>
      <c r="S36" s="371">
        <f>8.48+4.02</f>
        <v>12.5</v>
      </c>
      <c r="T36" s="372"/>
      <c r="U36" s="373"/>
      <c r="V36" s="72"/>
      <c r="W36" s="374"/>
      <c r="X36" s="373">
        <f t="shared" si="1"/>
        <v>11.64</v>
      </c>
    </row>
    <row r="37" spans="1:24" s="1" customFormat="1" ht="15" customHeight="1" thickBot="1" x14ac:dyDescent="0.25">
      <c r="A37" s="356" t="s">
        <v>101</v>
      </c>
      <c r="B37" s="335" t="s">
        <v>34</v>
      </c>
      <c r="C37" s="336" t="s">
        <v>35</v>
      </c>
      <c r="D37" s="364" t="s">
        <v>34</v>
      </c>
      <c r="E37" s="363" t="s">
        <v>35</v>
      </c>
      <c r="F37" s="364" t="s">
        <v>34</v>
      </c>
      <c r="G37" s="363" t="s">
        <v>35</v>
      </c>
      <c r="H37" s="364" t="s">
        <v>34</v>
      </c>
      <c r="I37" s="363" t="s">
        <v>35</v>
      </c>
      <c r="J37" s="364" t="s">
        <v>34</v>
      </c>
      <c r="K37" s="363" t="s">
        <v>35</v>
      </c>
      <c r="L37" s="364" t="s">
        <v>34</v>
      </c>
      <c r="M37" s="363" t="s">
        <v>35</v>
      </c>
      <c r="N37" s="364" t="s">
        <v>34</v>
      </c>
      <c r="O37" s="363" t="s">
        <v>35</v>
      </c>
      <c r="P37" s="364" t="s">
        <v>34</v>
      </c>
      <c r="Q37" s="363" t="s">
        <v>35</v>
      </c>
      <c r="R37" s="364" t="s">
        <v>34</v>
      </c>
      <c r="S37" s="363" t="s">
        <v>35</v>
      </c>
      <c r="T37" s="364" t="s">
        <v>34</v>
      </c>
      <c r="U37" s="365" t="s">
        <v>35</v>
      </c>
      <c r="V37" s="72"/>
      <c r="W37" s="398" t="s">
        <v>34</v>
      </c>
      <c r="X37" s="365" t="s">
        <v>102</v>
      </c>
    </row>
    <row r="38" spans="1:24" s="1" customFormat="1" ht="15" customHeight="1" x14ac:dyDescent="0.2">
      <c r="A38" s="307" t="s">
        <v>36</v>
      </c>
      <c r="B38" s="305"/>
      <c r="C38" s="306"/>
      <c r="D38" s="376"/>
      <c r="E38" s="377"/>
      <c r="F38" s="385"/>
      <c r="G38" s="377"/>
      <c r="H38" s="385"/>
      <c r="I38" s="377"/>
      <c r="J38" s="385"/>
      <c r="K38" s="377"/>
      <c r="L38" s="385"/>
      <c r="M38" s="377"/>
      <c r="N38" s="385"/>
      <c r="O38" s="377"/>
      <c r="P38" s="385"/>
      <c r="Q38" s="377"/>
      <c r="R38" s="385"/>
      <c r="S38" s="377"/>
      <c r="T38" s="385"/>
      <c r="U38" s="391"/>
      <c r="V38" s="72"/>
      <c r="W38" s="399"/>
      <c r="X38" s="400"/>
    </row>
    <row r="39" spans="1:24" s="1" customFormat="1" ht="15" customHeight="1" x14ac:dyDescent="0.2">
      <c r="A39" s="333" t="s">
        <v>37</v>
      </c>
      <c r="B39" s="352"/>
      <c r="C39" s="26">
        <v>20</v>
      </c>
      <c r="D39" s="378"/>
      <c r="E39" s="379">
        <v>16</v>
      </c>
      <c r="F39" s="378"/>
      <c r="G39" s="379">
        <v>11</v>
      </c>
      <c r="H39" s="378"/>
      <c r="I39" s="379">
        <v>11</v>
      </c>
      <c r="J39" s="388">
        <v>9</v>
      </c>
      <c r="K39" s="379">
        <v>9</v>
      </c>
      <c r="L39" s="388">
        <v>11</v>
      </c>
      <c r="M39" s="379">
        <v>11</v>
      </c>
      <c r="N39" s="388">
        <v>11</v>
      </c>
      <c r="O39" s="379">
        <v>11</v>
      </c>
      <c r="P39" s="388">
        <v>9</v>
      </c>
      <c r="Q39" s="379">
        <v>9</v>
      </c>
      <c r="R39" s="388">
        <v>18</v>
      </c>
      <c r="S39" s="379">
        <v>18</v>
      </c>
      <c r="T39" s="392"/>
      <c r="U39" s="393"/>
      <c r="V39" s="72"/>
      <c r="W39" s="401">
        <f>AVERAGE(R39,P39,N39,L39,T39)</f>
        <v>12.25</v>
      </c>
      <c r="X39" s="402">
        <f>AVERAGE(O39,M39,S39,U39,Q39)</f>
        <v>12.25</v>
      </c>
    </row>
    <row r="40" spans="1:24" s="1" customFormat="1" ht="15" customHeight="1" x14ac:dyDescent="0.2">
      <c r="A40" s="333" t="s">
        <v>38</v>
      </c>
      <c r="B40" s="352"/>
      <c r="C40" s="26">
        <v>0</v>
      </c>
      <c r="D40" s="378"/>
      <c r="E40" s="379">
        <v>0</v>
      </c>
      <c r="F40" s="378"/>
      <c r="G40" s="379">
        <v>0</v>
      </c>
      <c r="H40" s="378"/>
      <c r="I40" s="379">
        <v>0</v>
      </c>
      <c r="J40" s="9">
        <v>0.85</v>
      </c>
      <c r="K40" s="379">
        <v>1</v>
      </c>
      <c r="L40" s="9">
        <v>0.85</v>
      </c>
      <c r="M40" s="379">
        <v>1</v>
      </c>
      <c r="N40" s="9">
        <v>0.7</v>
      </c>
      <c r="O40" s="379">
        <v>1</v>
      </c>
      <c r="P40" s="9">
        <v>0.5</v>
      </c>
      <c r="Q40" s="379">
        <v>1</v>
      </c>
      <c r="R40" s="9">
        <v>0.5</v>
      </c>
      <c r="S40" s="379">
        <v>1</v>
      </c>
      <c r="T40" s="386"/>
      <c r="U40" s="393"/>
      <c r="V40" s="72"/>
      <c r="W40" s="401">
        <f t="shared" ref="W40:W43" si="2">AVERAGE(R40,P40,N40,L40,T40)</f>
        <v>0.63749999999999996</v>
      </c>
      <c r="X40" s="402">
        <f t="shared" ref="X40:X43" si="3">AVERAGE(O40,M40,S40,U40,Q40)</f>
        <v>1</v>
      </c>
    </row>
    <row r="41" spans="1:24" s="1" customFormat="1" ht="15" customHeight="1" x14ac:dyDescent="0.2">
      <c r="A41" s="308" t="s">
        <v>39</v>
      </c>
      <c r="B41" s="74"/>
      <c r="C41" s="28"/>
      <c r="D41" s="380"/>
      <c r="E41" s="381"/>
      <c r="F41" s="386"/>
      <c r="G41" s="381"/>
      <c r="H41" s="9"/>
      <c r="I41" s="381"/>
      <c r="J41" s="9"/>
      <c r="K41" s="381"/>
      <c r="L41" s="9"/>
      <c r="M41" s="381"/>
      <c r="N41" s="9"/>
      <c r="O41" s="381"/>
      <c r="P41" s="9"/>
      <c r="Q41" s="381"/>
      <c r="R41" s="9"/>
      <c r="S41" s="381"/>
      <c r="T41" s="386"/>
      <c r="U41" s="394"/>
      <c r="V41" s="72"/>
      <c r="W41" s="401"/>
      <c r="X41" s="402"/>
    </row>
    <row r="42" spans="1:24" s="1" customFormat="1" ht="15" customHeight="1" x14ac:dyDescent="0.2">
      <c r="A42" s="333" t="s">
        <v>37</v>
      </c>
      <c r="B42" s="352"/>
      <c r="C42" s="28">
        <v>13</v>
      </c>
      <c r="D42" s="378"/>
      <c r="E42" s="381">
        <v>15</v>
      </c>
      <c r="F42" s="378"/>
      <c r="G42" s="381">
        <v>20</v>
      </c>
      <c r="H42" s="378"/>
      <c r="I42" s="381">
        <v>21</v>
      </c>
      <c r="J42" s="388">
        <v>26</v>
      </c>
      <c r="K42" s="381">
        <v>26</v>
      </c>
      <c r="L42" s="388">
        <v>27</v>
      </c>
      <c r="M42" s="381">
        <v>27</v>
      </c>
      <c r="N42" s="388">
        <v>31</v>
      </c>
      <c r="O42" s="381">
        <v>31</v>
      </c>
      <c r="P42" s="388">
        <v>37</v>
      </c>
      <c r="Q42" s="381">
        <v>37</v>
      </c>
      <c r="R42" s="388">
        <v>32</v>
      </c>
      <c r="S42" s="381">
        <v>32</v>
      </c>
      <c r="T42" s="392"/>
      <c r="U42" s="394"/>
      <c r="V42" s="72"/>
      <c r="W42" s="401">
        <f t="shared" si="2"/>
        <v>31.75</v>
      </c>
      <c r="X42" s="402">
        <f t="shared" si="3"/>
        <v>31.75</v>
      </c>
    </row>
    <row r="43" spans="1:24" s="1" customFormat="1" ht="15" customHeight="1" thickBot="1" x14ac:dyDescent="0.25">
      <c r="A43" s="334" t="s">
        <v>38</v>
      </c>
      <c r="B43" s="352"/>
      <c r="C43" s="249">
        <v>2</v>
      </c>
      <c r="D43" s="378"/>
      <c r="E43" s="382">
        <v>2</v>
      </c>
      <c r="F43" s="378"/>
      <c r="G43" s="382">
        <v>2</v>
      </c>
      <c r="H43" s="378"/>
      <c r="I43" s="382">
        <v>1</v>
      </c>
      <c r="J43" s="389">
        <v>1.4</v>
      </c>
      <c r="K43" s="382">
        <v>2</v>
      </c>
      <c r="L43" s="390">
        <v>1.1000000000000001</v>
      </c>
      <c r="M43" s="382">
        <v>2</v>
      </c>
      <c r="N43" s="390">
        <v>2.15</v>
      </c>
      <c r="O43" s="382">
        <v>3</v>
      </c>
      <c r="P43" s="390">
        <v>2.4</v>
      </c>
      <c r="Q43" s="382">
        <v>3</v>
      </c>
      <c r="R43" s="390">
        <v>2.9</v>
      </c>
      <c r="S43" s="382">
        <v>4</v>
      </c>
      <c r="T43" s="395"/>
      <c r="U43" s="396"/>
      <c r="V43" s="72"/>
      <c r="W43" s="403">
        <f t="shared" si="2"/>
        <v>2.1374999999999997</v>
      </c>
      <c r="X43" s="404">
        <f t="shared" si="3"/>
        <v>3</v>
      </c>
    </row>
    <row r="44" spans="1:24" s="1" customFormat="1" ht="15" customHeight="1" thickBot="1" x14ac:dyDescent="0.25">
      <c r="A44" s="366" t="s">
        <v>22</v>
      </c>
      <c r="B44" s="367"/>
      <c r="C44" s="368">
        <f>SUM(C39:C43)</f>
        <v>35</v>
      </c>
      <c r="D44" s="383"/>
      <c r="E44" s="384">
        <f>SUM(E39:E43)</f>
        <v>33</v>
      </c>
      <c r="F44" s="387"/>
      <c r="G44" s="384">
        <f>SUM(G39:G43)</f>
        <v>33</v>
      </c>
      <c r="H44" s="387"/>
      <c r="I44" s="384">
        <f t="shared" ref="I44:S44" si="4">SUM(I39:I43)</f>
        <v>33</v>
      </c>
      <c r="J44" s="387">
        <f t="shared" si="4"/>
        <v>37.25</v>
      </c>
      <c r="K44" s="384">
        <f t="shared" si="4"/>
        <v>38</v>
      </c>
      <c r="L44" s="387">
        <f t="shared" si="4"/>
        <v>39.950000000000003</v>
      </c>
      <c r="M44" s="384">
        <f t="shared" si="4"/>
        <v>41</v>
      </c>
      <c r="N44" s="387">
        <f t="shared" si="4"/>
        <v>44.85</v>
      </c>
      <c r="O44" s="384">
        <f t="shared" si="4"/>
        <v>46</v>
      </c>
      <c r="P44" s="387">
        <f t="shared" si="4"/>
        <v>48.9</v>
      </c>
      <c r="Q44" s="384">
        <f t="shared" si="4"/>
        <v>50</v>
      </c>
      <c r="R44" s="387">
        <f t="shared" si="4"/>
        <v>53.4</v>
      </c>
      <c r="S44" s="384">
        <f t="shared" si="4"/>
        <v>55</v>
      </c>
      <c r="T44" s="387">
        <f t="shared" ref="T44:U44" si="5">SUM(T39:T43)</f>
        <v>0</v>
      </c>
      <c r="U44" s="397">
        <f t="shared" si="5"/>
        <v>0</v>
      </c>
      <c r="V44" s="72"/>
      <c r="W44" s="405">
        <f>AVERAGE(R44,P44,N44,L44,T44)</f>
        <v>37.42</v>
      </c>
      <c r="X44" s="406">
        <f>AVERAGE(O44,M44,S44,U44,Q44)</f>
        <v>38.4</v>
      </c>
    </row>
    <row r="45" spans="1:24" s="1" customFormat="1" ht="15" customHeight="1" thickBot="1" x14ac:dyDescent="0.25">
      <c r="A45" s="360" t="s">
        <v>40</v>
      </c>
      <c r="B45" s="361" t="s">
        <v>33</v>
      </c>
      <c r="C45" s="362" t="s">
        <v>41</v>
      </c>
      <c r="D45" s="361" t="s">
        <v>33</v>
      </c>
      <c r="E45" s="363" t="s">
        <v>41</v>
      </c>
      <c r="F45" s="364" t="s">
        <v>33</v>
      </c>
      <c r="G45" s="363" t="s">
        <v>41</v>
      </c>
      <c r="H45" s="364" t="s">
        <v>33</v>
      </c>
      <c r="I45" s="363" t="s">
        <v>41</v>
      </c>
      <c r="J45" s="364" t="s">
        <v>33</v>
      </c>
      <c r="K45" s="363" t="s">
        <v>41</v>
      </c>
      <c r="L45" s="364" t="s">
        <v>33</v>
      </c>
      <c r="M45" s="363" t="s">
        <v>41</v>
      </c>
      <c r="N45" s="364" t="s">
        <v>33</v>
      </c>
      <c r="O45" s="363" t="s">
        <v>41</v>
      </c>
      <c r="P45" s="364" t="s">
        <v>33</v>
      </c>
      <c r="Q45" s="363" t="s">
        <v>41</v>
      </c>
      <c r="R45" s="364" t="s">
        <v>33</v>
      </c>
      <c r="S45" s="363" t="s">
        <v>41</v>
      </c>
      <c r="T45" s="364" t="s">
        <v>33</v>
      </c>
      <c r="U45" s="365" t="s">
        <v>41</v>
      </c>
      <c r="V45" s="72"/>
      <c r="W45" s="398" t="s">
        <v>33</v>
      </c>
      <c r="X45" s="365" t="s">
        <v>41</v>
      </c>
    </row>
    <row r="46" spans="1:24" s="1" customFormat="1" ht="15" customHeight="1" x14ac:dyDescent="0.2">
      <c r="A46" s="312" t="s">
        <v>42</v>
      </c>
      <c r="B46" s="272">
        <v>21</v>
      </c>
      <c r="C46" s="313">
        <f t="shared" ref="C46:C53" si="6">B46/C$44</f>
        <v>0.6</v>
      </c>
      <c r="D46" s="272">
        <v>22</v>
      </c>
      <c r="E46" s="314">
        <f t="shared" ref="E46:K53" si="7">D46/E$44</f>
        <v>0.66666666666666663</v>
      </c>
      <c r="F46" s="272">
        <v>21</v>
      </c>
      <c r="G46" s="314">
        <f t="shared" si="7"/>
        <v>0.63636363636363635</v>
      </c>
      <c r="H46" s="272">
        <v>21</v>
      </c>
      <c r="I46" s="314">
        <f t="shared" ref="I46:I53" si="8">H46/I$44</f>
        <v>0.63636363636363635</v>
      </c>
      <c r="J46" s="272">
        <f>24+3</f>
        <v>27</v>
      </c>
      <c r="K46" s="314">
        <f t="shared" si="7"/>
        <v>0.71052631578947367</v>
      </c>
      <c r="L46" s="272">
        <v>28</v>
      </c>
      <c r="M46" s="314">
        <f t="shared" ref="M46:M51" si="9">L46/M$44</f>
        <v>0.68292682926829273</v>
      </c>
      <c r="N46" s="272">
        <v>27</v>
      </c>
      <c r="O46" s="314">
        <f t="shared" ref="O46:Q51" si="10">N46/O$44</f>
        <v>0.58695652173913049</v>
      </c>
      <c r="P46" s="272">
        <v>28</v>
      </c>
      <c r="Q46" s="314">
        <f t="shared" si="10"/>
        <v>0.56000000000000005</v>
      </c>
      <c r="R46" s="272">
        <v>30</v>
      </c>
      <c r="S46" s="314">
        <f t="shared" ref="S46:S51" si="11">R46/S$44</f>
        <v>0.54545454545454541</v>
      </c>
      <c r="T46" s="315"/>
      <c r="U46" s="316" t="e">
        <f t="shared" ref="U46:U51" si="12">T46/U$44</f>
        <v>#DIV/0!</v>
      </c>
      <c r="V46" s="117"/>
      <c r="W46" s="317">
        <f t="shared" ref="W46:W65" si="13">AVERAGE(R46,P46,N46,L46,T46)</f>
        <v>28.25</v>
      </c>
      <c r="X46" s="318" t="e">
        <f t="shared" ref="X46:X65" si="14">AVERAGE(O46,M46,S46,U46,Q46)</f>
        <v>#DIV/0!</v>
      </c>
    </row>
    <row r="47" spans="1:24" s="1" customFormat="1" ht="15" customHeight="1" x14ac:dyDescent="0.2">
      <c r="A47" s="120" t="s">
        <v>43</v>
      </c>
      <c r="B47" s="44">
        <v>0</v>
      </c>
      <c r="C47" s="113">
        <f t="shared" si="6"/>
        <v>0</v>
      </c>
      <c r="D47" s="44">
        <v>0</v>
      </c>
      <c r="E47" s="114">
        <f t="shared" si="7"/>
        <v>0</v>
      </c>
      <c r="F47" s="44">
        <v>0</v>
      </c>
      <c r="G47" s="114">
        <f t="shared" si="7"/>
        <v>0</v>
      </c>
      <c r="H47" s="44">
        <v>0</v>
      </c>
      <c r="I47" s="114">
        <f t="shared" si="8"/>
        <v>0</v>
      </c>
      <c r="J47" s="44">
        <f>0</f>
        <v>0</v>
      </c>
      <c r="K47" s="114">
        <f t="shared" si="7"/>
        <v>0</v>
      </c>
      <c r="L47" s="44">
        <v>0</v>
      </c>
      <c r="M47" s="114">
        <f t="shared" si="9"/>
        <v>0</v>
      </c>
      <c r="N47" s="44">
        <v>1</v>
      </c>
      <c r="O47" s="114">
        <f t="shared" si="10"/>
        <v>2.1739130434782608E-2</v>
      </c>
      <c r="P47" s="44">
        <v>1</v>
      </c>
      <c r="Q47" s="114">
        <f t="shared" si="10"/>
        <v>0.02</v>
      </c>
      <c r="R47" s="44">
        <v>1</v>
      </c>
      <c r="S47" s="114">
        <f t="shared" si="11"/>
        <v>1.8181818181818181E-2</v>
      </c>
      <c r="T47" s="115"/>
      <c r="U47" s="116" t="e">
        <f t="shared" si="12"/>
        <v>#DIV/0!</v>
      </c>
      <c r="V47" s="117"/>
      <c r="W47" s="118">
        <f t="shared" si="13"/>
        <v>0.75</v>
      </c>
      <c r="X47" s="318" t="e">
        <f t="shared" si="14"/>
        <v>#DIV/0!</v>
      </c>
    </row>
    <row r="48" spans="1:24" s="1" customFormat="1" ht="15" customHeight="1" x14ac:dyDescent="0.2">
      <c r="A48" s="120" t="s">
        <v>44</v>
      </c>
      <c r="B48" s="44">
        <v>1</v>
      </c>
      <c r="C48" s="113">
        <f t="shared" si="6"/>
        <v>2.8571428571428571E-2</v>
      </c>
      <c r="D48" s="44">
        <v>0</v>
      </c>
      <c r="E48" s="114">
        <f t="shared" si="7"/>
        <v>0</v>
      </c>
      <c r="F48" s="44">
        <v>0</v>
      </c>
      <c r="G48" s="114">
        <f t="shared" si="7"/>
        <v>0</v>
      </c>
      <c r="H48" s="44">
        <v>0</v>
      </c>
      <c r="I48" s="114">
        <f t="shared" si="8"/>
        <v>0</v>
      </c>
      <c r="J48" s="44">
        <f>0</f>
        <v>0</v>
      </c>
      <c r="K48" s="114">
        <f t="shared" si="7"/>
        <v>0</v>
      </c>
      <c r="L48" s="44">
        <v>0</v>
      </c>
      <c r="M48" s="114">
        <f t="shared" si="9"/>
        <v>0</v>
      </c>
      <c r="N48" s="44">
        <v>0</v>
      </c>
      <c r="O48" s="114">
        <f t="shared" si="10"/>
        <v>0</v>
      </c>
      <c r="P48" s="44">
        <v>0</v>
      </c>
      <c r="Q48" s="114">
        <f t="shared" si="10"/>
        <v>0</v>
      </c>
      <c r="R48" s="44">
        <v>1</v>
      </c>
      <c r="S48" s="114">
        <f t="shared" si="11"/>
        <v>1.8181818181818181E-2</v>
      </c>
      <c r="T48" s="115"/>
      <c r="U48" s="116" t="e">
        <f t="shared" si="12"/>
        <v>#DIV/0!</v>
      </c>
      <c r="V48" s="117"/>
      <c r="W48" s="118">
        <f t="shared" si="13"/>
        <v>0.25</v>
      </c>
      <c r="X48" s="318" t="e">
        <f t="shared" si="14"/>
        <v>#DIV/0!</v>
      </c>
    </row>
    <row r="49" spans="1:24" s="1" customFormat="1" ht="15" customHeight="1" x14ac:dyDescent="0.2">
      <c r="A49" s="120" t="s">
        <v>45</v>
      </c>
      <c r="B49" s="44">
        <v>0</v>
      </c>
      <c r="C49" s="113">
        <f t="shared" si="6"/>
        <v>0</v>
      </c>
      <c r="D49" s="44">
        <v>0</v>
      </c>
      <c r="E49" s="114">
        <f t="shared" si="7"/>
        <v>0</v>
      </c>
      <c r="F49" s="44">
        <v>0</v>
      </c>
      <c r="G49" s="114">
        <f t="shared" si="7"/>
        <v>0</v>
      </c>
      <c r="H49" s="44">
        <v>0</v>
      </c>
      <c r="I49" s="114">
        <f t="shared" si="8"/>
        <v>0</v>
      </c>
      <c r="J49" s="44">
        <f>0</f>
        <v>0</v>
      </c>
      <c r="K49" s="114">
        <f t="shared" si="7"/>
        <v>0</v>
      </c>
      <c r="L49" s="44">
        <v>0</v>
      </c>
      <c r="M49" s="114">
        <f t="shared" si="9"/>
        <v>0</v>
      </c>
      <c r="N49" s="44">
        <v>0</v>
      </c>
      <c r="O49" s="114">
        <f t="shared" si="10"/>
        <v>0</v>
      </c>
      <c r="P49" s="44">
        <v>0</v>
      </c>
      <c r="Q49" s="114">
        <f t="shared" si="10"/>
        <v>0</v>
      </c>
      <c r="R49" s="44">
        <v>0</v>
      </c>
      <c r="S49" s="114">
        <f t="shared" si="11"/>
        <v>0</v>
      </c>
      <c r="T49" s="115"/>
      <c r="U49" s="116" t="e">
        <f t="shared" si="12"/>
        <v>#DIV/0!</v>
      </c>
      <c r="V49" s="117"/>
      <c r="W49" s="118">
        <f t="shared" si="13"/>
        <v>0</v>
      </c>
      <c r="X49" s="318" t="e">
        <f t="shared" si="14"/>
        <v>#DIV/0!</v>
      </c>
    </row>
    <row r="50" spans="1:24" s="1" customFormat="1" ht="15" customHeight="1" x14ac:dyDescent="0.2">
      <c r="A50" s="120" t="s">
        <v>46</v>
      </c>
      <c r="B50" s="44">
        <v>8</v>
      </c>
      <c r="C50" s="113">
        <f t="shared" si="6"/>
        <v>0.22857142857142856</v>
      </c>
      <c r="D50" s="44">
        <v>7</v>
      </c>
      <c r="E50" s="114">
        <f t="shared" si="7"/>
        <v>0.21212121212121213</v>
      </c>
      <c r="F50" s="44">
        <v>8</v>
      </c>
      <c r="G50" s="114">
        <f t="shared" si="7"/>
        <v>0.24242424242424243</v>
      </c>
      <c r="H50" s="44">
        <v>9</v>
      </c>
      <c r="I50" s="114">
        <f t="shared" si="8"/>
        <v>0.27272727272727271</v>
      </c>
      <c r="J50" s="44">
        <f>9</f>
        <v>9</v>
      </c>
      <c r="K50" s="114">
        <f t="shared" si="7"/>
        <v>0.23684210526315788</v>
      </c>
      <c r="L50" s="44">
        <v>10</v>
      </c>
      <c r="M50" s="114">
        <f t="shared" si="9"/>
        <v>0.24390243902439024</v>
      </c>
      <c r="N50" s="44">
        <v>14</v>
      </c>
      <c r="O50" s="114">
        <f t="shared" si="10"/>
        <v>0.30434782608695654</v>
      </c>
      <c r="P50" s="44">
        <v>16</v>
      </c>
      <c r="Q50" s="114">
        <f t="shared" si="10"/>
        <v>0.32</v>
      </c>
      <c r="R50" s="44">
        <v>16</v>
      </c>
      <c r="S50" s="114">
        <f t="shared" si="11"/>
        <v>0.29090909090909089</v>
      </c>
      <c r="T50" s="115"/>
      <c r="U50" s="116" t="e">
        <f t="shared" si="12"/>
        <v>#DIV/0!</v>
      </c>
      <c r="V50" s="117"/>
      <c r="W50" s="118">
        <f t="shared" si="13"/>
        <v>14</v>
      </c>
      <c r="X50" s="318" t="e">
        <f t="shared" si="14"/>
        <v>#DIV/0!</v>
      </c>
    </row>
    <row r="51" spans="1:24" s="1" customFormat="1" ht="15" customHeight="1" x14ac:dyDescent="0.2">
      <c r="A51" s="120" t="s">
        <v>47</v>
      </c>
      <c r="B51" s="44">
        <v>5</v>
      </c>
      <c r="C51" s="113">
        <f t="shared" si="6"/>
        <v>0.14285714285714285</v>
      </c>
      <c r="D51" s="44">
        <v>4</v>
      </c>
      <c r="E51" s="114">
        <f t="shared" si="7"/>
        <v>0.12121212121212122</v>
      </c>
      <c r="F51" s="44">
        <v>4</v>
      </c>
      <c r="G51" s="114">
        <f t="shared" si="7"/>
        <v>0.12121212121212122</v>
      </c>
      <c r="H51" s="44">
        <v>3</v>
      </c>
      <c r="I51" s="114">
        <f t="shared" si="8"/>
        <v>9.0909090909090912E-2</v>
      </c>
      <c r="J51" s="44">
        <f>2</f>
        <v>2</v>
      </c>
      <c r="K51" s="114">
        <f t="shared" si="7"/>
        <v>5.2631578947368418E-2</v>
      </c>
      <c r="L51" s="44">
        <v>3</v>
      </c>
      <c r="M51" s="114">
        <f t="shared" si="9"/>
        <v>7.3170731707317069E-2</v>
      </c>
      <c r="N51" s="44">
        <v>4</v>
      </c>
      <c r="O51" s="114">
        <f t="shared" si="10"/>
        <v>8.6956521739130432E-2</v>
      </c>
      <c r="P51" s="44">
        <v>4</v>
      </c>
      <c r="Q51" s="114">
        <f t="shared" si="10"/>
        <v>0.08</v>
      </c>
      <c r="R51" s="44">
        <v>6</v>
      </c>
      <c r="S51" s="114">
        <f t="shared" si="11"/>
        <v>0.10909090909090909</v>
      </c>
      <c r="T51" s="115"/>
      <c r="U51" s="116" t="e">
        <f t="shared" si="12"/>
        <v>#DIV/0!</v>
      </c>
      <c r="V51" s="117"/>
      <c r="W51" s="118">
        <f t="shared" si="13"/>
        <v>4.25</v>
      </c>
      <c r="X51" s="318" t="e">
        <f t="shared" si="14"/>
        <v>#DIV/0!</v>
      </c>
    </row>
    <row r="52" spans="1:24" s="1" customFormat="1" ht="15" customHeight="1" x14ac:dyDescent="0.2">
      <c r="A52" s="120" t="s">
        <v>48</v>
      </c>
      <c r="B52" s="129"/>
      <c r="C52" s="113"/>
      <c r="D52" s="586"/>
      <c r="E52" s="587"/>
      <c r="F52" s="586"/>
      <c r="G52" s="587"/>
      <c r="H52" s="45">
        <v>0</v>
      </c>
      <c r="I52" s="114">
        <f t="shared" si="8"/>
        <v>0</v>
      </c>
      <c r="J52" s="45">
        <f>0</f>
        <v>0</v>
      </c>
      <c r="K52" s="114">
        <f>J52/K$44</f>
        <v>0</v>
      </c>
      <c r="L52" s="45">
        <v>0</v>
      </c>
      <c r="M52" s="114">
        <f>L52/M$44</f>
        <v>0</v>
      </c>
      <c r="N52" s="45">
        <v>0</v>
      </c>
      <c r="O52" s="114">
        <f>N52/O$44</f>
        <v>0</v>
      </c>
      <c r="P52" s="45">
        <v>1</v>
      </c>
      <c r="Q52" s="114">
        <f>P52/Q$44</f>
        <v>0.02</v>
      </c>
      <c r="R52" s="45">
        <v>1</v>
      </c>
      <c r="S52" s="114">
        <f>R52/S$44</f>
        <v>1.8181818181818181E-2</v>
      </c>
      <c r="T52" s="115"/>
      <c r="U52" s="116" t="e">
        <f>T52/U$44</f>
        <v>#DIV/0!</v>
      </c>
      <c r="V52" s="117"/>
      <c r="W52" s="118">
        <f t="shared" si="13"/>
        <v>0.5</v>
      </c>
      <c r="X52" s="318" t="e">
        <f t="shared" si="14"/>
        <v>#DIV/0!</v>
      </c>
    </row>
    <row r="53" spans="1:24" s="1" customFormat="1" ht="15" customHeight="1" thickBot="1" x14ac:dyDescent="0.25">
      <c r="A53" s="325" t="s">
        <v>49</v>
      </c>
      <c r="B53" s="281">
        <v>0</v>
      </c>
      <c r="C53" s="326">
        <f t="shared" si="6"/>
        <v>0</v>
      </c>
      <c r="D53" s="281">
        <v>0</v>
      </c>
      <c r="E53" s="327">
        <f t="shared" si="7"/>
        <v>0</v>
      </c>
      <c r="F53" s="281">
        <v>0</v>
      </c>
      <c r="G53" s="327">
        <f t="shared" si="7"/>
        <v>0</v>
      </c>
      <c r="H53" s="281">
        <v>0</v>
      </c>
      <c r="I53" s="327">
        <f t="shared" si="8"/>
        <v>0</v>
      </c>
      <c r="J53" s="281">
        <f>0</f>
        <v>0</v>
      </c>
      <c r="K53" s="327">
        <f t="shared" si="7"/>
        <v>0</v>
      </c>
      <c r="L53" s="281">
        <v>0</v>
      </c>
      <c r="M53" s="327">
        <f>L53/M$44</f>
        <v>0</v>
      </c>
      <c r="N53" s="281">
        <v>0</v>
      </c>
      <c r="O53" s="327">
        <f>N53/O$44</f>
        <v>0</v>
      </c>
      <c r="P53" s="281">
        <v>0</v>
      </c>
      <c r="Q53" s="327">
        <f>P53/Q$44</f>
        <v>0</v>
      </c>
      <c r="R53" s="281">
        <v>0</v>
      </c>
      <c r="S53" s="327">
        <f>R53/S$44</f>
        <v>0</v>
      </c>
      <c r="T53" s="328"/>
      <c r="U53" s="329" t="e">
        <f>T53/U$44</f>
        <v>#DIV/0!</v>
      </c>
      <c r="V53" s="117"/>
      <c r="W53" s="330">
        <f t="shared" si="13"/>
        <v>0</v>
      </c>
      <c r="X53" s="331" t="e">
        <f t="shared" si="14"/>
        <v>#DIV/0!</v>
      </c>
    </row>
    <row r="54" spans="1:24" s="1" customFormat="1" ht="15" customHeight="1" x14ac:dyDescent="0.2">
      <c r="A54" s="307" t="s">
        <v>50</v>
      </c>
      <c r="B54" s="319"/>
      <c r="C54" s="320"/>
      <c r="D54" s="319"/>
      <c r="E54" s="321"/>
      <c r="F54" s="319"/>
      <c r="G54" s="321"/>
      <c r="H54" s="319"/>
      <c r="I54" s="321"/>
      <c r="J54" s="319"/>
      <c r="K54" s="321"/>
      <c r="L54" s="319"/>
      <c r="M54" s="321"/>
      <c r="N54" s="319"/>
      <c r="O54" s="321"/>
      <c r="P54" s="319"/>
      <c r="Q54" s="321"/>
      <c r="R54" s="319"/>
      <c r="S54" s="321"/>
      <c r="T54" s="322"/>
      <c r="U54" s="323"/>
      <c r="V54" s="117"/>
      <c r="W54" s="317"/>
      <c r="X54" s="318"/>
    </row>
    <row r="55" spans="1:24" s="1" customFormat="1" ht="15" customHeight="1" x14ac:dyDescent="0.2">
      <c r="A55" s="110" t="s">
        <v>51</v>
      </c>
      <c r="B55" s="40">
        <v>28</v>
      </c>
      <c r="C55" s="113">
        <f>B55/C$44</f>
        <v>0.8</v>
      </c>
      <c r="D55" s="40">
        <v>28</v>
      </c>
      <c r="E55" s="114">
        <f>D55/E$44</f>
        <v>0.84848484848484851</v>
      </c>
      <c r="F55" s="40">
        <v>27</v>
      </c>
      <c r="G55" s="114">
        <f>F55/G$44</f>
        <v>0.81818181818181823</v>
      </c>
      <c r="H55" s="40">
        <v>27</v>
      </c>
      <c r="I55" s="114">
        <f>H55/I$44</f>
        <v>0.81818181818181823</v>
      </c>
      <c r="J55" s="40">
        <f>25+3</f>
        <v>28</v>
      </c>
      <c r="K55" s="114">
        <f>J55/K$44</f>
        <v>0.73684210526315785</v>
      </c>
      <c r="L55" s="40">
        <v>30</v>
      </c>
      <c r="M55" s="114">
        <f>L55/M$44</f>
        <v>0.73170731707317072</v>
      </c>
      <c r="N55" s="40">
        <v>31</v>
      </c>
      <c r="O55" s="114">
        <f>N55/O$44</f>
        <v>0.67391304347826086</v>
      </c>
      <c r="P55" s="40">
        <v>33</v>
      </c>
      <c r="Q55" s="114">
        <f>P55/Q$44</f>
        <v>0.66</v>
      </c>
      <c r="R55" s="40">
        <f>4+29</f>
        <v>33</v>
      </c>
      <c r="S55" s="114">
        <f>R55/S$44</f>
        <v>0.6</v>
      </c>
      <c r="T55" s="76"/>
      <c r="U55" s="116" t="e">
        <f>T55/U$44</f>
        <v>#DIV/0!</v>
      </c>
      <c r="V55" s="117"/>
      <c r="W55" s="118">
        <f t="shared" si="13"/>
        <v>31.75</v>
      </c>
      <c r="X55" s="318" t="e">
        <f t="shared" si="14"/>
        <v>#DIV/0!</v>
      </c>
    </row>
    <row r="56" spans="1:24" s="1" customFormat="1" ht="15" customHeight="1" thickBot="1" x14ac:dyDescent="0.25">
      <c r="A56" s="325" t="s">
        <v>52</v>
      </c>
      <c r="B56" s="284">
        <v>7</v>
      </c>
      <c r="C56" s="326">
        <f>B56/C$44</f>
        <v>0.2</v>
      </c>
      <c r="D56" s="284">
        <v>5</v>
      </c>
      <c r="E56" s="327">
        <f>D56/E$44</f>
        <v>0.15151515151515152</v>
      </c>
      <c r="F56" s="284">
        <v>6</v>
      </c>
      <c r="G56" s="327">
        <f>F56/G$44</f>
        <v>0.18181818181818182</v>
      </c>
      <c r="H56" s="284">
        <v>6</v>
      </c>
      <c r="I56" s="327">
        <f>H56/I$44</f>
        <v>0.18181818181818182</v>
      </c>
      <c r="J56" s="284">
        <f>10</f>
        <v>10</v>
      </c>
      <c r="K56" s="327">
        <f>J56/K$44</f>
        <v>0.26315789473684209</v>
      </c>
      <c r="L56" s="284">
        <v>11</v>
      </c>
      <c r="M56" s="327">
        <f>L56/M$44</f>
        <v>0.26829268292682928</v>
      </c>
      <c r="N56" s="284">
        <v>15</v>
      </c>
      <c r="O56" s="327">
        <f>N56/O$44</f>
        <v>0.32608695652173914</v>
      </c>
      <c r="P56" s="284">
        <v>17</v>
      </c>
      <c r="Q56" s="327">
        <f>P56/Q$44</f>
        <v>0.34</v>
      </c>
      <c r="R56" s="284">
        <f>1+21</f>
        <v>22</v>
      </c>
      <c r="S56" s="327">
        <f>R56/S$44</f>
        <v>0.4</v>
      </c>
      <c r="T56" s="332"/>
      <c r="U56" s="329" t="e">
        <f>T56/U$44</f>
        <v>#DIV/0!</v>
      </c>
      <c r="V56" s="117"/>
      <c r="W56" s="330">
        <f t="shared" si="13"/>
        <v>16.25</v>
      </c>
      <c r="X56" s="331" t="e">
        <f t="shared" si="14"/>
        <v>#DIV/0!</v>
      </c>
    </row>
    <row r="57" spans="1:24" s="1" customFormat="1" ht="15" customHeight="1" x14ac:dyDescent="0.2">
      <c r="A57" s="307" t="s">
        <v>53</v>
      </c>
      <c r="B57" s="277"/>
      <c r="C57" s="313"/>
      <c r="D57" s="277"/>
      <c r="E57" s="314"/>
      <c r="F57" s="277"/>
      <c r="G57" s="314"/>
      <c r="H57" s="277"/>
      <c r="I57" s="314"/>
      <c r="J57" s="277"/>
      <c r="K57" s="314"/>
      <c r="L57" s="277"/>
      <c r="M57" s="314"/>
      <c r="N57" s="277"/>
      <c r="O57" s="314"/>
      <c r="P57" s="277"/>
      <c r="Q57" s="314"/>
      <c r="R57" s="277"/>
      <c r="S57" s="314"/>
      <c r="T57" s="324"/>
      <c r="U57" s="316"/>
      <c r="V57" s="117"/>
      <c r="W57" s="317"/>
      <c r="X57" s="318"/>
    </row>
    <row r="58" spans="1:24" s="1" customFormat="1" ht="15" customHeight="1" x14ac:dyDescent="0.2">
      <c r="A58" s="110" t="s">
        <v>54</v>
      </c>
      <c r="B58" s="41">
        <v>21</v>
      </c>
      <c r="C58" s="113">
        <f>B58/C$44</f>
        <v>0.6</v>
      </c>
      <c r="D58" s="41">
        <v>20</v>
      </c>
      <c r="E58" s="114">
        <f>D58/E$44</f>
        <v>0.60606060606060608</v>
      </c>
      <c r="F58" s="41">
        <v>20</v>
      </c>
      <c r="G58" s="114">
        <f>F58/G$44</f>
        <v>0.60606060606060608</v>
      </c>
      <c r="H58" s="41">
        <v>21</v>
      </c>
      <c r="I58" s="114">
        <f>H58/I$44</f>
        <v>0.63636363636363635</v>
      </c>
      <c r="J58" s="41">
        <f>22+2</f>
        <v>24</v>
      </c>
      <c r="K58" s="114">
        <f>J58/K$44</f>
        <v>0.63157894736842102</v>
      </c>
      <c r="L58" s="41">
        <v>28</v>
      </c>
      <c r="M58" s="114">
        <f>L58/M$44</f>
        <v>0.68292682926829273</v>
      </c>
      <c r="N58" s="41">
        <v>27</v>
      </c>
      <c r="O58" s="114">
        <f>N58/O$44</f>
        <v>0.58695652173913049</v>
      </c>
      <c r="P58" s="41">
        <v>26</v>
      </c>
      <c r="Q58" s="114">
        <f>P58/Q$44</f>
        <v>0.52</v>
      </c>
      <c r="R58" s="41">
        <v>26</v>
      </c>
      <c r="S58" s="114">
        <f>R58/S$44</f>
        <v>0.47272727272727272</v>
      </c>
      <c r="T58" s="121"/>
      <c r="U58" s="116" t="e">
        <f>T58/U$44</f>
        <v>#DIV/0!</v>
      </c>
      <c r="V58" s="117"/>
      <c r="W58" s="118">
        <f t="shared" si="13"/>
        <v>26.75</v>
      </c>
      <c r="X58" s="318" t="e">
        <f t="shared" si="14"/>
        <v>#DIV/0!</v>
      </c>
    </row>
    <row r="59" spans="1:24" s="1" customFormat="1" ht="15" customHeight="1" x14ac:dyDescent="0.2">
      <c r="A59" s="110" t="s">
        <v>55</v>
      </c>
      <c r="B59" s="41">
        <v>8</v>
      </c>
      <c r="C59" s="113">
        <f>B59/C$44</f>
        <v>0.22857142857142856</v>
      </c>
      <c r="D59" s="41">
        <v>9</v>
      </c>
      <c r="E59" s="114">
        <f>D59/E$44</f>
        <v>0.27272727272727271</v>
      </c>
      <c r="F59" s="41">
        <v>8</v>
      </c>
      <c r="G59" s="114">
        <f>F59/G$44</f>
        <v>0.24242424242424243</v>
      </c>
      <c r="H59" s="41">
        <v>8</v>
      </c>
      <c r="I59" s="114">
        <f>H59/I$44</f>
        <v>0.24242424242424243</v>
      </c>
      <c r="J59" s="41">
        <f>6</f>
        <v>6</v>
      </c>
      <c r="K59" s="114">
        <f>J59/K$44</f>
        <v>0.15789473684210525</v>
      </c>
      <c r="L59" s="41">
        <v>3</v>
      </c>
      <c r="M59" s="114">
        <f>L59/M$44</f>
        <v>7.3170731707317069E-2</v>
      </c>
      <c r="N59" s="41">
        <v>4</v>
      </c>
      <c r="O59" s="114">
        <f>N59/O$44</f>
        <v>8.6956521739130432E-2</v>
      </c>
      <c r="P59" s="41">
        <v>5</v>
      </c>
      <c r="Q59" s="114">
        <f>P59/Q$44</f>
        <v>0.1</v>
      </c>
      <c r="R59" s="41">
        <v>8</v>
      </c>
      <c r="S59" s="114">
        <f>R59/S$44</f>
        <v>0.14545454545454545</v>
      </c>
      <c r="T59" s="121"/>
      <c r="U59" s="116" t="e">
        <f>T59/U$44</f>
        <v>#DIV/0!</v>
      </c>
      <c r="V59" s="117"/>
      <c r="W59" s="118">
        <f t="shared" si="13"/>
        <v>5</v>
      </c>
      <c r="X59" s="318" t="e">
        <f t="shared" si="14"/>
        <v>#DIV/0!</v>
      </c>
    </row>
    <row r="60" spans="1:24" s="1" customFormat="1" ht="15" customHeight="1" thickBot="1" x14ac:dyDescent="0.25">
      <c r="A60" s="325" t="s">
        <v>56</v>
      </c>
      <c r="B60" s="284">
        <v>6</v>
      </c>
      <c r="C60" s="326">
        <f>B60/C$44</f>
        <v>0.17142857142857143</v>
      </c>
      <c r="D60" s="284">
        <v>4</v>
      </c>
      <c r="E60" s="327">
        <f>D60/E$44</f>
        <v>0.12121212121212122</v>
      </c>
      <c r="F60" s="284">
        <v>5</v>
      </c>
      <c r="G60" s="327">
        <f>F60/G$44</f>
        <v>0.15151515151515152</v>
      </c>
      <c r="H60" s="284">
        <v>4</v>
      </c>
      <c r="I60" s="327">
        <f>H60/I$44</f>
        <v>0.12121212121212122</v>
      </c>
      <c r="J60" s="284">
        <f>7+1</f>
        <v>8</v>
      </c>
      <c r="K60" s="327">
        <f>J60/K$44</f>
        <v>0.21052631578947367</v>
      </c>
      <c r="L60" s="284">
        <v>10</v>
      </c>
      <c r="M60" s="327">
        <f>L60/M$44</f>
        <v>0.24390243902439024</v>
      </c>
      <c r="N60" s="284">
        <v>15</v>
      </c>
      <c r="O60" s="327">
        <f>N60/O$44</f>
        <v>0.32608695652173914</v>
      </c>
      <c r="P60" s="284">
        <v>19</v>
      </c>
      <c r="Q60" s="327">
        <f>P60/Q$44</f>
        <v>0.38</v>
      </c>
      <c r="R60" s="284">
        <v>21</v>
      </c>
      <c r="S60" s="327">
        <f>R60/S$44</f>
        <v>0.38181818181818183</v>
      </c>
      <c r="T60" s="332"/>
      <c r="U60" s="329" t="e">
        <f>T60/U$44</f>
        <v>#DIV/0!</v>
      </c>
      <c r="V60" s="117"/>
      <c r="W60" s="330">
        <f t="shared" si="13"/>
        <v>16.25</v>
      </c>
      <c r="X60" s="331" t="e">
        <f t="shared" si="14"/>
        <v>#DIV/0!</v>
      </c>
    </row>
    <row r="61" spans="1:24" s="1" customFormat="1" ht="15" customHeight="1" x14ac:dyDescent="0.2">
      <c r="A61" s="307" t="s">
        <v>57</v>
      </c>
      <c r="B61" s="277"/>
      <c r="C61" s="313"/>
      <c r="D61" s="277"/>
      <c r="E61" s="314"/>
      <c r="F61" s="277"/>
      <c r="G61" s="314"/>
      <c r="H61" s="277"/>
      <c r="I61" s="314"/>
      <c r="J61" s="277"/>
      <c r="K61" s="314"/>
      <c r="L61" s="277"/>
      <c r="M61" s="314"/>
      <c r="N61" s="277"/>
      <c r="O61" s="314"/>
      <c r="P61" s="277"/>
      <c r="Q61" s="314"/>
      <c r="R61" s="277"/>
      <c r="S61" s="314"/>
      <c r="T61" s="324"/>
      <c r="U61" s="316"/>
      <c r="V61" s="117"/>
      <c r="W61" s="317"/>
      <c r="X61" s="318"/>
    </row>
    <row r="62" spans="1:24" s="1" customFormat="1" ht="15" customHeight="1" x14ac:dyDescent="0.2">
      <c r="A62" s="110" t="s">
        <v>58</v>
      </c>
      <c r="B62" s="41">
        <v>35</v>
      </c>
      <c r="C62" s="113">
        <f>B62/C$44</f>
        <v>1</v>
      </c>
      <c r="D62" s="41">
        <v>33</v>
      </c>
      <c r="E62" s="114">
        <f>D62/E$44</f>
        <v>1</v>
      </c>
      <c r="F62" s="41">
        <v>33</v>
      </c>
      <c r="G62" s="114">
        <f>F62/G$44</f>
        <v>1</v>
      </c>
      <c r="H62" s="41">
        <v>33</v>
      </c>
      <c r="I62" s="114">
        <f>H62/I$44</f>
        <v>1</v>
      </c>
      <c r="J62" s="41">
        <f>34+3</f>
        <v>37</v>
      </c>
      <c r="K62" s="114">
        <f>J62/K$44</f>
        <v>0.97368421052631582</v>
      </c>
      <c r="L62" s="41">
        <v>40</v>
      </c>
      <c r="M62" s="114">
        <f>L62/M$44</f>
        <v>0.97560975609756095</v>
      </c>
      <c r="N62" s="41">
        <v>46</v>
      </c>
      <c r="O62" s="114">
        <f>N62/O$44</f>
        <v>1</v>
      </c>
      <c r="P62" s="41">
        <v>50</v>
      </c>
      <c r="Q62" s="114">
        <f>P62/Q$44</f>
        <v>1</v>
      </c>
      <c r="R62" s="41">
        <v>55</v>
      </c>
      <c r="S62" s="114">
        <f>R62/S$44</f>
        <v>1</v>
      </c>
      <c r="T62" s="121"/>
      <c r="U62" s="116" t="e">
        <f>T62/U$44</f>
        <v>#DIV/0!</v>
      </c>
      <c r="V62" s="117"/>
      <c r="W62" s="118">
        <f t="shared" si="13"/>
        <v>47.75</v>
      </c>
      <c r="X62" s="318" t="e">
        <f t="shared" si="14"/>
        <v>#DIV/0!</v>
      </c>
    </row>
    <row r="63" spans="1:24" s="1" customFormat="1" ht="15" customHeight="1" x14ac:dyDescent="0.2">
      <c r="A63" s="110" t="s">
        <v>59</v>
      </c>
      <c r="B63" s="41">
        <v>0</v>
      </c>
      <c r="C63" s="113">
        <f>B63/C$44</f>
        <v>0</v>
      </c>
      <c r="D63" s="41">
        <v>0</v>
      </c>
      <c r="E63" s="114">
        <f>D63/E$44</f>
        <v>0</v>
      </c>
      <c r="F63" s="41">
        <v>0</v>
      </c>
      <c r="G63" s="114">
        <f>F63/G$44</f>
        <v>0</v>
      </c>
      <c r="H63" s="41">
        <v>0</v>
      </c>
      <c r="I63" s="114">
        <f>H63/I$44</f>
        <v>0</v>
      </c>
      <c r="J63" s="41">
        <f>1</f>
        <v>1</v>
      </c>
      <c r="K63" s="114">
        <f>J63/K$44</f>
        <v>2.6315789473684209E-2</v>
      </c>
      <c r="L63" s="41">
        <v>1</v>
      </c>
      <c r="M63" s="114">
        <f>L63/M$44</f>
        <v>2.4390243902439025E-2</v>
      </c>
      <c r="N63" s="41">
        <v>0</v>
      </c>
      <c r="O63" s="114">
        <f>N63/O$44</f>
        <v>0</v>
      </c>
      <c r="P63" s="41">
        <v>0</v>
      </c>
      <c r="Q63" s="114">
        <f>P63/Q$44</f>
        <v>0</v>
      </c>
      <c r="R63" s="41">
        <v>0</v>
      </c>
      <c r="S63" s="114">
        <f>R63/S$44</f>
        <v>0</v>
      </c>
      <c r="T63" s="121"/>
      <c r="U63" s="116" t="e">
        <f>T63/U$44</f>
        <v>#DIV/0!</v>
      </c>
      <c r="V63" s="117"/>
      <c r="W63" s="118">
        <f t="shared" si="13"/>
        <v>0.25</v>
      </c>
      <c r="X63" s="318" t="e">
        <f t="shared" si="14"/>
        <v>#DIV/0!</v>
      </c>
    </row>
    <row r="64" spans="1:24" s="1" customFormat="1" ht="15" customHeight="1" x14ac:dyDescent="0.2">
      <c r="A64" s="110" t="s">
        <v>60</v>
      </c>
      <c r="B64" s="41">
        <v>0</v>
      </c>
      <c r="C64" s="113">
        <f>B64/C$44</f>
        <v>0</v>
      </c>
      <c r="D64" s="41">
        <v>0</v>
      </c>
      <c r="E64" s="114">
        <f>D64/E$44</f>
        <v>0</v>
      </c>
      <c r="F64" s="41">
        <v>0</v>
      </c>
      <c r="G64" s="114">
        <f>F64/G$44</f>
        <v>0</v>
      </c>
      <c r="H64" s="41">
        <v>0</v>
      </c>
      <c r="I64" s="114">
        <f>H64/I$44</f>
        <v>0</v>
      </c>
      <c r="J64" s="41">
        <f>0</f>
        <v>0</v>
      </c>
      <c r="K64" s="114">
        <f>J64/K$44</f>
        <v>0</v>
      </c>
      <c r="L64" s="41">
        <v>0</v>
      </c>
      <c r="M64" s="114">
        <f>L64/M$44</f>
        <v>0</v>
      </c>
      <c r="N64" s="41">
        <v>0</v>
      </c>
      <c r="O64" s="114">
        <f>N64/O$44</f>
        <v>0</v>
      </c>
      <c r="P64" s="41">
        <v>0</v>
      </c>
      <c r="Q64" s="114">
        <f>P64/Q$44</f>
        <v>0</v>
      </c>
      <c r="R64" s="41">
        <v>0</v>
      </c>
      <c r="S64" s="114">
        <f>R64/S$44</f>
        <v>0</v>
      </c>
      <c r="T64" s="121"/>
      <c r="U64" s="116" t="e">
        <f>T64/U$44</f>
        <v>#DIV/0!</v>
      </c>
      <c r="V64" s="72"/>
      <c r="W64" s="118">
        <f t="shared" si="13"/>
        <v>0</v>
      </c>
      <c r="X64" s="318" t="e">
        <f t="shared" si="14"/>
        <v>#DIV/0!</v>
      </c>
    </row>
    <row r="65" spans="1:24" s="1" customFormat="1" ht="15" customHeight="1" thickBot="1" x14ac:dyDescent="0.25">
      <c r="A65" s="122" t="s">
        <v>61</v>
      </c>
      <c r="B65" s="46">
        <v>0</v>
      </c>
      <c r="C65" s="123">
        <f>B65/C$44</f>
        <v>0</v>
      </c>
      <c r="D65" s="46">
        <v>0</v>
      </c>
      <c r="E65" s="124">
        <f>D65/E$44</f>
        <v>0</v>
      </c>
      <c r="F65" s="46">
        <v>0</v>
      </c>
      <c r="G65" s="124">
        <f>F65/G$44</f>
        <v>0</v>
      </c>
      <c r="H65" s="46">
        <v>0</v>
      </c>
      <c r="I65" s="124">
        <f>H65/I$44</f>
        <v>0</v>
      </c>
      <c r="J65" s="46">
        <f>0</f>
        <v>0</v>
      </c>
      <c r="K65" s="124">
        <f>J65/K$44</f>
        <v>0</v>
      </c>
      <c r="L65" s="46">
        <v>0</v>
      </c>
      <c r="M65" s="124">
        <f>L65/M$44</f>
        <v>0</v>
      </c>
      <c r="N65" s="46">
        <v>0</v>
      </c>
      <c r="O65" s="124">
        <f>N65/O$44</f>
        <v>0</v>
      </c>
      <c r="P65" s="46">
        <v>0</v>
      </c>
      <c r="Q65" s="124">
        <f>P65/Q$44</f>
        <v>0</v>
      </c>
      <c r="R65" s="46">
        <v>0</v>
      </c>
      <c r="S65" s="124">
        <f>R65/S$44</f>
        <v>0</v>
      </c>
      <c r="T65" s="125"/>
      <c r="U65" s="126" t="e">
        <f>T65/U$44</f>
        <v>#DIV/0!</v>
      </c>
      <c r="V65" s="72"/>
      <c r="W65" s="127">
        <f t="shared" si="13"/>
        <v>0</v>
      </c>
      <c r="X65" s="128" t="e">
        <f t="shared" si="14"/>
        <v>#DIV/0!</v>
      </c>
    </row>
    <row r="66" spans="1:24" ht="15" customHeight="1" thickTop="1" x14ac:dyDescent="0.2">
      <c r="A66" s="165" t="s">
        <v>100</v>
      </c>
    </row>
    <row r="67" spans="1:24" ht="15" customHeight="1" x14ac:dyDescent="0.2">
      <c r="A67" s="1"/>
      <c r="H67" s="32" t="s">
        <v>14</v>
      </c>
      <c r="J67" s="32" t="s">
        <v>14</v>
      </c>
      <c r="L67" s="32" t="s">
        <v>14</v>
      </c>
      <c r="N67" s="32" t="s">
        <v>14</v>
      </c>
      <c r="P67" s="32" t="s">
        <v>14</v>
      </c>
      <c r="R67" s="32" t="s">
        <v>14</v>
      </c>
      <c r="T67" s="32" t="s">
        <v>14</v>
      </c>
    </row>
    <row r="68" spans="1:24" ht="15" customHeight="1" x14ac:dyDescent="0.2">
      <c r="A68" s="1"/>
    </row>
    <row r="69" spans="1:24" x14ac:dyDescent="0.2">
      <c r="A69" s="1"/>
    </row>
    <row r="70" spans="1:24" x14ac:dyDescent="0.2">
      <c r="A70" s="1"/>
    </row>
    <row r="71" spans="1:24" x14ac:dyDescent="0.2">
      <c r="A71" s="1"/>
    </row>
    <row r="72" spans="1:24" x14ac:dyDescent="0.2">
      <c r="A72" s="1"/>
    </row>
    <row r="73" spans="1:24" x14ac:dyDescent="0.2">
      <c r="A73" s="1"/>
    </row>
    <row r="74" spans="1:24" x14ac:dyDescent="0.2">
      <c r="A74" s="1"/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</sheetData>
  <mergeCells count="66">
    <mergeCell ref="N27:O27"/>
    <mergeCell ref="P27:Q27"/>
    <mergeCell ref="R27:S27"/>
    <mergeCell ref="W27:X27"/>
    <mergeCell ref="L27:M27"/>
    <mergeCell ref="T27:U27"/>
    <mergeCell ref="B27:C27"/>
    <mergeCell ref="D27:E27"/>
    <mergeCell ref="F27:G27"/>
    <mergeCell ref="H27:I27"/>
    <mergeCell ref="J27:K27"/>
    <mergeCell ref="L24:M24"/>
    <mergeCell ref="N24:O24"/>
    <mergeCell ref="P24:Q24"/>
    <mergeCell ref="R24:S24"/>
    <mergeCell ref="W24:X24"/>
    <mergeCell ref="T24:U24"/>
    <mergeCell ref="B24:C24"/>
    <mergeCell ref="D24:E24"/>
    <mergeCell ref="F24:G24"/>
    <mergeCell ref="H24:I24"/>
    <mergeCell ref="J24:K24"/>
    <mergeCell ref="L17:M17"/>
    <mergeCell ref="N17:O17"/>
    <mergeCell ref="P17:Q17"/>
    <mergeCell ref="R17:S17"/>
    <mergeCell ref="W17:X17"/>
    <mergeCell ref="T17:U17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W15:X15"/>
    <mergeCell ref="T15:U15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N32:O32"/>
    <mergeCell ref="P32:Q32"/>
    <mergeCell ref="R32:S32"/>
    <mergeCell ref="W32:X32"/>
    <mergeCell ref="B32:C32"/>
    <mergeCell ref="D32:E32"/>
    <mergeCell ref="F32:G32"/>
    <mergeCell ref="H32:I32"/>
    <mergeCell ref="J32:K32"/>
    <mergeCell ref="L32:M32"/>
    <mergeCell ref="T32:U32"/>
  </mergeCells>
  <pageMargins left="0.75" right="0.75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0" max="21" man="1"/>
  </rowBreaks>
  <colBreaks count="1" manualBreakCount="1">
    <brk id="21" min="8" max="64" man="1"/>
  </colBreaks>
  <ignoredErrors>
    <ignoredError sqref="J53:J67 R55:R57 J51:J52 J46:J5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07"/>
  <sheetViews>
    <sheetView view="pageBreakPreview" zoomScaleNormal="100" zoomScaleSheetLayoutView="100" workbookViewId="0">
      <pane xSplit="1" ySplit="10" topLeftCell="D11" activePane="bottomRight" state="frozen"/>
      <selection activeCell="T4" sqref="T4"/>
      <selection pane="topRight" activeCell="T4" sqref="T4"/>
      <selection pane="bottomLeft" activeCell="T4" sqref="T4"/>
      <selection pane="bottomRight" activeCell="T4" sqref="T4"/>
    </sheetView>
  </sheetViews>
  <sheetFormatPr defaultColWidth="10.28515625" defaultRowHeight="12.75" x14ac:dyDescent="0.2"/>
  <cols>
    <col min="1" max="1" width="32.42578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s="1" customFormat="1" ht="15.75" x14ac:dyDescent="0.25">
      <c r="A1" s="236" t="s">
        <v>90</v>
      </c>
      <c r="B1"/>
      <c r="C1"/>
      <c r="D1"/>
      <c r="E1"/>
      <c r="F1" s="237"/>
      <c r="G1" s="237"/>
      <c r="H1" s="237"/>
      <c r="I1" s="237"/>
    </row>
    <row r="2" spans="1:24" s="1" customFormat="1" ht="15.75" x14ac:dyDescent="0.25">
      <c r="A2" s="236" t="s">
        <v>91</v>
      </c>
      <c r="B2"/>
      <c r="C2"/>
      <c r="D2"/>
      <c r="E2"/>
      <c r="F2" s="237"/>
      <c r="G2" s="237"/>
      <c r="H2" s="237"/>
      <c r="I2" s="237"/>
    </row>
    <row r="3" spans="1:24" s="1" customFormat="1" ht="5.25" customHeight="1" x14ac:dyDescent="0.25">
      <c r="A3" s="236"/>
      <c r="B3"/>
      <c r="C3"/>
      <c r="D3"/>
      <c r="E3"/>
      <c r="F3" s="237"/>
      <c r="G3" s="237"/>
      <c r="H3" s="237"/>
      <c r="I3" s="237"/>
    </row>
    <row r="4" spans="1:24" s="1" customFormat="1" ht="15.75" x14ac:dyDescent="0.25">
      <c r="A4" s="238" t="s">
        <v>92</v>
      </c>
      <c r="B4"/>
      <c r="C4"/>
      <c r="D4"/>
      <c r="E4"/>
      <c r="F4" s="237"/>
      <c r="G4" s="237"/>
      <c r="H4" s="237"/>
      <c r="I4" s="237"/>
    </row>
    <row r="5" spans="1:24" s="1" customFormat="1" ht="6" customHeight="1" x14ac:dyDescent="0.25">
      <c r="A5" s="238"/>
      <c r="B5"/>
      <c r="C5"/>
      <c r="D5"/>
      <c r="E5"/>
      <c r="F5" s="237"/>
      <c r="G5" s="237"/>
      <c r="H5" s="237"/>
      <c r="I5" s="237"/>
    </row>
    <row r="6" spans="1:24" s="1" customFormat="1" x14ac:dyDescent="0.2">
      <c r="A6" s="244" t="s">
        <v>94</v>
      </c>
      <c r="F6" s="239"/>
      <c r="G6" s="239"/>
      <c r="H6" s="239"/>
      <c r="I6" s="239"/>
    </row>
    <row r="7" spans="1:24" s="1" customFormat="1" x14ac:dyDescent="0.2">
      <c r="A7" s="245">
        <v>3670080050</v>
      </c>
      <c r="F7" s="239"/>
      <c r="G7" s="239"/>
      <c r="H7" s="239"/>
      <c r="I7" s="239"/>
    </row>
    <row r="8" spans="1:24" s="1" customFormat="1" ht="12" x14ac:dyDescent="0.2">
      <c r="A8" s="243" t="s">
        <v>95</v>
      </c>
      <c r="F8" s="239"/>
      <c r="G8" s="239"/>
      <c r="H8" s="239"/>
      <c r="I8" s="239"/>
    </row>
    <row r="9" spans="1:24" s="1" customFormat="1" thickBot="1" x14ac:dyDescent="0.25">
      <c r="A9" s="243"/>
      <c r="F9" s="239"/>
      <c r="G9" s="239"/>
      <c r="H9" s="239"/>
      <c r="I9" s="239"/>
    </row>
    <row r="10" spans="1:24" ht="15" customHeight="1" thickTop="1" thickBot="1" x14ac:dyDescent="0.25">
      <c r="A10" s="3"/>
      <c r="B10" s="648" t="s">
        <v>0</v>
      </c>
      <c r="C10" s="649"/>
      <c r="D10" s="648" t="s">
        <v>1</v>
      </c>
      <c r="E10" s="649"/>
      <c r="F10" s="648" t="s">
        <v>2</v>
      </c>
      <c r="G10" s="649"/>
      <c r="H10" s="648" t="s">
        <v>3</v>
      </c>
      <c r="I10" s="649"/>
      <c r="J10" s="648" t="s">
        <v>4</v>
      </c>
      <c r="K10" s="649"/>
      <c r="L10" s="648" t="s">
        <v>5</v>
      </c>
      <c r="M10" s="649"/>
      <c r="N10" s="648" t="s">
        <v>6</v>
      </c>
      <c r="O10" s="649"/>
      <c r="P10" s="648" t="s">
        <v>7</v>
      </c>
      <c r="Q10" s="649"/>
      <c r="R10" s="648" t="s">
        <v>8</v>
      </c>
      <c r="S10" s="649"/>
      <c r="T10" s="648" t="s">
        <v>123</v>
      </c>
      <c r="U10" s="652"/>
      <c r="W10" s="650" t="s">
        <v>9</v>
      </c>
      <c r="X10" s="651"/>
    </row>
    <row r="11" spans="1:24" ht="15" customHeight="1" thickTop="1" thickBot="1" x14ac:dyDescent="0.25">
      <c r="A11" s="73" t="s">
        <v>17</v>
      </c>
      <c r="B11" s="657"/>
      <c r="C11" s="658"/>
      <c r="D11" s="657"/>
      <c r="E11" s="658"/>
      <c r="F11" s="657"/>
      <c r="G11" s="658"/>
      <c r="H11" s="657"/>
      <c r="I11" s="658"/>
      <c r="J11" s="657"/>
      <c r="K11" s="658"/>
      <c r="L11" s="657"/>
      <c r="M11" s="658"/>
      <c r="N11" s="657"/>
      <c r="O11" s="658"/>
      <c r="P11" s="657"/>
      <c r="Q11" s="658"/>
      <c r="R11" s="657"/>
      <c r="S11" s="658"/>
      <c r="T11" s="666"/>
      <c r="U11" s="655"/>
      <c r="V11" s="48"/>
      <c r="W11" s="654"/>
      <c r="X11" s="655"/>
    </row>
    <row r="12" spans="1:24" ht="15" customHeight="1" x14ac:dyDescent="0.2">
      <c r="A12" s="67" t="s">
        <v>18</v>
      </c>
      <c r="B12" s="74"/>
      <c r="C12" s="76"/>
      <c r="D12" s="75"/>
      <c r="E12" s="77"/>
      <c r="F12" s="74"/>
      <c r="G12" s="77"/>
      <c r="H12" s="74"/>
      <c r="I12" s="77"/>
      <c r="J12" s="74"/>
      <c r="K12" s="77"/>
      <c r="L12" s="74"/>
      <c r="M12" s="77"/>
      <c r="N12" s="74"/>
      <c r="O12" s="77"/>
      <c r="P12" s="74"/>
      <c r="Q12" s="77"/>
      <c r="R12" s="74"/>
      <c r="S12" s="77"/>
      <c r="T12" s="74"/>
      <c r="U12" s="78"/>
      <c r="V12" s="48"/>
      <c r="W12" s="79"/>
      <c r="X12" s="80"/>
    </row>
    <row r="13" spans="1:24" ht="15" customHeight="1" x14ac:dyDescent="0.2">
      <c r="A13" s="67" t="s">
        <v>19</v>
      </c>
      <c r="B13" s="23"/>
      <c r="C13" s="28"/>
      <c r="D13" s="23"/>
      <c r="E13" s="27"/>
      <c r="F13" s="24"/>
      <c r="G13" s="27">
        <v>44</v>
      </c>
      <c r="H13" s="24"/>
      <c r="I13" s="27">
        <v>48</v>
      </c>
      <c r="J13" s="24"/>
      <c r="K13" s="27">
        <v>74</v>
      </c>
      <c r="L13" s="24"/>
      <c r="M13" s="27">
        <v>186</v>
      </c>
      <c r="N13" s="24"/>
      <c r="O13" s="27">
        <v>192</v>
      </c>
      <c r="P13" s="24"/>
      <c r="Q13" s="27">
        <v>236</v>
      </c>
      <c r="R13" s="74"/>
      <c r="S13" s="77">
        <v>0</v>
      </c>
      <c r="T13" s="74"/>
      <c r="U13" s="606"/>
      <c r="V13" s="48"/>
      <c r="W13" s="81"/>
      <c r="X13" s="80">
        <f>AVERAGE(K13,M13,O13,Q13,S13)</f>
        <v>137.6</v>
      </c>
    </row>
    <row r="14" spans="1:24" ht="15" customHeight="1" x14ac:dyDescent="0.2">
      <c r="A14" s="67" t="s">
        <v>20</v>
      </c>
      <c r="B14" s="23"/>
      <c r="C14" s="26">
        <v>9260</v>
      </c>
      <c r="D14" s="23"/>
      <c r="E14" s="25">
        <v>9255</v>
      </c>
      <c r="F14" s="24"/>
      <c r="G14" s="25">
        <v>9779</v>
      </c>
      <c r="H14" s="24"/>
      <c r="I14" s="25">
        <v>9679</v>
      </c>
      <c r="J14" s="24"/>
      <c r="K14" s="25">
        <v>10048</v>
      </c>
      <c r="L14" s="24"/>
      <c r="M14" s="25">
        <v>10001</v>
      </c>
      <c r="N14" s="24"/>
      <c r="O14" s="25">
        <v>9926</v>
      </c>
      <c r="P14" s="24"/>
      <c r="Q14" s="25">
        <v>10116</v>
      </c>
      <c r="R14" s="74"/>
      <c r="S14" s="77">
        <v>10091</v>
      </c>
      <c r="T14" s="74"/>
      <c r="U14" s="606"/>
      <c r="V14" s="48"/>
      <c r="W14" s="81"/>
      <c r="X14" s="80">
        <f>AVERAGE(K14,M14,O14,Q14,S14)</f>
        <v>10036.4</v>
      </c>
    </row>
    <row r="15" spans="1:24" ht="15" customHeight="1" thickBot="1" x14ac:dyDescent="0.25">
      <c r="A15" s="588" t="s">
        <v>21</v>
      </c>
      <c r="B15" s="36"/>
      <c r="C15" s="166"/>
      <c r="D15" s="167"/>
      <c r="E15" s="112"/>
      <c r="F15" s="36"/>
      <c r="G15" s="112"/>
      <c r="H15" s="36"/>
      <c r="I15" s="112"/>
      <c r="J15" s="36"/>
      <c r="K15" s="112"/>
      <c r="L15" s="36"/>
      <c r="M15" s="112"/>
      <c r="N15" s="36"/>
      <c r="O15" s="112"/>
      <c r="P15" s="36"/>
      <c r="Q15" s="112"/>
      <c r="R15" s="36"/>
      <c r="S15" s="612"/>
      <c r="T15" s="36"/>
      <c r="U15" s="607"/>
      <c r="V15" s="48"/>
      <c r="W15" s="81"/>
      <c r="X15" s="80"/>
    </row>
    <row r="16" spans="1:24" ht="15" customHeight="1" thickBot="1" x14ac:dyDescent="0.25">
      <c r="A16" s="582" t="s">
        <v>22</v>
      </c>
      <c r="B16" s="82"/>
      <c r="C16" s="83">
        <f>SUM(C12:C15)</f>
        <v>9260</v>
      </c>
      <c r="D16" s="84"/>
      <c r="E16" s="85">
        <f>SUM(E12:E15)</f>
        <v>9255</v>
      </c>
      <c r="F16" s="82"/>
      <c r="G16" s="85">
        <f>SUM(G12:G15)</f>
        <v>9823</v>
      </c>
      <c r="H16" s="82"/>
      <c r="I16" s="85">
        <f>SUM(I12:I15)</f>
        <v>9727</v>
      </c>
      <c r="J16" s="82"/>
      <c r="K16" s="85">
        <f>SUM(K12:K15)</f>
        <v>10122</v>
      </c>
      <c r="L16" s="82"/>
      <c r="M16" s="85">
        <f>SUM(M12:M15)</f>
        <v>10187</v>
      </c>
      <c r="N16" s="82"/>
      <c r="O16" s="85">
        <f>SUM(O12:O15)</f>
        <v>10118</v>
      </c>
      <c r="P16" s="82"/>
      <c r="Q16" s="85">
        <f>SUM(Q12:Q15)</f>
        <v>10352</v>
      </c>
      <c r="R16" s="82"/>
      <c r="S16" s="85">
        <f>SUM(S12:S15)</f>
        <v>10091</v>
      </c>
      <c r="T16" s="82"/>
      <c r="U16" s="610">
        <f>SUM(U12:U15)</f>
        <v>0</v>
      </c>
      <c r="V16" s="48"/>
      <c r="W16" s="428"/>
      <c r="X16" s="429">
        <f>AVERAGE(K16,M16,O16,Q16,S16)</f>
        <v>10174</v>
      </c>
    </row>
    <row r="17" spans="1:27" ht="15" hidden="1" customHeight="1" thickTop="1" thickBot="1" x14ac:dyDescent="0.25">
      <c r="A17" s="87"/>
      <c r="B17" s="88"/>
      <c r="C17" s="89"/>
      <c r="D17" s="88"/>
      <c r="E17" s="89"/>
      <c r="F17" s="88"/>
      <c r="G17" s="89"/>
      <c r="H17" s="88"/>
      <c r="I17" s="89"/>
      <c r="J17" s="88"/>
      <c r="K17" s="89"/>
      <c r="L17" s="88"/>
      <c r="M17" s="89"/>
      <c r="N17" s="88"/>
      <c r="O17" s="89"/>
      <c r="P17" s="88"/>
      <c r="Q17" s="89"/>
      <c r="R17" s="88"/>
      <c r="S17" s="89"/>
      <c r="T17" s="88"/>
      <c r="U17" s="89"/>
      <c r="V17" s="90"/>
      <c r="W17" s="91"/>
      <c r="X17" s="89"/>
    </row>
    <row r="18" spans="1:27" ht="15" hidden="1" customHeight="1" thickTop="1" thickBot="1" x14ac:dyDescent="0.25">
      <c r="A18" s="92" t="s">
        <v>23</v>
      </c>
      <c r="B18" s="644" t="s">
        <v>24</v>
      </c>
      <c r="C18" s="656"/>
      <c r="D18" s="644" t="s">
        <v>25</v>
      </c>
      <c r="E18" s="653"/>
      <c r="F18" s="644" t="s">
        <v>26</v>
      </c>
      <c r="G18" s="653"/>
      <c r="H18" s="644" t="s">
        <v>27</v>
      </c>
      <c r="I18" s="653"/>
      <c r="J18" s="644" t="s">
        <v>28</v>
      </c>
      <c r="K18" s="653"/>
      <c r="L18" s="644" t="s">
        <v>29</v>
      </c>
      <c r="M18" s="653"/>
      <c r="N18" s="644" t="s">
        <v>30</v>
      </c>
      <c r="O18" s="653"/>
      <c r="P18" s="644" t="s">
        <v>31</v>
      </c>
      <c r="Q18" s="653"/>
      <c r="R18" s="644" t="s">
        <v>32</v>
      </c>
      <c r="S18" s="645"/>
      <c r="T18" s="644" t="s">
        <v>124</v>
      </c>
      <c r="U18" s="645"/>
      <c r="V18" s="93"/>
      <c r="W18" s="654" t="s">
        <v>9</v>
      </c>
      <c r="X18" s="655"/>
      <c r="Y18" s="29"/>
      <c r="Z18" s="29"/>
      <c r="AA18" s="30"/>
    </row>
    <row r="19" spans="1:27" ht="15" hidden="1" customHeight="1" x14ac:dyDescent="0.2">
      <c r="A19" s="344" t="s">
        <v>103</v>
      </c>
      <c r="B19" s="94"/>
      <c r="C19" s="95"/>
      <c r="D19" s="96"/>
      <c r="E19" s="97"/>
      <c r="F19" s="98"/>
      <c r="G19" s="97"/>
      <c r="H19" s="98"/>
      <c r="I19" s="97"/>
      <c r="J19" s="98"/>
      <c r="K19" s="97"/>
      <c r="L19" s="98"/>
      <c r="M19" s="97"/>
      <c r="N19" s="98"/>
      <c r="O19" s="97"/>
      <c r="P19" s="98"/>
      <c r="Q19" s="97"/>
      <c r="R19" s="98"/>
      <c r="S19" s="99"/>
      <c r="T19" s="98"/>
      <c r="U19" s="99"/>
      <c r="V19" s="100"/>
      <c r="W19" s="101"/>
      <c r="X19" s="102" t="e">
        <f>AVERAGE(O19,M19,I19,K19,Q19)</f>
        <v>#DIV/0!</v>
      </c>
      <c r="Y19" s="29"/>
      <c r="Z19" s="29"/>
      <c r="AA19" s="30"/>
    </row>
    <row r="20" spans="1:27" ht="15" hidden="1" customHeight="1" x14ac:dyDescent="0.2">
      <c r="A20" s="345" t="s">
        <v>104</v>
      </c>
      <c r="B20" s="103"/>
      <c r="C20" s="104"/>
      <c r="D20" s="103"/>
      <c r="E20" s="104"/>
      <c r="F20" s="105"/>
      <c r="G20" s="104"/>
      <c r="H20" s="105"/>
      <c r="I20" s="104"/>
      <c r="J20" s="105"/>
      <c r="K20" s="104"/>
      <c r="L20" s="105"/>
      <c r="M20" s="104"/>
      <c r="N20" s="105"/>
      <c r="O20" s="104"/>
      <c r="P20" s="105"/>
      <c r="Q20" s="104"/>
      <c r="R20" s="105"/>
      <c r="S20" s="106"/>
      <c r="T20" s="105"/>
      <c r="U20" s="106"/>
      <c r="V20" s="100"/>
      <c r="W20" s="107"/>
      <c r="X20" s="108" t="e">
        <f>AVERAGE(O20,M20,I20,K20,Q20)</f>
        <v>#DIV/0!</v>
      </c>
      <c r="Y20" s="29"/>
      <c r="Z20" s="29"/>
      <c r="AA20" s="30"/>
    </row>
    <row r="21" spans="1:27" ht="15" hidden="1" customHeight="1" thickBot="1" x14ac:dyDescent="0.25">
      <c r="A21" s="109" t="s">
        <v>106</v>
      </c>
      <c r="B21" s="659">
        <f>1-C19-C20</f>
        <v>1</v>
      </c>
      <c r="C21" s="660"/>
      <c r="D21" s="659">
        <f>1-E19-E20</f>
        <v>1</v>
      </c>
      <c r="E21" s="660"/>
      <c r="F21" s="659">
        <f>1-G19-G20</f>
        <v>1</v>
      </c>
      <c r="G21" s="660"/>
      <c r="H21" s="659">
        <f>1-I19-I20</f>
        <v>1</v>
      </c>
      <c r="I21" s="660"/>
      <c r="J21" s="659">
        <f>1-K19-K20</f>
        <v>1</v>
      </c>
      <c r="K21" s="660"/>
      <c r="L21" s="659">
        <f>1-M19-M20</f>
        <v>1</v>
      </c>
      <c r="M21" s="660"/>
      <c r="N21" s="659">
        <f>1-O19-O20</f>
        <v>1</v>
      </c>
      <c r="O21" s="660"/>
      <c r="P21" s="659">
        <f>1-Q19-Q20</f>
        <v>1</v>
      </c>
      <c r="Q21" s="660"/>
      <c r="R21" s="659">
        <v>1</v>
      </c>
      <c r="S21" s="662"/>
      <c r="T21" s="659">
        <v>1</v>
      </c>
      <c r="U21" s="662"/>
      <c r="V21" s="100"/>
      <c r="W21" s="661">
        <f>AVERAGE(N21,L21,R21,J21,P21)</f>
        <v>1</v>
      </c>
      <c r="X21" s="662" t="e">
        <f>AVERAGE(O21,M21,I21,K21,Q21)</f>
        <v>#DIV/0!</v>
      </c>
      <c r="Y21" s="31"/>
      <c r="Z21" s="29"/>
      <c r="AA21" s="30"/>
    </row>
    <row r="22" spans="1:27" s="2" customFormat="1" ht="15" hidden="1" customHeight="1" thickTop="1" thickBot="1" x14ac:dyDescent="0.25">
      <c r="A22" s="49" t="s">
        <v>62</v>
      </c>
      <c r="B22" s="50" t="s">
        <v>33</v>
      </c>
      <c r="C22" s="51" t="s">
        <v>66</v>
      </c>
      <c r="D22" s="50" t="s">
        <v>33</v>
      </c>
      <c r="E22" s="51" t="s">
        <v>66</v>
      </c>
      <c r="F22" s="50" t="s">
        <v>33</v>
      </c>
      <c r="G22" s="51" t="s">
        <v>66</v>
      </c>
      <c r="H22" s="50" t="s">
        <v>33</v>
      </c>
      <c r="I22" s="51" t="s">
        <v>66</v>
      </c>
      <c r="J22" s="50" t="s">
        <v>33</v>
      </c>
      <c r="K22" s="51" t="s">
        <v>66</v>
      </c>
      <c r="L22" s="50" t="s">
        <v>33</v>
      </c>
      <c r="M22" s="51" t="s">
        <v>66</v>
      </c>
      <c r="N22" s="50" t="s">
        <v>33</v>
      </c>
      <c r="O22" s="51" t="s">
        <v>66</v>
      </c>
      <c r="P22" s="50" t="s">
        <v>33</v>
      </c>
      <c r="Q22" s="51" t="s">
        <v>66</v>
      </c>
      <c r="R22" s="50" t="s">
        <v>33</v>
      </c>
      <c r="S22" s="52" t="s">
        <v>66</v>
      </c>
      <c r="T22" s="50" t="s">
        <v>33</v>
      </c>
      <c r="U22" s="52" t="s">
        <v>66</v>
      </c>
      <c r="V22" s="53"/>
      <c r="W22" s="426" t="s">
        <v>33</v>
      </c>
      <c r="X22" s="247" t="s">
        <v>66</v>
      </c>
    </row>
    <row r="23" spans="1:27" ht="15" hidden="1" customHeight="1" thickBot="1" x14ac:dyDescent="0.25">
      <c r="A23" s="226" t="s">
        <v>63</v>
      </c>
      <c r="B23" s="227"/>
      <c r="C23" s="228" t="e">
        <f>B23/#REF!</f>
        <v>#REF!</v>
      </c>
      <c r="D23" s="227"/>
      <c r="E23" s="228"/>
      <c r="F23" s="227"/>
      <c r="G23" s="228"/>
      <c r="H23" s="227"/>
      <c r="I23" s="228"/>
      <c r="J23" s="227"/>
      <c r="K23" s="228"/>
      <c r="L23" s="227"/>
      <c r="M23" s="228"/>
      <c r="N23" s="227"/>
      <c r="O23" s="228"/>
      <c r="P23" s="227"/>
      <c r="Q23" s="228"/>
      <c r="R23" s="227"/>
      <c r="S23" s="229"/>
      <c r="T23" s="227"/>
      <c r="U23" s="229"/>
      <c r="V23" s="230"/>
      <c r="W23" s="60"/>
      <c r="X23" s="61"/>
    </row>
    <row r="24" spans="1:27" ht="15" hidden="1" customHeight="1" thickTop="1" x14ac:dyDescent="0.2">
      <c r="A24" s="18" t="s">
        <v>16</v>
      </c>
      <c r="B24" s="19"/>
      <c r="C24" s="165" t="s">
        <v>75</v>
      </c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  <c r="W24" s="21"/>
      <c r="X24" s="22"/>
    </row>
    <row r="25" spans="1:27" s="289" customFormat="1" ht="15" customHeight="1" thickTop="1" x14ac:dyDescent="0.2">
      <c r="A25" s="18"/>
      <c r="B25" s="19"/>
      <c r="C25" s="288"/>
      <c r="D25" s="19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20"/>
      <c r="W25" s="21"/>
      <c r="X25" s="22"/>
    </row>
    <row r="26" spans="1:27" s="1" customFormat="1" ht="15" customHeight="1" thickBot="1" x14ac:dyDescent="0.25">
      <c r="A26" s="87"/>
      <c r="B26" s="88"/>
      <c r="C26" s="286"/>
      <c r="D26" s="88"/>
      <c r="E26" s="286"/>
      <c r="F26" s="88"/>
      <c r="G26" s="286"/>
      <c r="H26" s="88"/>
      <c r="I26" s="286"/>
      <c r="J26" s="88"/>
      <c r="K26" s="286"/>
      <c r="L26" s="88"/>
      <c r="M26" s="286"/>
      <c r="N26" s="88"/>
      <c r="O26" s="286"/>
      <c r="P26" s="88"/>
      <c r="Q26" s="286"/>
      <c r="R26" s="88"/>
      <c r="S26" s="286"/>
      <c r="T26" s="88"/>
      <c r="U26" s="286"/>
      <c r="V26" s="72"/>
      <c r="W26" s="72"/>
      <c r="X26" s="287"/>
    </row>
    <row r="27" spans="1:27" s="1" customFormat="1" ht="15" customHeight="1" thickTop="1" thickBot="1" x14ac:dyDescent="0.25">
      <c r="A27" s="271" t="s">
        <v>99</v>
      </c>
      <c r="B27" s="644" t="s">
        <v>24</v>
      </c>
      <c r="C27" s="656"/>
      <c r="D27" s="644" t="s">
        <v>25</v>
      </c>
      <c r="E27" s="653"/>
      <c r="F27" s="644" t="s">
        <v>26</v>
      </c>
      <c r="G27" s="653"/>
      <c r="H27" s="644" t="s">
        <v>27</v>
      </c>
      <c r="I27" s="653"/>
      <c r="J27" s="644" t="s">
        <v>28</v>
      </c>
      <c r="K27" s="653"/>
      <c r="L27" s="644" t="s">
        <v>29</v>
      </c>
      <c r="M27" s="653"/>
      <c r="N27" s="644" t="s">
        <v>30</v>
      </c>
      <c r="O27" s="653"/>
      <c r="P27" s="644" t="s">
        <v>31</v>
      </c>
      <c r="Q27" s="653"/>
      <c r="R27" s="663" t="s">
        <v>32</v>
      </c>
      <c r="S27" s="664"/>
      <c r="T27" s="665" t="s">
        <v>124</v>
      </c>
      <c r="U27" s="645"/>
      <c r="V27" s="72"/>
      <c r="W27" s="654" t="s">
        <v>9</v>
      </c>
      <c r="X27" s="655"/>
    </row>
    <row r="28" spans="1:27" s="1" customFormat="1" ht="24" x14ac:dyDescent="0.2">
      <c r="A28" s="292" t="s">
        <v>107</v>
      </c>
      <c r="B28" s="296"/>
      <c r="C28" s="297"/>
      <c r="D28" s="296"/>
      <c r="E28" s="298"/>
      <c r="F28" s="296"/>
      <c r="G28" s="298"/>
      <c r="H28" s="296"/>
      <c r="I28" s="298"/>
      <c r="J28" s="296"/>
      <c r="K28" s="298"/>
      <c r="L28" s="296"/>
      <c r="M28" s="298"/>
      <c r="N28" s="296"/>
      <c r="O28" s="298"/>
      <c r="P28" s="296"/>
      <c r="Q28" s="298"/>
      <c r="R28" s="296"/>
      <c r="S28" s="298"/>
      <c r="T28" s="613"/>
      <c r="U28" s="299"/>
      <c r="V28" s="293"/>
      <c r="W28" s="294"/>
      <c r="X28" s="295"/>
    </row>
    <row r="29" spans="1:27" s="1" customFormat="1" ht="24" x14ac:dyDescent="0.2">
      <c r="A29" s="300" t="s">
        <v>88</v>
      </c>
      <c r="B29" s="105"/>
      <c r="C29" s="232">
        <v>25</v>
      </c>
      <c r="D29" s="105"/>
      <c r="E29" s="232">
        <v>25</v>
      </c>
      <c r="F29" s="105"/>
      <c r="G29" s="232">
        <v>24</v>
      </c>
      <c r="H29" s="105"/>
      <c r="I29" s="232">
        <v>24</v>
      </c>
      <c r="J29" s="105"/>
      <c r="K29" s="232">
        <v>23</v>
      </c>
      <c r="L29" s="105"/>
      <c r="M29" s="232">
        <v>23</v>
      </c>
      <c r="N29" s="105"/>
      <c r="O29" s="232">
        <v>18</v>
      </c>
      <c r="P29" s="105"/>
      <c r="Q29" s="232">
        <v>18</v>
      </c>
      <c r="R29" s="235"/>
      <c r="S29" s="616">
        <v>19</v>
      </c>
      <c r="T29" s="614"/>
      <c r="U29" s="234"/>
      <c r="V29" s="72"/>
      <c r="W29" s="302"/>
      <c r="X29" s="234">
        <f>AVERAGE(O29,M29,S29,U29,Q29)</f>
        <v>19.5</v>
      </c>
    </row>
    <row r="30" spans="1:27" s="1" customFormat="1" ht="36" x14ac:dyDescent="0.2">
      <c r="A30" s="300" t="s">
        <v>108</v>
      </c>
      <c r="B30" s="233"/>
      <c r="C30" s="301">
        <v>22</v>
      </c>
      <c r="D30" s="233"/>
      <c r="E30" s="301">
        <v>25</v>
      </c>
      <c r="F30" s="233"/>
      <c r="G30" s="301">
        <v>23</v>
      </c>
      <c r="H30" s="233"/>
      <c r="I30" s="301">
        <v>23</v>
      </c>
      <c r="J30" s="233"/>
      <c r="K30" s="301">
        <v>23</v>
      </c>
      <c r="L30" s="233"/>
      <c r="M30" s="301">
        <v>23</v>
      </c>
      <c r="N30" s="233"/>
      <c r="O30" s="301">
        <v>17</v>
      </c>
      <c r="P30" s="233"/>
      <c r="Q30" s="301">
        <v>18</v>
      </c>
      <c r="R30" s="235"/>
      <c r="S30" s="616">
        <v>18</v>
      </c>
      <c r="T30" s="614"/>
      <c r="U30" s="234"/>
      <c r="V30" s="72"/>
      <c r="W30" s="303"/>
      <c r="X30" s="304">
        <f t="shared" ref="X30:X31" si="0">AVERAGE(O30,M30,S30,U30,Q30)</f>
        <v>19</v>
      </c>
    </row>
    <row r="31" spans="1:27" s="1" customFormat="1" ht="15" customHeight="1" thickBot="1" x14ac:dyDescent="0.25">
      <c r="A31" s="369" t="s">
        <v>89</v>
      </c>
      <c r="B31" s="370"/>
      <c r="C31" s="371">
        <v>22.93</v>
      </c>
      <c r="D31" s="370"/>
      <c r="E31" s="371">
        <f>1.05+20.97</f>
        <v>22.02</v>
      </c>
      <c r="F31" s="370"/>
      <c r="G31" s="371">
        <v>20.52</v>
      </c>
      <c r="H31" s="370"/>
      <c r="I31" s="371">
        <v>22.24</v>
      </c>
      <c r="J31" s="370"/>
      <c r="K31" s="371">
        <f>19.79+0.7</f>
        <v>20.49</v>
      </c>
      <c r="L31" s="370"/>
      <c r="M31" s="371">
        <v>20.52</v>
      </c>
      <c r="N31" s="370"/>
      <c r="O31" s="371">
        <v>16.16</v>
      </c>
      <c r="P31" s="370"/>
      <c r="Q31" s="371">
        <v>16.8</v>
      </c>
      <c r="R31" s="375"/>
      <c r="S31" s="617">
        <f>14.28+1.85</f>
        <v>16.13</v>
      </c>
      <c r="T31" s="615"/>
      <c r="U31" s="373"/>
      <c r="V31" s="72"/>
      <c r="W31" s="374"/>
      <c r="X31" s="373">
        <f t="shared" si="0"/>
        <v>17.4025</v>
      </c>
    </row>
    <row r="32" spans="1:27" s="1" customFormat="1" ht="15" customHeight="1" thickBot="1" x14ac:dyDescent="0.25">
      <c r="A32" s="356" t="s">
        <v>101</v>
      </c>
      <c r="B32" s="335" t="s">
        <v>34</v>
      </c>
      <c r="C32" s="336" t="s">
        <v>35</v>
      </c>
      <c r="D32" s="420" t="s">
        <v>34</v>
      </c>
      <c r="E32" s="421" t="s">
        <v>35</v>
      </c>
      <c r="F32" s="420" t="s">
        <v>34</v>
      </c>
      <c r="G32" s="421" t="s">
        <v>35</v>
      </c>
      <c r="H32" s="420" t="s">
        <v>34</v>
      </c>
      <c r="I32" s="421" t="s">
        <v>35</v>
      </c>
      <c r="J32" s="420" t="s">
        <v>34</v>
      </c>
      <c r="K32" s="421" t="s">
        <v>35</v>
      </c>
      <c r="L32" s="420" t="s">
        <v>34</v>
      </c>
      <c r="M32" s="421" t="s">
        <v>35</v>
      </c>
      <c r="N32" s="420" t="s">
        <v>34</v>
      </c>
      <c r="O32" s="421" t="s">
        <v>35</v>
      </c>
      <c r="P32" s="420" t="s">
        <v>34</v>
      </c>
      <c r="Q32" s="421" t="s">
        <v>35</v>
      </c>
      <c r="R32" s="420" t="s">
        <v>34</v>
      </c>
      <c r="S32" s="421" t="s">
        <v>35</v>
      </c>
      <c r="T32" s="420" t="s">
        <v>34</v>
      </c>
      <c r="U32" s="422" t="s">
        <v>35</v>
      </c>
      <c r="V32" s="72"/>
      <c r="W32" s="423" t="s">
        <v>34</v>
      </c>
      <c r="X32" s="422" t="s">
        <v>102</v>
      </c>
    </row>
    <row r="33" spans="1:24" s="1" customFormat="1" ht="15" customHeight="1" x14ac:dyDescent="0.2">
      <c r="A33" s="307" t="s">
        <v>36</v>
      </c>
      <c r="B33" s="305"/>
      <c r="C33" s="306"/>
      <c r="D33" s="409"/>
      <c r="E33" s="410"/>
      <c r="F33" s="411"/>
      <c r="G33" s="410"/>
      <c r="H33" s="411"/>
      <c r="I33" s="410"/>
      <c r="J33" s="411"/>
      <c r="K33" s="410"/>
      <c r="L33" s="411"/>
      <c r="M33" s="410"/>
      <c r="N33" s="411"/>
      <c r="O33" s="410"/>
      <c r="P33" s="411"/>
      <c r="Q33" s="410"/>
      <c r="R33" s="411"/>
      <c r="S33" s="410"/>
      <c r="T33" s="411"/>
      <c r="U33" s="413"/>
      <c r="V33" s="72"/>
      <c r="W33" s="415"/>
      <c r="X33" s="416"/>
    </row>
    <row r="34" spans="1:24" s="1" customFormat="1" ht="15" customHeight="1" x14ac:dyDescent="0.2">
      <c r="A34" s="333" t="s">
        <v>37</v>
      </c>
      <c r="B34" s="352"/>
      <c r="C34" s="26">
        <v>28</v>
      </c>
      <c r="D34" s="378"/>
      <c r="E34" s="379">
        <v>30</v>
      </c>
      <c r="F34" s="378"/>
      <c r="G34" s="379">
        <v>30</v>
      </c>
      <c r="H34" s="378"/>
      <c r="I34" s="379">
        <v>33</v>
      </c>
      <c r="J34" s="388">
        <v>32</v>
      </c>
      <c r="K34" s="379">
        <v>32</v>
      </c>
      <c r="L34" s="388">
        <v>31</v>
      </c>
      <c r="M34" s="379">
        <v>31</v>
      </c>
      <c r="N34" s="388">
        <v>27</v>
      </c>
      <c r="O34" s="379">
        <v>27</v>
      </c>
      <c r="P34" s="388">
        <v>26</v>
      </c>
      <c r="Q34" s="379">
        <v>26</v>
      </c>
      <c r="R34" s="392">
        <v>31</v>
      </c>
      <c r="S34" s="417">
        <v>31</v>
      </c>
      <c r="T34" s="392"/>
      <c r="U34" s="393"/>
      <c r="V34" s="72"/>
      <c r="W34" s="401">
        <f>AVERAGE(R34,P34,N34,L34,T34)</f>
        <v>28.75</v>
      </c>
      <c r="X34" s="402">
        <f>AVERAGE(O34,M34,S34,U34,Q34)</f>
        <v>28.75</v>
      </c>
    </row>
    <row r="35" spans="1:24" s="1" customFormat="1" ht="15" customHeight="1" x14ac:dyDescent="0.2">
      <c r="A35" s="333" t="s">
        <v>38</v>
      </c>
      <c r="B35" s="352"/>
      <c r="C35" s="26">
        <v>2</v>
      </c>
      <c r="D35" s="378"/>
      <c r="E35" s="379">
        <v>1</v>
      </c>
      <c r="F35" s="378"/>
      <c r="G35" s="379">
        <v>0</v>
      </c>
      <c r="H35" s="378"/>
      <c r="I35" s="379">
        <v>5</v>
      </c>
      <c r="J35" s="9">
        <v>2.75</v>
      </c>
      <c r="K35" s="379">
        <v>4</v>
      </c>
      <c r="L35" s="9">
        <v>2.5499999999999998</v>
      </c>
      <c r="M35" s="379">
        <v>4</v>
      </c>
      <c r="N35" s="9">
        <v>3.35</v>
      </c>
      <c r="O35" s="379">
        <v>5</v>
      </c>
      <c r="P35" s="9">
        <v>3.4</v>
      </c>
      <c r="Q35" s="379">
        <v>5</v>
      </c>
      <c r="R35" s="392">
        <v>2</v>
      </c>
      <c r="S35" s="417">
        <v>3</v>
      </c>
      <c r="T35" s="392"/>
      <c r="U35" s="393"/>
      <c r="V35" s="72"/>
      <c r="W35" s="401">
        <f t="shared" ref="W35:W38" si="1">AVERAGE(R35,P35,N35,L35,T35)</f>
        <v>2.8250000000000002</v>
      </c>
      <c r="X35" s="402">
        <f t="shared" ref="X35:X38" si="2">AVERAGE(O35,M35,S35,U35,Q35)</f>
        <v>4.25</v>
      </c>
    </row>
    <row r="36" spans="1:24" s="1" customFormat="1" ht="15" customHeight="1" x14ac:dyDescent="0.2">
      <c r="A36" s="308" t="s">
        <v>39</v>
      </c>
      <c r="B36" s="74"/>
      <c r="C36" s="28"/>
      <c r="D36" s="9"/>
      <c r="E36" s="381"/>
      <c r="F36" s="9"/>
      <c r="G36" s="381"/>
      <c r="H36" s="9"/>
      <c r="I36" s="381"/>
      <c r="J36" s="9"/>
      <c r="K36" s="381"/>
      <c r="L36" s="9"/>
      <c r="M36" s="381"/>
      <c r="N36" s="9"/>
      <c r="O36" s="381"/>
      <c r="P36" s="9"/>
      <c r="Q36" s="381"/>
      <c r="R36" s="386"/>
      <c r="S36" s="619"/>
      <c r="T36" s="380"/>
      <c r="U36" s="394"/>
      <c r="V36" s="72"/>
      <c r="W36" s="401"/>
      <c r="X36" s="402"/>
    </row>
    <row r="37" spans="1:24" s="1" customFormat="1" ht="15" customHeight="1" x14ac:dyDescent="0.2">
      <c r="A37" s="333" t="s">
        <v>37</v>
      </c>
      <c r="B37" s="352"/>
      <c r="C37" s="28">
        <v>3</v>
      </c>
      <c r="D37" s="378"/>
      <c r="E37" s="381">
        <v>3</v>
      </c>
      <c r="F37" s="378"/>
      <c r="G37" s="381">
        <v>4</v>
      </c>
      <c r="H37" s="378"/>
      <c r="I37" s="381">
        <v>4</v>
      </c>
      <c r="J37" s="388">
        <v>2</v>
      </c>
      <c r="K37" s="381">
        <v>2</v>
      </c>
      <c r="L37" s="388">
        <v>2</v>
      </c>
      <c r="M37" s="381">
        <v>2</v>
      </c>
      <c r="N37" s="388">
        <v>10</v>
      </c>
      <c r="O37" s="381">
        <v>10</v>
      </c>
      <c r="P37" s="388">
        <v>8</v>
      </c>
      <c r="Q37" s="381">
        <v>8</v>
      </c>
      <c r="R37" s="392">
        <v>6</v>
      </c>
      <c r="S37" s="418">
        <v>6</v>
      </c>
      <c r="T37" s="392"/>
      <c r="U37" s="394"/>
      <c r="V37" s="72"/>
      <c r="W37" s="401">
        <f t="shared" si="1"/>
        <v>6.5</v>
      </c>
      <c r="X37" s="402">
        <f t="shared" si="2"/>
        <v>6.5</v>
      </c>
    </row>
    <row r="38" spans="1:24" s="1" customFormat="1" ht="15" customHeight="1" thickBot="1" x14ac:dyDescent="0.25">
      <c r="A38" s="334" t="s">
        <v>38</v>
      </c>
      <c r="B38" s="352"/>
      <c r="C38" s="249">
        <v>1</v>
      </c>
      <c r="D38" s="378"/>
      <c r="E38" s="382">
        <v>1</v>
      </c>
      <c r="F38" s="378"/>
      <c r="G38" s="382">
        <v>1</v>
      </c>
      <c r="H38" s="378"/>
      <c r="I38" s="382">
        <v>1</v>
      </c>
      <c r="J38" s="390">
        <v>0.75</v>
      </c>
      <c r="K38" s="382">
        <v>1</v>
      </c>
      <c r="L38" s="389">
        <v>0</v>
      </c>
      <c r="M38" s="382">
        <v>0</v>
      </c>
      <c r="N38" s="390">
        <v>0.6</v>
      </c>
      <c r="O38" s="382">
        <v>1</v>
      </c>
      <c r="P38" s="390">
        <v>0.6</v>
      </c>
      <c r="Q38" s="382">
        <v>1</v>
      </c>
      <c r="R38" s="414">
        <v>0.6</v>
      </c>
      <c r="S38" s="618">
        <v>1</v>
      </c>
      <c r="T38" s="414"/>
      <c r="U38" s="396"/>
      <c r="V38" s="72"/>
      <c r="W38" s="403">
        <f t="shared" si="1"/>
        <v>0.44999999999999996</v>
      </c>
      <c r="X38" s="404">
        <f t="shared" si="2"/>
        <v>0.75</v>
      </c>
    </row>
    <row r="39" spans="1:24" s="1" customFormat="1" ht="15" customHeight="1" thickBot="1" x14ac:dyDescent="0.25">
      <c r="A39" s="366" t="s">
        <v>22</v>
      </c>
      <c r="B39" s="367"/>
      <c r="C39" s="368">
        <f>SUM(C34:C38)</f>
        <v>34</v>
      </c>
      <c r="D39" s="383"/>
      <c r="E39" s="384">
        <f>SUM(E34:E38)</f>
        <v>35</v>
      </c>
      <c r="F39" s="387"/>
      <c r="G39" s="384">
        <f>SUM(G34:G38)</f>
        <v>35</v>
      </c>
      <c r="H39" s="387"/>
      <c r="I39" s="384">
        <f t="shared" ref="I39:S39" si="3">SUM(I34:I38)</f>
        <v>43</v>
      </c>
      <c r="J39" s="412">
        <f t="shared" si="3"/>
        <v>37.5</v>
      </c>
      <c r="K39" s="384">
        <f t="shared" si="3"/>
        <v>39</v>
      </c>
      <c r="L39" s="412">
        <f t="shared" si="3"/>
        <v>35.549999999999997</v>
      </c>
      <c r="M39" s="384">
        <f t="shared" si="3"/>
        <v>37</v>
      </c>
      <c r="N39" s="412">
        <f t="shared" si="3"/>
        <v>40.950000000000003</v>
      </c>
      <c r="O39" s="384">
        <f t="shared" si="3"/>
        <v>43</v>
      </c>
      <c r="P39" s="412">
        <f t="shared" si="3"/>
        <v>38</v>
      </c>
      <c r="Q39" s="384">
        <f t="shared" si="3"/>
        <v>40</v>
      </c>
      <c r="R39" s="412">
        <f t="shared" si="3"/>
        <v>39.6</v>
      </c>
      <c r="S39" s="384">
        <f t="shared" si="3"/>
        <v>41</v>
      </c>
      <c r="T39" s="412">
        <f t="shared" ref="T39:U39" si="4">SUM(T34:T38)</f>
        <v>0</v>
      </c>
      <c r="U39" s="397">
        <f t="shared" si="4"/>
        <v>0</v>
      </c>
      <c r="V39" s="72"/>
      <c r="W39" s="405">
        <f>AVERAGE(R39,P39,N39,L39,T39)</f>
        <v>30.82</v>
      </c>
      <c r="X39" s="406">
        <f>AVERAGE(O39,M39,S39,U39,Q39)</f>
        <v>32.200000000000003</v>
      </c>
    </row>
    <row r="40" spans="1:24" s="1" customFormat="1" ht="15" customHeight="1" thickBot="1" x14ac:dyDescent="0.25">
      <c r="A40" s="360" t="s">
        <v>40</v>
      </c>
      <c r="B40" s="361" t="s">
        <v>33</v>
      </c>
      <c r="C40" s="362" t="s">
        <v>41</v>
      </c>
      <c r="D40" s="361" t="s">
        <v>33</v>
      </c>
      <c r="E40" s="363" t="s">
        <v>41</v>
      </c>
      <c r="F40" s="364" t="s">
        <v>33</v>
      </c>
      <c r="G40" s="363" t="s">
        <v>41</v>
      </c>
      <c r="H40" s="364" t="s">
        <v>33</v>
      </c>
      <c r="I40" s="363" t="s">
        <v>41</v>
      </c>
      <c r="J40" s="364" t="s">
        <v>33</v>
      </c>
      <c r="K40" s="363" t="s">
        <v>41</v>
      </c>
      <c r="L40" s="364" t="s">
        <v>33</v>
      </c>
      <c r="M40" s="363" t="s">
        <v>41</v>
      </c>
      <c r="N40" s="364" t="s">
        <v>33</v>
      </c>
      <c r="O40" s="363" t="s">
        <v>41</v>
      </c>
      <c r="P40" s="364" t="s">
        <v>33</v>
      </c>
      <c r="Q40" s="363" t="s">
        <v>41</v>
      </c>
      <c r="R40" s="364" t="s">
        <v>33</v>
      </c>
      <c r="S40" s="363" t="s">
        <v>41</v>
      </c>
      <c r="T40" s="364" t="s">
        <v>33</v>
      </c>
      <c r="U40" s="365" t="s">
        <v>41</v>
      </c>
      <c r="V40" s="72"/>
      <c r="W40" s="398" t="s">
        <v>33</v>
      </c>
      <c r="X40" s="365" t="s">
        <v>41</v>
      </c>
    </row>
    <row r="41" spans="1:24" s="1" customFormat="1" ht="15" customHeight="1" x14ac:dyDescent="0.2">
      <c r="A41" s="312" t="s">
        <v>42</v>
      </c>
      <c r="B41" s="272">
        <v>28</v>
      </c>
      <c r="C41" s="313">
        <f t="shared" ref="C41:C48" si="5">B41/C$39</f>
        <v>0.82352941176470584</v>
      </c>
      <c r="D41" s="272">
        <v>31</v>
      </c>
      <c r="E41" s="314">
        <f t="shared" ref="E41:K48" si="6">D41/E$39</f>
        <v>0.88571428571428568</v>
      </c>
      <c r="F41" s="272">
        <v>34</v>
      </c>
      <c r="G41" s="314">
        <f t="shared" si="6"/>
        <v>0.97142857142857142</v>
      </c>
      <c r="H41" s="272">
        <v>42</v>
      </c>
      <c r="I41" s="314">
        <f t="shared" ref="I41:I48" si="7">H41/I$39</f>
        <v>0.97674418604651159</v>
      </c>
      <c r="J41" s="272">
        <f>5+34</f>
        <v>39</v>
      </c>
      <c r="K41" s="314">
        <f t="shared" si="6"/>
        <v>1</v>
      </c>
      <c r="L41" s="272">
        <v>36</v>
      </c>
      <c r="M41" s="314">
        <f t="shared" ref="M41:M46" si="8">L41/M$39</f>
        <v>0.97297297297297303</v>
      </c>
      <c r="N41" s="272">
        <v>42</v>
      </c>
      <c r="O41" s="314">
        <f t="shared" ref="O41:Q46" si="9">N41/O$39</f>
        <v>0.97674418604651159</v>
      </c>
      <c r="P41" s="272">
        <v>38</v>
      </c>
      <c r="Q41" s="314">
        <f t="shared" si="9"/>
        <v>0.95</v>
      </c>
      <c r="R41" s="315">
        <v>39</v>
      </c>
      <c r="S41" s="314">
        <f t="shared" ref="S41:S46" si="10">R41/S$39</f>
        <v>0.95121951219512191</v>
      </c>
      <c r="T41" s="315"/>
      <c r="U41" s="316" t="e">
        <f t="shared" ref="U41:U46" si="11">T41/U$39</f>
        <v>#DIV/0!</v>
      </c>
      <c r="V41" s="117"/>
      <c r="W41" s="317">
        <f t="shared" ref="W41:W60" si="12">AVERAGE(R41,P41,N41,L41,T41)</f>
        <v>38.75</v>
      </c>
      <c r="X41" s="318" t="e">
        <f t="shared" ref="X41:X60" si="13">AVERAGE(O41,M41,S41,U41,Q41)</f>
        <v>#DIV/0!</v>
      </c>
    </row>
    <row r="42" spans="1:24" s="1" customFormat="1" ht="15" customHeight="1" x14ac:dyDescent="0.2">
      <c r="A42" s="120" t="s">
        <v>43</v>
      </c>
      <c r="B42" s="44">
        <v>0</v>
      </c>
      <c r="C42" s="113">
        <f t="shared" si="5"/>
        <v>0</v>
      </c>
      <c r="D42" s="44">
        <v>0</v>
      </c>
      <c r="E42" s="114">
        <f t="shared" si="6"/>
        <v>0</v>
      </c>
      <c r="F42" s="44">
        <v>0</v>
      </c>
      <c r="G42" s="114">
        <f t="shared" si="6"/>
        <v>0</v>
      </c>
      <c r="H42" s="44">
        <v>0</v>
      </c>
      <c r="I42" s="114">
        <f t="shared" si="7"/>
        <v>0</v>
      </c>
      <c r="J42" s="44">
        <f>0</f>
        <v>0</v>
      </c>
      <c r="K42" s="114">
        <f t="shared" si="6"/>
        <v>0</v>
      </c>
      <c r="L42" s="44">
        <v>0</v>
      </c>
      <c r="M42" s="114">
        <f t="shared" si="8"/>
        <v>0</v>
      </c>
      <c r="N42" s="44">
        <v>0</v>
      </c>
      <c r="O42" s="114">
        <f t="shared" si="9"/>
        <v>0</v>
      </c>
      <c r="P42" s="44">
        <v>0</v>
      </c>
      <c r="Q42" s="114">
        <f t="shared" si="9"/>
        <v>0</v>
      </c>
      <c r="R42" s="115">
        <v>0</v>
      </c>
      <c r="S42" s="114">
        <f t="shared" si="10"/>
        <v>0</v>
      </c>
      <c r="T42" s="115"/>
      <c r="U42" s="116" t="e">
        <f t="shared" si="11"/>
        <v>#DIV/0!</v>
      </c>
      <c r="V42" s="117"/>
      <c r="W42" s="118">
        <f t="shared" si="12"/>
        <v>0</v>
      </c>
      <c r="X42" s="318" t="e">
        <f t="shared" si="13"/>
        <v>#DIV/0!</v>
      </c>
    </row>
    <row r="43" spans="1:24" s="1" customFormat="1" ht="15" customHeight="1" x14ac:dyDescent="0.2">
      <c r="A43" s="120" t="s">
        <v>44</v>
      </c>
      <c r="B43" s="44">
        <v>0</v>
      </c>
      <c r="C43" s="113">
        <f t="shared" si="5"/>
        <v>0</v>
      </c>
      <c r="D43" s="44">
        <v>0</v>
      </c>
      <c r="E43" s="114">
        <f t="shared" si="6"/>
        <v>0</v>
      </c>
      <c r="F43" s="44">
        <v>0</v>
      </c>
      <c r="G43" s="114">
        <f t="shared" si="6"/>
        <v>0</v>
      </c>
      <c r="H43" s="44">
        <v>0</v>
      </c>
      <c r="I43" s="114">
        <f t="shared" si="7"/>
        <v>0</v>
      </c>
      <c r="J43" s="44">
        <f>0</f>
        <v>0</v>
      </c>
      <c r="K43" s="114">
        <f t="shared" si="6"/>
        <v>0</v>
      </c>
      <c r="L43" s="44">
        <v>0</v>
      </c>
      <c r="M43" s="114">
        <f t="shared" si="8"/>
        <v>0</v>
      </c>
      <c r="N43" s="44">
        <v>0</v>
      </c>
      <c r="O43" s="114">
        <f t="shared" si="9"/>
        <v>0</v>
      </c>
      <c r="P43" s="44">
        <v>0</v>
      </c>
      <c r="Q43" s="114">
        <f t="shared" si="9"/>
        <v>0</v>
      </c>
      <c r="R43" s="115">
        <v>1</v>
      </c>
      <c r="S43" s="114">
        <f t="shared" si="10"/>
        <v>2.4390243902439025E-2</v>
      </c>
      <c r="T43" s="115"/>
      <c r="U43" s="116" t="e">
        <f t="shared" si="11"/>
        <v>#DIV/0!</v>
      </c>
      <c r="V43" s="117"/>
      <c r="W43" s="118">
        <f t="shared" si="12"/>
        <v>0.25</v>
      </c>
      <c r="X43" s="318" t="e">
        <f t="shared" si="13"/>
        <v>#DIV/0!</v>
      </c>
    </row>
    <row r="44" spans="1:24" s="1" customFormat="1" ht="15" customHeight="1" x14ac:dyDescent="0.2">
      <c r="A44" s="120" t="s">
        <v>45</v>
      </c>
      <c r="B44" s="44">
        <v>0</v>
      </c>
      <c r="C44" s="113">
        <f t="shared" si="5"/>
        <v>0</v>
      </c>
      <c r="D44" s="44">
        <v>0</v>
      </c>
      <c r="E44" s="114">
        <f t="shared" si="6"/>
        <v>0</v>
      </c>
      <c r="F44" s="44">
        <v>0</v>
      </c>
      <c r="G44" s="114">
        <f t="shared" si="6"/>
        <v>0</v>
      </c>
      <c r="H44" s="44">
        <v>0</v>
      </c>
      <c r="I44" s="114">
        <f t="shared" si="7"/>
        <v>0</v>
      </c>
      <c r="J44" s="44">
        <f>0</f>
        <v>0</v>
      </c>
      <c r="K44" s="114">
        <f t="shared" si="6"/>
        <v>0</v>
      </c>
      <c r="L44" s="44">
        <v>0</v>
      </c>
      <c r="M44" s="114">
        <f t="shared" si="8"/>
        <v>0</v>
      </c>
      <c r="N44" s="44">
        <v>0</v>
      </c>
      <c r="O44" s="114">
        <f t="shared" si="9"/>
        <v>0</v>
      </c>
      <c r="P44" s="44">
        <v>0</v>
      </c>
      <c r="Q44" s="114">
        <f t="shared" si="9"/>
        <v>0</v>
      </c>
      <c r="R44" s="115">
        <v>0</v>
      </c>
      <c r="S44" s="114">
        <f t="shared" si="10"/>
        <v>0</v>
      </c>
      <c r="T44" s="115"/>
      <c r="U44" s="116" t="e">
        <f t="shared" si="11"/>
        <v>#DIV/0!</v>
      </c>
      <c r="V44" s="117"/>
      <c r="W44" s="118">
        <f t="shared" si="12"/>
        <v>0</v>
      </c>
      <c r="X44" s="318" t="e">
        <f t="shared" si="13"/>
        <v>#DIV/0!</v>
      </c>
    </row>
    <row r="45" spans="1:24" s="1" customFormat="1" ht="15" customHeight="1" x14ac:dyDescent="0.2">
      <c r="A45" s="120" t="s">
        <v>46</v>
      </c>
      <c r="B45" s="44">
        <v>0</v>
      </c>
      <c r="C45" s="113">
        <f t="shared" si="5"/>
        <v>0</v>
      </c>
      <c r="D45" s="44">
        <v>0</v>
      </c>
      <c r="E45" s="114">
        <f t="shared" si="6"/>
        <v>0</v>
      </c>
      <c r="F45" s="44">
        <v>0</v>
      </c>
      <c r="G45" s="114">
        <f t="shared" si="6"/>
        <v>0</v>
      </c>
      <c r="H45" s="44">
        <v>0</v>
      </c>
      <c r="I45" s="114">
        <f t="shared" si="7"/>
        <v>0</v>
      </c>
      <c r="J45" s="44">
        <f>0</f>
        <v>0</v>
      </c>
      <c r="K45" s="114">
        <f t="shared" si="6"/>
        <v>0</v>
      </c>
      <c r="L45" s="44">
        <v>0</v>
      </c>
      <c r="M45" s="114">
        <f t="shared" si="8"/>
        <v>0</v>
      </c>
      <c r="N45" s="44">
        <v>0</v>
      </c>
      <c r="O45" s="114">
        <f t="shared" si="9"/>
        <v>0</v>
      </c>
      <c r="P45" s="44">
        <v>0</v>
      </c>
      <c r="Q45" s="114">
        <f t="shared" si="9"/>
        <v>0</v>
      </c>
      <c r="R45" s="115">
        <v>0</v>
      </c>
      <c r="S45" s="114">
        <f t="shared" si="10"/>
        <v>0</v>
      </c>
      <c r="T45" s="115"/>
      <c r="U45" s="116" t="e">
        <f t="shared" si="11"/>
        <v>#DIV/0!</v>
      </c>
      <c r="V45" s="117"/>
      <c r="W45" s="118">
        <f t="shared" si="12"/>
        <v>0</v>
      </c>
      <c r="X45" s="318" t="e">
        <f t="shared" si="13"/>
        <v>#DIV/0!</v>
      </c>
    </row>
    <row r="46" spans="1:24" s="1" customFormat="1" ht="15" customHeight="1" x14ac:dyDescent="0.2">
      <c r="A46" s="120" t="s">
        <v>47</v>
      </c>
      <c r="B46" s="44">
        <v>6</v>
      </c>
      <c r="C46" s="113">
        <f t="shared" si="5"/>
        <v>0.17647058823529413</v>
      </c>
      <c r="D46" s="44">
        <v>4</v>
      </c>
      <c r="E46" s="114">
        <f t="shared" si="6"/>
        <v>0.11428571428571428</v>
      </c>
      <c r="F46" s="44">
        <v>1</v>
      </c>
      <c r="G46" s="114">
        <f t="shared" si="6"/>
        <v>2.8571428571428571E-2</v>
      </c>
      <c r="H46" s="44">
        <v>1</v>
      </c>
      <c r="I46" s="114">
        <f t="shared" si="7"/>
        <v>2.3255813953488372E-2</v>
      </c>
      <c r="J46" s="44">
        <f>0</f>
        <v>0</v>
      </c>
      <c r="K46" s="114">
        <f t="shared" si="6"/>
        <v>0</v>
      </c>
      <c r="L46" s="44">
        <v>1</v>
      </c>
      <c r="M46" s="114">
        <f t="shared" si="8"/>
        <v>2.7027027027027029E-2</v>
      </c>
      <c r="N46" s="44">
        <v>1</v>
      </c>
      <c r="O46" s="114">
        <f t="shared" si="9"/>
        <v>2.3255813953488372E-2</v>
      </c>
      <c r="P46" s="44">
        <v>2</v>
      </c>
      <c r="Q46" s="114">
        <f t="shared" si="9"/>
        <v>0.05</v>
      </c>
      <c r="R46" s="115">
        <v>1</v>
      </c>
      <c r="S46" s="114">
        <f t="shared" si="10"/>
        <v>2.4390243902439025E-2</v>
      </c>
      <c r="T46" s="115"/>
      <c r="U46" s="116" t="e">
        <f t="shared" si="11"/>
        <v>#DIV/0!</v>
      </c>
      <c r="V46" s="117"/>
      <c r="W46" s="118">
        <f t="shared" si="12"/>
        <v>1.25</v>
      </c>
      <c r="X46" s="318" t="e">
        <f t="shared" si="13"/>
        <v>#DIV/0!</v>
      </c>
    </row>
    <row r="47" spans="1:24" s="1" customFormat="1" ht="15" customHeight="1" x14ac:dyDescent="0.2">
      <c r="A47" s="120" t="s">
        <v>48</v>
      </c>
      <c r="B47" s="129"/>
      <c r="C47" s="113"/>
      <c r="D47" s="586"/>
      <c r="E47" s="587"/>
      <c r="F47" s="586"/>
      <c r="G47" s="587"/>
      <c r="H47" s="45">
        <v>0</v>
      </c>
      <c r="I47" s="114">
        <f t="shared" si="7"/>
        <v>0</v>
      </c>
      <c r="J47" s="45">
        <f>0</f>
        <v>0</v>
      </c>
      <c r="K47" s="114">
        <f>J47/K$39</f>
        <v>0</v>
      </c>
      <c r="L47" s="45">
        <v>0</v>
      </c>
      <c r="M47" s="114">
        <f>L47/M$39</f>
        <v>0</v>
      </c>
      <c r="N47" s="45">
        <v>0</v>
      </c>
      <c r="O47" s="114">
        <f>N47/O$39</f>
        <v>0</v>
      </c>
      <c r="P47" s="45">
        <v>0</v>
      </c>
      <c r="Q47" s="114">
        <f>P47/Q$39</f>
        <v>0</v>
      </c>
      <c r="R47" s="115">
        <v>0</v>
      </c>
      <c r="S47" s="114">
        <f>R47/S$39</f>
        <v>0</v>
      </c>
      <c r="T47" s="115"/>
      <c r="U47" s="116" t="e">
        <f>T47/U$39</f>
        <v>#DIV/0!</v>
      </c>
      <c r="V47" s="117"/>
      <c r="W47" s="118">
        <f t="shared" si="12"/>
        <v>0</v>
      </c>
      <c r="X47" s="318" t="e">
        <f t="shared" si="13"/>
        <v>#DIV/0!</v>
      </c>
    </row>
    <row r="48" spans="1:24" s="1" customFormat="1" ht="15" customHeight="1" thickBot="1" x14ac:dyDescent="0.25">
      <c r="A48" s="325" t="s">
        <v>49</v>
      </c>
      <c r="B48" s="281">
        <v>0</v>
      </c>
      <c r="C48" s="326">
        <f t="shared" si="5"/>
        <v>0</v>
      </c>
      <c r="D48" s="281">
        <v>0</v>
      </c>
      <c r="E48" s="327">
        <f t="shared" si="6"/>
        <v>0</v>
      </c>
      <c r="F48" s="281">
        <v>0</v>
      </c>
      <c r="G48" s="327">
        <f t="shared" si="6"/>
        <v>0</v>
      </c>
      <c r="H48" s="281">
        <v>0</v>
      </c>
      <c r="I48" s="327">
        <f t="shared" si="7"/>
        <v>0</v>
      </c>
      <c r="J48" s="281">
        <f>0</f>
        <v>0</v>
      </c>
      <c r="K48" s="327">
        <f t="shared" si="6"/>
        <v>0</v>
      </c>
      <c r="L48" s="281">
        <v>0</v>
      </c>
      <c r="M48" s="327">
        <f>L48/M$39</f>
        <v>0</v>
      </c>
      <c r="N48" s="281">
        <v>0</v>
      </c>
      <c r="O48" s="327">
        <f>N48/O$39</f>
        <v>0</v>
      </c>
      <c r="P48" s="281">
        <v>0</v>
      </c>
      <c r="Q48" s="327">
        <f>P48/Q$39</f>
        <v>0</v>
      </c>
      <c r="R48" s="328">
        <v>0</v>
      </c>
      <c r="S48" s="327">
        <f>R48/S$39</f>
        <v>0</v>
      </c>
      <c r="T48" s="328"/>
      <c r="U48" s="329" t="e">
        <f>T48/U$39</f>
        <v>#DIV/0!</v>
      </c>
      <c r="V48" s="117"/>
      <c r="W48" s="330">
        <f t="shared" si="12"/>
        <v>0</v>
      </c>
      <c r="X48" s="331" t="e">
        <f t="shared" si="13"/>
        <v>#DIV/0!</v>
      </c>
    </row>
    <row r="49" spans="1:24" s="1" customFormat="1" ht="15" customHeight="1" x14ac:dyDescent="0.2">
      <c r="A49" s="307" t="s">
        <v>50</v>
      </c>
      <c r="B49" s="319"/>
      <c r="C49" s="320"/>
      <c r="D49" s="319"/>
      <c r="E49" s="321"/>
      <c r="F49" s="319"/>
      <c r="G49" s="321"/>
      <c r="H49" s="319"/>
      <c r="I49" s="321"/>
      <c r="J49" s="319"/>
      <c r="K49" s="321"/>
      <c r="L49" s="319"/>
      <c r="M49" s="321"/>
      <c r="N49" s="319"/>
      <c r="O49" s="321"/>
      <c r="P49" s="319"/>
      <c r="Q49" s="321"/>
      <c r="R49" s="322"/>
      <c r="S49" s="321"/>
      <c r="T49" s="322"/>
      <c r="U49" s="323"/>
      <c r="V49" s="117"/>
      <c r="W49" s="317"/>
      <c r="X49" s="318"/>
    </row>
    <row r="50" spans="1:24" s="1" customFormat="1" ht="15" customHeight="1" x14ac:dyDescent="0.2">
      <c r="A50" s="110" t="s">
        <v>51</v>
      </c>
      <c r="B50" s="40">
        <v>25</v>
      </c>
      <c r="C50" s="113">
        <f>B50/C$39</f>
        <v>0.73529411764705888</v>
      </c>
      <c r="D50" s="40">
        <v>23</v>
      </c>
      <c r="E50" s="114">
        <f>D50/E$39</f>
        <v>0.65714285714285714</v>
      </c>
      <c r="F50" s="40">
        <v>23</v>
      </c>
      <c r="G50" s="114">
        <f>F50/G$39</f>
        <v>0.65714285714285714</v>
      </c>
      <c r="H50" s="40">
        <v>23</v>
      </c>
      <c r="I50" s="114">
        <f>H50/I$39</f>
        <v>0.53488372093023251</v>
      </c>
      <c r="J50" s="40">
        <f>20</f>
        <v>20</v>
      </c>
      <c r="K50" s="114">
        <f>J50/K$39</f>
        <v>0.51282051282051277</v>
      </c>
      <c r="L50" s="40">
        <v>19</v>
      </c>
      <c r="M50" s="114">
        <f>L50/M$39</f>
        <v>0.51351351351351349</v>
      </c>
      <c r="N50" s="40">
        <v>23</v>
      </c>
      <c r="O50" s="114">
        <f>N50/O$39</f>
        <v>0.53488372093023251</v>
      </c>
      <c r="P50" s="40">
        <v>19</v>
      </c>
      <c r="Q50" s="114">
        <f>P50/Q$39</f>
        <v>0.47499999999999998</v>
      </c>
      <c r="R50" s="76">
        <v>21</v>
      </c>
      <c r="S50" s="114">
        <f>R50/S$39</f>
        <v>0.51219512195121952</v>
      </c>
      <c r="T50" s="76"/>
      <c r="U50" s="116" t="e">
        <f>T50/U$39</f>
        <v>#DIV/0!</v>
      </c>
      <c r="V50" s="117"/>
      <c r="W50" s="118">
        <f t="shared" si="12"/>
        <v>20.5</v>
      </c>
      <c r="X50" s="318" t="e">
        <f t="shared" si="13"/>
        <v>#DIV/0!</v>
      </c>
    </row>
    <row r="51" spans="1:24" s="1" customFormat="1" ht="15" customHeight="1" thickBot="1" x14ac:dyDescent="0.25">
      <c r="A51" s="325" t="s">
        <v>52</v>
      </c>
      <c r="B51" s="284">
        <v>9</v>
      </c>
      <c r="C51" s="326">
        <f>B51/C$39</f>
        <v>0.26470588235294118</v>
      </c>
      <c r="D51" s="284">
        <v>12</v>
      </c>
      <c r="E51" s="327">
        <f>D51/E$39</f>
        <v>0.34285714285714286</v>
      </c>
      <c r="F51" s="284">
        <v>12</v>
      </c>
      <c r="G51" s="327">
        <f>F51/G$39</f>
        <v>0.34285714285714286</v>
      </c>
      <c r="H51" s="284">
        <v>20</v>
      </c>
      <c r="I51" s="327">
        <f>H51/I$39</f>
        <v>0.46511627906976744</v>
      </c>
      <c r="J51" s="284">
        <f>5+14</f>
        <v>19</v>
      </c>
      <c r="K51" s="327">
        <f>J51/K$39</f>
        <v>0.48717948717948717</v>
      </c>
      <c r="L51" s="284">
        <v>18</v>
      </c>
      <c r="M51" s="327">
        <f>L51/M$39</f>
        <v>0.48648648648648651</v>
      </c>
      <c r="N51" s="284">
        <v>20</v>
      </c>
      <c r="O51" s="327">
        <f>N51/O$39</f>
        <v>0.46511627906976744</v>
      </c>
      <c r="P51" s="284">
        <v>21</v>
      </c>
      <c r="Q51" s="327">
        <f>P51/Q$39</f>
        <v>0.52500000000000002</v>
      </c>
      <c r="R51" s="332">
        <v>20</v>
      </c>
      <c r="S51" s="327">
        <f>R51/S$39</f>
        <v>0.48780487804878048</v>
      </c>
      <c r="T51" s="332"/>
      <c r="U51" s="329" t="e">
        <f>T51/U$39</f>
        <v>#DIV/0!</v>
      </c>
      <c r="V51" s="117"/>
      <c r="W51" s="330">
        <f t="shared" si="12"/>
        <v>19.75</v>
      </c>
      <c r="X51" s="331" t="e">
        <f t="shared" si="13"/>
        <v>#DIV/0!</v>
      </c>
    </row>
    <row r="52" spans="1:24" s="1" customFormat="1" ht="15" customHeight="1" x14ac:dyDescent="0.2">
      <c r="A52" s="307" t="s">
        <v>53</v>
      </c>
      <c r="B52" s="277"/>
      <c r="C52" s="313"/>
      <c r="D52" s="277"/>
      <c r="E52" s="314"/>
      <c r="F52" s="277"/>
      <c r="G52" s="314"/>
      <c r="H52" s="277"/>
      <c r="I52" s="314"/>
      <c r="J52" s="277"/>
      <c r="K52" s="314"/>
      <c r="L52" s="277"/>
      <c r="M52" s="314"/>
      <c r="N52" s="277"/>
      <c r="O52" s="314"/>
      <c r="P52" s="277"/>
      <c r="Q52" s="314"/>
      <c r="R52" s="324"/>
      <c r="S52" s="314"/>
      <c r="T52" s="324"/>
      <c r="U52" s="316"/>
      <c r="V52" s="117"/>
      <c r="W52" s="317"/>
      <c r="X52" s="318"/>
    </row>
    <row r="53" spans="1:24" s="1" customFormat="1" ht="15" customHeight="1" x14ac:dyDescent="0.2">
      <c r="A53" s="110" t="s">
        <v>54</v>
      </c>
      <c r="B53" s="41">
        <v>18</v>
      </c>
      <c r="C53" s="113">
        <f>B53/C$39</f>
        <v>0.52941176470588236</v>
      </c>
      <c r="D53" s="41">
        <v>21</v>
      </c>
      <c r="E53" s="114">
        <f>D53/E$39</f>
        <v>0.6</v>
      </c>
      <c r="F53" s="41">
        <v>20</v>
      </c>
      <c r="G53" s="114">
        <f>F53/G$39</f>
        <v>0.5714285714285714</v>
      </c>
      <c r="H53" s="41">
        <v>22</v>
      </c>
      <c r="I53" s="114">
        <f>H53/I$39</f>
        <v>0.51162790697674421</v>
      </c>
      <c r="J53" s="41">
        <f>20</f>
        <v>20</v>
      </c>
      <c r="K53" s="114">
        <f>J53/K$39</f>
        <v>0.51282051282051277</v>
      </c>
      <c r="L53" s="41">
        <v>20</v>
      </c>
      <c r="M53" s="114">
        <f>L53/M$39</f>
        <v>0.54054054054054057</v>
      </c>
      <c r="N53" s="41">
        <v>21</v>
      </c>
      <c r="O53" s="114">
        <f>N53/O$39</f>
        <v>0.48837209302325579</v>
      </c>
      <c r="P53" s="41">
        <v>19</v>
      </c>
      <c r="Q53" s="114">
        <f>P53/Q$39</f>
        <v>0.47499999999999998</v>
      </c>
      <c r="R53" s="121">
        <v>20</v>
      </c>
      <c r="S53" s="114">
        <f>R53/S$39</f>
        <v>0.48780487804878048</v>
      </c>
      <c r="T53" s="121"/>
      <c r="U53" s="116" t="e">
        <f>T53/U$39</f>
        <v>#DIV/0!</v>
      </c>
      <c r="V53" s="117"/>
      <c r="W53" s="118">
        <f t="shared" si="12"/>
        <v>20</v>
      </c>
      <c r="X53" s="318" t="e">
        <f t="shared" si="13"/>
        <v>#DIV/0!</v>
      </c>
    </row>
    <row r="54" spans="1:24" s="1" customFormat="1" ht="15" customHeight="1" x14ac:dyDescent="0.2">
      <c r="A54" s="110" t="s">
        <v>55</v>
      </c>
      <c r="B54" s="41">
        <v>11</v>
      </c>
      <c r="C54" s="113">
        <f>B54/C$39</f>
        <v>0.3235294117647059</v>
      </c>
      <c r="D54" s="41">
        <v>8</v>
      </c>
      <c r="E54" s="114">
        <f>D54/E$39</f>
        <v>0.22857142857142856</v>
      </c>
      <c r="F54" s="41">
        <v>8</v>
      </c>
      <c r="G54" s="114">
        <f>F54/G$39</f>
        <v>0.22857142857142856</v>
      </c>
      <c r="H54" s="41">
        <v>6</v>
      </c>
      <c r="I54" s="114">
        <f>H54/I$39</f>
        <v>0.13953488372093023</v>
      </c>
      <c r="J54" s="41">
        <f>5</f>
        <v>5</v>
      </c>
      <c r="K54" s="114">
        <f>J54/K$39</f>
        <v>0.12820512820512819</v>
      </c>
      <c r="L54" s="41">
        <v>5</v>
      </c>
      <c r="M54" s="114">
        <f>L54/M$39</f>
        <v>0.13513513513513514</v>
      </c>
      <c r="N54" s="41">
        <v>5</v>
      </c>
      <c r="O54" s="114">
        <f>N54/O$39</f>
        <v>0.11627906976744186</v>
      </c>
      <c r="P54" s="41">
        <v>7</v>
      </c>
      <c r="Q54" s="114">
        <f>P54/Q$39</f>
        <v>0.17499999999999999</v>
      </c>
      <c r="R54" s="121">
        <v>5</v>
      </c>
      <c r="S54" s="114">
        <f>R54/S$39</f>
        <v>0.12195121951219512</v>
      </c>
      <c r="T54" s="121"/>
      <c r="U54" s="116" t="e">
        <f>T54/U$39</f>
        <v>#DIV/0!</v>
      </c>
      <c r="V54" s="117"/>
      <c r="W54" s="118">
        <f t="shared" si="12"/>
        <v>5.5</v>
      </c>
      <c r="X54" s="318" t="e">
        <f t="shared" si="13"/>
        <v>#DIV/0!</v>
      </c>
    </row>
    <row r="55" spans="1:24" s="1" customFormat="1" ht="15" customHeight="1" thickBot="1" x14ac:dyDescent="0.25">
      <c r="A55" s="325" t="s">
        <v>56</v>
      </c>
      <c r="B55" s="284">
        <v>5</v>
      </c>
      <c r="C55" s="326">
        <f>B55/C$39</f>
        <v>0.14705882352941177</v>
      </c>
      <c r="D55" s="284">
        <v>6</v>
      </c>
      <c r="E55" s="327">
        <f>D55/E$39</f>
        <v>0.17142857142857143</v>
      </c>
      <c r="F55" s="284">
        <v>7</v>
      </c>
      <c r="G55" s="327">
        <f>F55/G$39</f>
        <v>0.2</v>
      </c>
      <c r="H55" s="284">
        <v>15</v>
      </c>
      <c r="I55" s="327">
        <f>H55/I$39</f>
        <v>0.34883720930232559</v>
      </c>
      <c r="J55" s="284">
        <f>5+9</f>
        <v>14</v>
      </c>
      <c r="K55" s="327">
        <f>J55/K$39</f>
        <v>0.35897435897435898</v>
      </c>
      <c r="L55" s="284">
        <v>12</v>
      </c>
      <c r="M55" s="327">
        <f>L55/M$39</f>
        <v>0.32432432432432434</v>
      </c>
      <c r="N55" s="284">
        <v>17</v>
      </c>
      <c r="O55" s="327">
        <f>N55/O$39</f>
        <v>0.39534883720930231</v>
      </c>
      <c r="P55" s="284">
        <v>14</v>
      </c>
      <c r="Q55" s="327">
        <f>P55/Q$39</f>
        <v>0.35</v>
      </c>
      <c r="R55" s="332">
        <v>16</v>
      </c>
      <c r="S55" s="327">
        <f>R55/S$39</f>
        <v>0.3902439024390244</v>
      </c>
      <c r="T55" s="332"/>
      <c r="U55" s="329" t="e">
        <f>T55/U$39</f>
        <v>#DIV/0!</v>
      </c>
      <c r="V55" s="117"/>
      <c r="W55" s="330">
        <f t="shared" si="12"/>
        <v>14.75</v>
      </c>
      <c r="X55" s="331" t="e">
        <f t="shared" si="13"/>
        <v>#DIV/0!</v>
      </c>
    </row>
    <row r="56" spans="1:24" s="1" customFormat="1" ht="15" customHeight="1" x14ac:dyDescent="0.2">
      <c r="A56" s="307" t="s">
        <v>57</v>
      </c>
      <c r="B56" s="277"/>
      <c r="C56" s="313"/>
      <c r="D56" s="277"/>
      <c r="E56" s="314"/>
      <c r="F56" s="277"/>
      <c r="G56" s="314"/>
      <c r="H56" s="277"/>
      <c r="I56" s="314"/>
      <c r="J56" s="277"/>
      <c r="K56" s="314"/>
      <c r="L56" s="277"/>
      <c r="M56" s="314"/>
      <c r="N56" s="277"/>
      <c r="O56" s="314"/>
      <c r="P56" s="277"/>
      <c r="Q56" s="314"/>
      <c r="R56" s="324"/>
      <c r="S56" s="314"/>
      <c r="T56" s="324"/>
      <c r="U56" s="316"/>
      <c r="V56" s="117"/>
      <c r="W56" s="317"/>
      <c r="X56" s="318"/>
    </row>
    <row r="57" spans="1:24" s="1" customFormat="1" ht="15" customHeight="1" x14ac:dyDescent="0.2">
      <c r="A57" s="110" t="s">
        <v>58</v>
      </c>
      <c r="B57" s="41">
        <v>33</v>
      </c>
      <c r="C57" s="113">
        <f>B57/C$39</f>
        <v>0.97058823529411764</v>
      </c>
      <c r="D57" s="41">
        <v>33</v>
      </c>
      <c r="E57" s="114">
        <f>D57/E$39</f>
        <v>0.94285714285714284</v>
      </c>
      <c r="F57" s="41">
        <v>33</v>
      </c>
      <c r="G57" s="114">
        <f>F57/G$39</f>
        <v>0.94285714285714284</v>
      </c>
      <c r="H57" s="41">
        <v>41</v>
      </c>
      <c r="I57" s="114">
        <f>H57/I$39</f>
        <v>0.95348837209302328</v>
      </c>
      <c r="J57" s="41">
        <f>5+32</f>
        <v>37</v>
      </c>
      <c r="K57" s="114">
        <f>J57/K$39</f>
        <v>0.94871794871794868</v>
      </c>
      <c r="L57" s="41">
        <v>36</v>
      </c>
      <c r="M57" s="114">
        <f>L57/M$39</f>
        <v>0.97297297297297303</v>
      </c>
      <c r="N57" s="41">
        <v>41</v>
      </c>
      <c r="O57" s="114">
        <f>N57/O$39</f>
        <v>0.95348837209302328</v>
      </c>
      <c r="P57" s="41">
        <v>40</v>
      </c>
      <c r="Q57" s="114">
        <f>P57/Q$39</f>
        <v>1</v>
      </c>
      <c r="R57" s="121">
        <v>39</v>
      </c>
      <c r="S57" s="114">
        <f>R57/S$39</f>
        <v>0.95121951219512191</v>
      </c>
      <c r="T57" s="121"/>
      <c r="U57" s="116" t="e">
        <f>T57/U$39</f>
        <v>#DIV/0!</v>
      </c>
      <c r="V57" s="117"/>
      <c r="W57" s="118">
        <f t="shared" si="12"/>
        <v>39</v>
      </c>
      <c r="X57" s="318" t="e">
        <f t="shared" si="13"/>
        <v>#DIV/0!</v>
      </c>
    </row>
    <row r="58" spans="1:24" s="1" customFormat="1" ht="15" customHeight="1" x14ac:dyDescent="0.2">
      <c r="A58" s="110" t="s">
        <v>59</v>
      </c>
      <c r="B58" s="41">
        <v>1</v>
      </c>
      <c r="C58" s="113">
        <f>B58/C$39</f>
        <v>2.9411764705882353E-2</v>
      </c>
      <c r="D58" s="41">
        <v>2</v>
      </c>
      <c r="E58" s="114">
        <f>D58/E$39</f>
        <v>5.7142857142857141E-2</v>
      </c>
      <c r="F58" s="41">
        <v>2</v>
      </c>
      <c r="G58" s="114">
        <f>F58/G$39</f>
        <v>5.7142857142857141E-2</v>
      </c>
      <c r="H58" s="41">
        <v>2</v>
      </c>
      <c r="I58" s="114">
        <f>H58/I$39</f>
        <v>4.6511627906976744E-2</v>
      </c>
      <c r="J58" s="41">
        <f>2</f>
        <v>2</v>
      </c>
      <c r="K58" s="114">
        <f>J58/K$39</f>
        <v>5.128205128205128E-2</v>
      </c>
      <c r="L58" s="41">
        <v>1</v>
      </c>
      <c r="M58" s="114">
        <f>L58/M$39</f>
        <v>2.7027027027027029E-2</v>
      </c>
      <c r="N58" s="41">
        <v>2</v>
      </c>
      <c r="O58" s="114">
        <f>N58/O$39</f>
        <v>4.6511627906976744E-2</v>
      </c>
      <c r="P58" s="41">
        <v>0</v>
      </c>
      <c r="Q58" s="114">
        <f>P58/Q$39</f>
        <v>0</v>
      </c>
      <c r="R58" s="121">
        <v>2</v>
      </c>
      <c r="S58" s="114">
        <f>R58/S$39</f>
        <v>4.878048780487805E-2</v>
      </c>
      <c r="T58" s="121"/>
      <c r="U58" s="116" t="e">
        <f>T58/U$39</f>
        <v>#DIV/0!</v>
      </c>
      <c r="V58" s="117"/>
      <c r="W58" s="118">
        <f t="shared" si="12"/>
        <v>1.25</v>
      </c>
      <c r="X58" s="318" t="e">
        <f t="shared" si="13"/>
        <v>#DIV/0!</v>
      </c>
    </row>
    <row r="59" spans="1:24" s="1" customFormat="1" ht="15" customHeight="1" x14ac:dyDescent="0.2">
      <c r="A59" s="110" t="s">
        <v>60</v>
      </c>
      <c r="B59" s="41">
        <v>0</v>
      </c>
      <c r="C59" s="113">
        <f>B59/C$39</f>
        <v>0</v>
      </c>
      <c r="D59" s="41">
        <v>0</v>
      </c>
      <c r="E59" s="114">
        <f>D59/E$39</f>
        <v>0</v>
      </c>
      <c r="F59" s="41">
        <v>0</v>
      </c>
      <c r="G59" s="114">
        <f>F59/G$39</f>
        <v>0</v>
      </c>
      <c r="H59" s="41">
        <v>0</v>
      </c>
      <c r="I59" s="114">
        <f>H59/I$39</f>
        <v>0</v>
      </c>
      <c r="J59" s="41">
        <f>0</f>
        <v>0</v>
      </c>
      <c r="K59" s="114">
        <f>J59/K$39</f>
        <v>0</v>
      </c>
      <c r="L59" s="41">
        <v>0</v>
      </c>
      <c r="M59" s="114">
        <f>L59/M$39</f>
        <v>0</v>
      </c>
      <c r="N59" s="41">
        <v>0</v>
      </c>
      <c r="O59" s="114">
        <f>N59/O$39</f>
        <v>0</v>
      </c>
      <c r="P59" s="41">
        <v>0</v>
      </c>
      <c r="Q59" s="114">
        <f>P59/Q$39</f>
        <v>0</v>
      </c>
      <c r="R59" s="121">
        <v>0</v>
      </c>
      <c r="S59" s="114">
        <f>R59/S$39</f>
        <v>0</v>
      </c>
      <c r="T59" s="121"/>
      <c r="U59" s="116" t="e">
        <f>T59/U$39</f>
        <v>#DIV/0!</v>
      </c>
      <c r="V59" s="72"/>
      <c r="W59" s="118">
        <f t="shared" si="12"/>
        <v>0</v>
      </c>
      <c r="X59" s="318" t="e">
        <f t="shared" si="13"/>
        <v>#DIV/0!</v>
      </c>
    </row>
    <row r="60" spans="1:24" s="1" customFormat="1" ht="15" customHeight="1" thickBot="1" x14ac:dyDescent="0.25">
      <c r="A60" s="122" t="s">
        <v>61</v>
      </c>
      <c r="B60" s="46">
        <v>0</v>
      </c>
      <c r="C60" s="123">
        <f>B60/C$39</f>
        <v>0</v>
      </c>
      <c r="D60" s="46">
        <v>0</v>
      </c>
      <c r="E60" s="124">
        <f>D60/E$39</f>
        <v>0</v>
      </c>
      <c r="F60" s="46">
        <v>0</v>
      </c>
      <c r="G60" s="124">
        <f>F60/G$39</f>
        <v>0</v>
      </c>
      <c r="H60" s="46">
        <v>0</v>
      </c>
      <c r="I60" s="124">
        <f>H60/I$39</f>
        <v>0</v>
      </c>
      <c r="J60" s="46">
        <f>0</f>
        <v>0</v>
      </c>
      <c r="K60" s="124">
        <f>J60/K$39</f>
        <v>0</v>
      </c>
      <c r="L60" s="46">
        <v>0</v>
      </c>
      <c r="M60" s="124">
        <f>L60/M$39</f>
        <v>0</v>
      </c>
      <c r="N60" s="46">
        <v>0</v>
      </c>
      <c r="O60" s="124">
        <f>N60/O$39</f>
        <v>0</v>
      </c>
      <c r="P60" s="46">
        <v>0</v>
      </c>
      <c r="Q60" s="124">
        <f>P60/Q$39</f>
        <v>0</v>
      </c>
      <c r="R60" s="125">
        <v>0</v>
      </c>
      <c r="S60" s="124">
        <f>R60/S$39</f>
        <v>0</v>
      </c>
      <c r="T60" s="125"/>
      <c r="U60" s="126" t="e">
        <f>T60/U$39</f>
        <v>#DIV/0!</v>
      </c>
      <c r="V60" s="72"/>
      <c r="W60" s="127">
        <f t="shared" si="12"/>
        <v>0</v>
      </c>
      <c r="X60" s="128" t="e">
        <f t="shared" si="13"/>
        <v>#DIV/0!</v>
      </c>
    </row>
    <row r="61" spans="1:24" ht="15" customHeight="1" thickTop="1" x14ac:dyDescent="0.2">
      <c r="A61" s="165" t="s">
        <v>100</v>
      </c>
    </row>
    <row r="62" spans="1:24" ht="15" customHeight="1" x14ac:dyDescent="0.2">
      <c r="A62" s="1"/>
      <c r="H62" s="32" t="s">
        <v>14</v>
      </c>
      <c r="J62" s="32" t="s">
        <v>14</v>
      </c>
      <c r="L62" s="32" t="s">
        <v>14</v>
      </c>
      <c r="N62" s="32" t="s">
        <v>14</v>
      </c>
      <c r="P62" s="32" t="s">
        <v>14</v>
      </c>
      <c r="R62" s="32" t="s">
        <v>14</v>
      </c>
      <c r="T62" s="32" t="s">
        <v>14</v>
      </c>
    </row>
    <row r="63" spans="1:24" x14ac:dyDescent="0.2">
      <c r="A63" s="1"/>
    </row>
    <row r="64" spans="1:24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</sheetData>
  <mergeCells count="55">
    <mergeCell ref="N21:O21"/>
    <mergeCell ref="P21:Q21"/>
    <mergeCell ref="R21:S21"/>
    <mergeCell ref="W21:X21"/>
    <mergeCell ref="L21:M21"/>
    <mergeCell ref="T21:U21"/>
    <mergeCell ref="B21:C21"/>
    <mergeCell ref="D21:E21"/>
    <mergeCell ref="F21:G21"/>
    <mergeCell ref="H21:I21"/>
    <mergeCell ref="J21:K21"/>
    <mergeCell ref="L18:M18"/>
    <mergeCell ref="N18:O18"/>
    <mergeCell ref="P18:Q18"/>
    <mergeCell ref="R18:S18"/>
    <mergeCell ref="W18:X18"/>
    <mergeCell ref="T18:U18"/>
    <mergeCell ref="B18:C18"/>
    <mergeCell ref="D18:E18"/>
    <mergeCell ref="F18:G18"/>
    <mergeCell ref="H18:I18"/>
    <mergeCell ref="J18:K18"/>
    <mergeCell ref="L11:M11"/>
    <mergeCell ref="N11:O11"/>
    <mergeCell ref="P11:Q11"/>
    <mergeCell ref="R11:S11"/>
    <mergeCell ref="W11:X11"/>
    <mergeCell ref="T11:U11"/>
    <mergeCell ref="B11:C11"/>
    <mergeCell ref="D11:E11"/>
    <mergeCell ref="F11:G11"/>
    <mergeCell ref="H11:I11"/>
    <mergeCell ref="J11:K11"/>
    <mergeCell ref="N27:O27"/>
    <mergeCell ref="P27:Q27"/>
    <mergeCell ref="R27:S27"/>
    <mergeCell ref="W27:X27"/>
    <mergeCell ref="B27:C27"/>
    <mergeCell ref="D27:E27"/>
    <mergeCell ref="F27:G27"/>
    <mergeCell ref="H27:I27"/>
    <mergeCell ref="J27:K27"/>
    <mergeCell ref="L27:M27"/>
    <mergeCell ref="T27:U27"/>
    <mergeCell ref="B10:C10"/>
    <mergeCell ref="D10:E10"/>
    <mergeCell ref="F10:G10"/>
    <mergeCell ref="H10:I10"/>
    <mergeCell ref="J10:K10"/>
    <mergeCell ref="W10:X10"/>
    <mergeCell ref="L10:M10"/>
    <mergeCell ref="N10:O10"/>
    <mergeCell ref="P10:Q10"/>
    <mergeCell ref="R10:S10"/>
    <mergeCell ref="T10:U10"/>
  </mergeCells>
  <pageMargins left="0.75" right="0.75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25" max="23" man="1"/>
  </rowBreaks>
  <ignoredErrors>
    <ignoredError sqref="J41:K6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4"/>
  <sheetViews>
    <sheetView tabSelected="1" zoomScaleNormal="100" workbookViewId="0">
      <selection activeCell="A5" sqref="A5"/>
    </sheetView>
  </sheetViews>
  <sheetFormatPr defaultRowHeight="12.75" x14ac:dyDescent="0.2"/>
  <cols>
    <col min="1" max="1" width="34.140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hidden="1" customWidth="1"/>
    <col min="7" max="7" width="10.7109375" hidden="1" customWidth="1"/>
    <col min="8" max="8" width="6.7109375" hidden="1" customWidth="1"/>
    <col min="9" max="9" width="10.7109375" hidden="1" customWidth="1"/>
    <col min="10" max="10" width="8.5703125" bestFit="1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2" width="10.7109375" customWidth="1"/>
  </cols>
  <sheetData>
    <row r="1" spans="1:23" ht="15.75" x14ac:dyDescent="0.25">
      <c r="A1" s="236" t="s">
        <v>90</v>
      </c>
    </row>
    <row r="2" spans="1:23" ht="15.75" x14ac:dyDescent="0.25">
      <c r="A2" s="236" t="s">
        <v>91</v>
      </c>
    </row>
    <row r="3" spans="1:23" ht="15.75" x14ac:dyDescent="0.25">
      <c r="A3" s="236"/>
    </row>
    <row r="4" spans="1:23" ht="15.75" x14ac:dyDescent="0.25">
      <c r="A4" s="238" t="s">
        <v>92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</row>
    <row r="5" spans="1:23" ht="15.75" x14ac:dyDescent="0.25">
      <c r="A5" s="238"/>
    </row>
    <row r="6" spans="1:23" x14ac:dyDescent="0.2">
      <c r="A6" s="2" t="s">
        <v>121</v>
      </c>
    </row>
    <row r="7" spans="1:23" x14ac:dyDescent="0.2">
      <c r="A7" s="240"/>
    </row>
    <row r="8" spans="1:23" ht="13.5" thickBot="1" x14ac:dyDescent="0.25"/>
    <row r="9" spans="1:23" ht="13.5" thickTop="1" x14ac:dyDescent="0.2">
      <c r="A9" s="3"/>
      <c r="B9" s="648" t="s">
        <v>0</v>
      </c>
      <c r="C9" s="649"/>
      <c r="D9" s="648" t="s">
        <v>1</v>
      </c>
      <c r="E9" s="649"/>
      <c r="F9" s="648" t="s">
        <v>2</v>
      </c>
      <c r="G9" s="649"/>
      <c r="H9" s="648" t="s">
        <v>3</v>
      </c>
      <c r="I9" s="649"/>
      <c r="J9" s="648" t="s">
        <v>4</v>
      </c>
      <c r="K9" s="649"/>
      <c r="L9" s="648" t="s">
        <v>5</v>
      </c>
      <c r="M9" s="649"/>
      <c r="N9" s="648" t="s">
        <v>6</v>
      </c>
      <c r="O9" s="649"/>
      <c r="P9" s="648" t="s">
        <v>7</v>
      </c>
      <c r="Q9" s="649"/>
      <c r="R9" s="648" t="s">
        <v>8</v>
      </c>
      <c r="S9" s="649"/>
      <c r="T9" s="648" t="s">
        <v>123</v>
      </c>
      <c r="U9" s="652"/>
      <c r="V9" s="595"/>
      <c r="W9" s="289"/>
    </row>
    <row r="10" spans="1:23" ht="24.75" thickBot="1" x14ac:dyDescent="0.25">
      <c r="A10" s="34" t="s">
        <v>117</v>
      </c>
      <c r="B10" s="433" t="s">
        <v>109</v>
      </c>
      <c r="C10" s="432" t="s">
        <v>110</v>
      </c>
      <c r="D10" s="433" t="s">
        <v>109</v>
      </c>
      <c r="E10" s="432" t="s">
        <v>110</v>
      </c>
      <c r="F10" s="431" t="s">
        <v>109</v>
      </c>
      <c r="G10" s="432" t="s">
        <v>110</v>
      </c>
      <c r="H10" s="431" t="s">
        <v>109</v>
      </c>
      <c r="I10" s="432" t="s">
        <v>110</v>
      </c>
      <c r="J10" s="431" t="s">
        <v>109</v>
      </c>
      <c r="K10" s="432" t="s">
        <v>110</v>
      </c>
      <c r="L10" s="431" t="s">
        <v>109</v>
      </c>
      <c r="M10" s="432" t="s">
        <v>110</v>
      </c>
      <c r="N10" s="431" t="s">
        <v>109</v>
      </c>
      <c r="O10" s="432" t="s">
        <v>110</v>
      </c>
      <c r="P10" s="431" t="s">
        <v>109</v>
      </c>
      <c r="Q10" s="489" t="s">
        <v>110</v>
      </c>
      <c r="R10" s="431" t="s">
        <v>109</v>
      </c>
      <c r="S10" s="489" t="s">
        <v>110</v>
      </c>
      <c r="T10" s="490" t="s">
        <v>109</v>
      </c>
      <c r="U10" s="434" t="s">
        <v>110</v>
      </c>
      <c r="V10" s="491"/>
      <c r="W10" s="289"/>
    </row>
    <row r="11" spans="1:23" x14ac:dyDescent="0.2">
      <c r="A11" s="555" t="s">
        <v>122</v>
      </c>
      <c r="B11" s="558">
        <f>'Dean''s Office '!B16</f>
        <v>428</v>
      </c>
      <c r="C11" s="556">
        <f>'Dean''s Office '!C16</f>
        <v>112</v>
      </c>
      <c r="D11" s="558">
        <f>'Dean''s Office '!D16</f>
        <v>439</v>
      </c>
      <c r="E11" s="556">
        <f>'Dean''s Office '!E16</f>
        <v>108</v>
      </c>
      <c r="F11" s="558">
        <f>'Dean''s Office '!F16</f>
        <v>437</v>
      </c>
      <c r="G11" s="556">
        <f>'Dean''s Office '!G16</f>
        <v>103</v>
      </c>
      <c r="H11" s="558">
        <f>'Dean''s Office '!H16</f>
        <v>462</v>
      </c>
      <c r="I11" s="556">
        <f>'Dean''s Office '!I16</f>
        <v>107</v>
      </c>
      <c r="J11" s="558">
        <f>'Dean''s Office '!J16</f>
        <v>457</v>
      </c>
      <c r="K11" s="556">
        <f>'Dean''s Office '!K16</f>
        <v>105</v>
      </c>
      <c r="L11" s="558">
        <f>'Dean''s Office '!L16</f>
        <v>464</v>
      </c>
      <c r="M11" s="556">
        <f>'Dean''s Office '!M16</f>
        <v>105</v>
      </c>
      <c r="N11" s="558">
        <f>'Dean''s Office '!N16</f>
        <v>473</v>
      </c>
      <c r="O11" s="556">
        <f>'Dean''s Office '!O16</f>
        <v>108</v>
      </c>
      <c r="P11" s="558">
        <f>'Dean''s Office '!P16</f>
        <v>482</v>
      </c>
      <c r="Q11" s="556">
        <f>'Dean''s Office '!Q16</f>
        <v>113</v>
      </c>
      <c r="R11" s="558">
        <f>'Dean''s Office '!R16</f>
        <v>470</v>
      </c>
      <c r="S11" s="556">
        <f>'Dean''s Office '!S16</f>
        <v>115</v>
      </c>
      <c r="T11" s="558">
        <f>'Dean''s Office '!T16</f>
        <v>461</v>
      </c>
      <c r="U11" s="624"/>
      <c r="V11" s="491"/>
      <c r="W11" s="289"/>
    </row>
    <row r="12" spans="1:23" x14ac:dyDescent="0.2">
      <c r="A12" s="492" t="s">
        <v>118</v>
      </c>
      <c r="B12" s="559">
        <f>'Dean''s Office '!B12+'Dean''s Office '!B18+'Dean''s Office '!B14</f>
        <v>38</v>
      </c>
      <c r="C12" s="557">
        <f>'Dean''s Office '!C12+'Dean''s Office '!C18+'Dean''s Office '!B14</f>
        <v>7</v>
      </c>
      <c r="D12" s="559">
        <f>'Dean''s Office '!D12+'Dean''s Office '!D18+'Dean''s Office '!D14</f>
        <v>61</v>
      </c>
      <c r="E12" s="557">
        <f>'Dean''s Office '!E12+'Dean''s Office '!E18+'Dean''s Office '!D14</f>
        <v>16</v>
      </c>
      <c r="F12" s="559">
        <f>'Dean''s Office '!F12+'Dean''s Office '!F18+'Dean''s Office '!F14</f>
        <v>90</v>
      </c>
      <c r="G12" s="557">
        <f>'Dean''s Office '!G12+'Dean''s Office '!G18</f>
        <v>21</v>
      </c>
      <c r="H12" s="559">
        <f>'Dean''s Office '!H12+'Dean''s Office '!H18+'Dean''s Office '!H14</f>
        <v>125</v>
      </c>
      <c r="I12" s="557">
        <f>'Dean''s Office '!I12+'Dean''s Office '!I18</f>
        <v>25</v>
      </c>
      <c r="J12" s="559">
        <f>'Dean''s Office '!J12+'Dean''s Office '!J18+'Dean''s Office '!J14</f>
        <v>143</v>
      </c>
      <c r="K12" s="557">
        <f>'Dean''s Office '!K12+'Dean''s Office '!K18</f>
        <v>34</v>
      </c>
      <c r="L12" s="559">
        <f>'Dean''s Office '!L12+'Dean''s Office '!L18+'Dean''s Office '!L14</f>
        <v>113</v>
      </c>
      <c r="M12" s="557">
        <f>'Dean''s Office '!M12+'Dean''s Office '!M18</f>
        <v>44</v>
      </c>
      <c r="N12" s="559">
        <f>'Dean''s Office '!N12+'Dean''s Office '!N18+'Dean''s Office '!N14</f>
        <v>115</v>
      </c>
      <c r="O12" s="557">
        <f>'Dean''s Office '!O12+'Dean''s Office '!O18</f>
        <v>37</v>
      </c>
      <c r="P12" s="559">
        <f>'Dean''s Office '!P12+'Dean''s Office '!P18+'Dean''s Office '!P14</f>
        <v>129</v>
      </c>
      <c r="Q12" s="557">
        <f>'Dean''s Office '!Q12+'Dean''s Office '!Q18</f>
        <v>32</v>
      </c>
      <c r="R12" s="559">
        <f>'Dean''s Office '!R12+'Dean''s Office '!R18+'Dean''s Office '!R14</f>
        <v>126</v>
      </c>
      <c r="S12" s="557">
        <f>'Dean''s Office '!S12+'Dean''s Office '!S18</f>
        <v>24</v>
      </c>
      <c r="T12" s="559">
        <f>'Dean''s Office '!T12+'Dean''s Office '!T18+'Dean''s Office '!T14</f>
        <v>157</v>
      </c>
      <c r="U12" s="625"/>
      <c r="V12" s="289"/>
      <c r="W12" s="289"/>
    </row>
    <row r="13" spans="1:23" x14ac:dyDescent="0.2">
      <c r="A13" s="492" t="s">
        <v>72</v>
      </c>
      <c r="B13" s="559">
        <f>'Anatomy and Physiology'!B13+'Diagnostic Med Pathobiology'!B14</f>
        <v>32</v>
      </c>
      <c r="C13" s="557">
        <f>'Anatomy and Physiology'!C13+'Diagnostic Med Pathobiology'!C14</f>
        <v>7</v>
      </c>
      <c r="D13" s="559">
        <f>'Anatomy and Physiology'!D13+'Diagnostic Med Pathobiology'!D14</f>
        <v>34</v>
      </c>
      <c r="E13" s="557">
        <f>'Anatomy and Physiology'!E13+'Diagnostic Med Pathobiology'!E14</f>
        <v>4</v>
      </c>
      <c r="F13" s="559">
        <f>'Anatomy and Physiology'!F13+'Diagnostic Med Pathobiology'!F14</f>
        <v>35</v>
      </c>
      <c r="G13" s="557">
        <f>'Anatomy and Physiology'!G13+'Diagnostic Med Pathobiology'!G14</f>
        <v>6</v>
      </c>
      <c r="H13" s="559">
        <f>'Anatomy and Physiology'!H13+'Diagnostic Med Pathobiology'!H14</f>
        <v>30</v>
      </c>
      <c r="I13" s="557">
        <f>'Anatomy and Physiology'!I13+'Diagnostic Med Pathobiology'!I14</f>
        <v>11</v>
      </c>
      <c r="J13" s="559">
        <f>'Anatomy and Physiology'!J13+'Diagnostic Med Pathobiology'!J14</f>
        <v>32</v>
      </c>
      <c r="K13" s="557">
        <f>'Anatomy and Physiology'!K13+'Diagnostic Med Pathobiology'!K14</f>
        <v>2</v>
      </c>
      <c r="L13" s="559">
        <f>'Anatomy and Physiology'!L13+'Diagnostic Med Pathobiology'!L14</f>
        <v>44</v>
      </c>
      <c r="M13" s="557">
        <f>'Anatomy and Physiology'!M13+'Diagnostic Med Pathobiology'!M14</f>
        <v>3</v>
      </c>
      <c r="N13" s="559">
        <f>'Anatomy and Physiology'!N13+'Diagnostic Med Pathobiology'!N14</f>
        <v>49</v>
      </c>
      <c r="O13" s="557">
        <f>'Anatomy and Physiology'!O13+'Diagnostic Med Pathobiology'!O14</f>
        <v>16</v>
      </c>
      <c r="P13" s="559">
        <f>'Anatomy and Physiology'!P13+'Diagnostic Med Pathobiology'!P14</f>
        <v>44</v>
      </c>
      <c r="Q13" s="557">
        <f>'Anatomy and Physiology'!Q13+'Diagnostic Med Pathobiology'!Q14</f>
        <v>8</v>
      </c>
      <c r="R13" s="559">
        <f>'Anatomy and Physiology'!R13+'Diagnostic Med Pathobiology'!R14</f>
        <v>44</v>
      </c>
      <c r="S13" s="557">
        <f>'Anatomy and Physiology'!S13+'Diagnostic Med Pathobiology'!S14</f>
        <v>11</v>
      </c>
      <c r="T13" s="559">
        <f>'Anatomy and Physiology'!T13+'Diagnostic Med Pathobiology'!T14</f>
        <v>48</v>
      </c>
      <c r="U13" s="625"/>
      <c r="V13" s="513" t="s">
        <v>14</v>
      </c>
      <c r="W13" s="289"/>
    </row>
    <row r="14" spans="1:23" ht="13.5" thickBot="1" x14ac:dyDescent="0.25">
      <c r="A14" s="493" t="s">
        <v>119</v>
      </c>
      <c r="B14" s="560">
        <f>'Dean''s Office '!B19+'Anatomy and Physiology'!B14</f>
        <v>0</v>
      </c>
      <c r="C14" s="557">
        <f>'Dean''s Office '!C19+'Anatomy and Physiology'!C14</f>
        <v>0</v>
      </c>
      <c r="D14" s="560">
        <f>'Dean''s Office '!D19+'Anatomy and Physiology'!D14</f>
        <v>0</v>
      </c>
      <c r="E14" s="557">
        <f>'Dean''s Office '!E19+'Anatomy and Physiology'!E14</f>
        <v>0</v>
      </c>
      <c r="F14" s="560">
        <f>'Dean''s Office '!F19+'Anatomy and Physiology'!F14</f>
        <v>1</v>
      </c>
      <c r="G14" s="557">
        <f>'Dean''s Office '!G19+'Anatomy and Physiology'!G14</f>
        <v>0</v>
      </c>
      <c r="H14" s="560">
        <f>'Dean''s Office '!H19+'Anatomy and Physiology'!H14</f>
        <v>3</v>
      </c>
      <c r="I14" s="557">
        <f>'Dean''s Office '!I19+'Anatomy and Physiology'!I14</f>
        <v>7</v>
      </c>
      <c r="J14" s="560">
        <f>'Dean''s Office '!J19+'Anatomy and Physiology'!J14</f>
        <v>7</v>
      </c>
      <c r="K14" s="557">
        <f>'Dean''s Office '!K19+'Anatomy and Physiology'!K14</f>
        <v>3</v>
      </c>
      <c r="L14" s="560">
        <f>'Dean''s Office '!L19+'Anatomy and Physiology'!L14</f>
        <v>6</v>
      </c>
      <c r="M14" s="557">
        <f>'Dean''s Office '!M19+'Anatomy and Physiology'!M14</f>
        <v>7</v>
      </c>
      <c r="N14" s="560">
        <f>'Dean''s Office '!N19+'Anatomy and Physiology'!N14</f>
        <v>11</v>
      </c>
      <c r="O14" s="557">
        <f>'Dean''s Office '!O19+'Anatomy and Physiology'!O14</f>
        <v>0</v>
      </c>
      <c r="P14" s="560">
        <f>'Dean''s Office '!P19+'Anatomy and Physiology'!P14</f>
        <v>5</v>
      </c>
      <c r="Q14" s="557">
        <f>'Dean''s Office '!Q19+'Anatomy and Physiology'!Q14</f>
        <v>6</v>
      </c>
      <c r="R14" s="560">
        <f>'Dean''s Office '!R19+'Anatomy and Physiology'!R14</f>
        <v>7</v>
      </c>
      <c r="S14" s="557">
        <f>'Dean''s Office '!S19+'Anatomy and Physiology'!S14</f>
        <v>5</v>
      </c>
      <c r="T14" s="560">
        <f>'Dean''s Office '!T19+'Anatomy and Physiology'!T14</f>
        <v>15</v>
      </c>
      <c r="U14" s="625"/>
      <c r="V14" s="289"/>
      <c r="W14" s="289"/>
    </row>
    <row r="15" spans="1:23" ht="14.25" thickTop="1" thickBot="1" x14ac:dyDescent="0.25">
      <c r="A15" s="494" t="s">
        <v>65</v>
      </c>
      <c r="B15" s="495"/>
      <c r="C15" s="496"/>
      <c r="D15" s="495"/>
      <c r="E15" s="496"/>
      <c r="F15" s="495"/>
      <c r="G15" s="496"/>
      <c r="H15" s="495"/>
      <c r="I15" s="496"/>
      <c r="J15" s="495"/>
      <c r="K15" s="496"/>
      <c r="L15" s="495"/>
      <c r="M15" s="496"/>
      <c r="N15" s="495"/>
      <c r="O15" s="496"/>
      <c r="P15" s="495"/>
      <c r="Q15" s="496"/>
      <c r="R15" s="495"/>
      <c r="S15" s="496"/>
      <c r="T15" s="495"/>
      <c r="U15" s="497"/>
      <c r="V15" s="289"/>
      <c r="W15" s="289"/>
    </row>
    <row r="16" spans="1:23" ht="13.5" thickBot="1" x14ac:dyDescent="0.25">
      <c r="A16" s="500" t="s">
        <v>67</v>
      </c>
      <c r="B16" s="501"/>
      <c r="C16" s="502"/>
      <c r="D16" s="501"/>
      <c r="E16" s="502"/>
      <c r="F16" s="501"/>
      <c r="G16" s="502"/>
      <c r="H16" s="501"/>
      <c r="I16" s="502"/>
      <c r="J16" s="501"/>
      <c r="K16" s="502"/>
      <c r="L16" s="501"/>
      <c r="M16" s="502"/>
      <c r="N16" s="501"/>
      <c r="O16" s="502"/>
      <c r="P16" s="501"/>
      <c r="Q16" s="502"/>
      <c r="R16" s="501"/>
      <c r="S16" s="502"/>
      <c r="T16" s="501"/>
      <c r="U16" s="503"/>
      <c r="V16" s="289"/>
      <c r="W16" s="289"/>
    </row>
    <row r="17" spans="1:23" ht="14.25" thickTop="1" thickBot="1" x14ac:dyDescent="0.25">
      <c r="A17" s="459" t="s">
        <v>17</v>
      </c>
      <c r="B17" s="495"/>
      <c r="C17" s="496"/>
      <c r="D17" s="495"/>
      <c r="E17" s="496"/>
      <c r="F17" s="495"/>
      <c r="G17" s="496"/>
      <c r="H17" s="495"/>
      <c r="I17" s="496"/>
      <c r="J17" s="495"/>
      <c r="K17" s="496"/>
      <c r="L17" s="495"/>
      <c r="M17" s="496"/>
      <c r="N17" s="495"/>
      <c r="O17" s="496"/>
      <c r="P17" s="495"/>
      <c r="Q17" s="496"/>
      <c r="R17" s="495"/>
      <c r="S17" s="496"/>
      <c r="T17" s="495"/>
      <c r="U17" s="497"/>
      <c r="V17" s="289"/>
      <c r="W17" s="289"/>
    </row>
    <row r="18" spans="1:23" x14ac:dyDescent="0.2">
      <c r="A18" s="504" t="s">
        <v>18</v>
      </c>
      <c r="B18" s="505"/>
      <c r="C18" s="506">
        <f>'Dean''s Office '!C21+'Anatomy and Physiology'!C18+'Clinical Sciences'!C12+'Diagnostic Med Pathobiology'!C18</f>
        <v>0</v>
      </c>
      <c r="D18" s="505"/>
      <c r="E18" s="506">
        <f>'Dean''s Office '!E21+'Anatomy and Physiology'!E18+'Clinical Sciences'!E12+'Diagnostic Med Pathobiology'!E18</f>
        <v>0</v>
      </c>
      <c r="F18" s="505"/>
      <c r="G18" s="506">
        <f>'Dean''s Office '!G21+'Anatomy and Physiology'!G18+'Clinical Sciences'!G12+'Diagnostic Med Pathobiology'!G18</f>
        <v>0</v>
      </c>
      <c r="H18" s="505"/>
      <c r="I18" s="506">
        <f>'Dean''s Office '!I21+'Anatomy and Physiology'!I18+'Clinical Sciences'!I12+'Diagnostic Med Pathobiology'!I18</f>
        <v>0</v>
      </c>
      <c r="J18" s="505"/>
      <c r="K18" s="506">
        <f>'Dean''s Office '!K21+'Anatomy and Physiology'!K18+'Clinical Sciences'!K12+'Diagnostic Med Pathobiology'!K18</f>
        <v>15</v>
      </c>
      <c r="L18" s="505"/>
      <c r="M18" s="506">
        <f>'Dean''s Office '!M21+'Anatomy and Physiology'!M18+'Clinical Sciences'!M12+'Diagnostic Med Pathobiology'!M18</f>
        <v>21</v>
      </c>
      <c r="N18" s="505"/>
      <c r="O18" s="506">
        <f>'Dean''s Office '!O21+'Anatomy and Physiology'!O18+'Clinical Sciences'!O12+'Diagnostic Med Pathobiology'!O18</f>
        <v>24</v>
      </c>
      <c r="P18" s="505"/>
      <c r="Q18" s="506">
        <f>'Dean''s Office '!Q21+'Anatomy and Physiology'!Q18+'Clinical Sciences'!Q12+'Diagnostic Med Pathobiology'!Q18</f>
        <v>0</v>
      </c>
      <c r="R18" s="505"/>
      <c r="S18" s="506">
        <f>'Dean''s Office '!S21+'Anatomy and Physiology'!S18+'Clinical Sciences'!S12+'Diagnostic Med Pathobiology'!S18</f>
        <v>0</v>
      </c>
      <c r="T18" s="505"/>
      <c r="U18" s="620"/>
      <c r="V18" s="289"/>
      <c r="W18" s="289"/>
    </row>
    <row r="19" spans="1:23" x14ac:dyDescent="0.2">
      <c r="A19" s="504" t="s">
        <v>19</v>
      </c>
      <c r="B19" s="498"/>
      <c r="C19" s="561">
        <f>'Dean''s Office '!C22+'Anatomy and Physiology'!C19+'Clinical Sciences'!C13+'Diagnostic Med Pathobiology'!C19</f>
        <v>0</v>
      </c>
      <c r="D19" s="498"/>
      <c r="E19" s="561">
        <f>'Dean''s Office '!E22+'Anatomy and Physiology'!E19+'Clinical Sciences'!E13+'Diagnostic Med Pathobiology'!E19</f>
        <v>0</v>
      </c>
      <c r="F19" s="498"/>
      <c r="G19" s="561">
        <f>'Dean''s Office '!G22+'Anatomy and Physiology'!G19+'Clinical Sciences'!G13+'Diagnostic Med Pathobiology'!G19</f>
        <v>44</v>
      </c>
      <c r="H19" s="498"/>
      <c r="I19" s="561">
        <f>'Dean''s Office '!I22+'Anatomy and Physiology'!I19+'Clinical Sciences'!I13+'Diagnostic Med Pathobiology'!I19</f>
        <v>48</v>
      </c>
      <c r="J19" s="498"/>
      <c r="K19" s="561">
        <f>'Dean''s Office '!K22+'Anatomy and Physiology'!K19+'Clinical Sciences'!K13+'Diagnostic Med Pathobiology'!K19</f>
        <v>82</v>
      </c>
      <c r="L19" s="498"/>
      <c r="M19" s="561">
        <f>'Dean''s Office '!M22+'Anatomy and Physiology'!M19+'Clinical Sciences'!M13+'Diagnostic Med Pathobiology'!M19</f>
        <v>195</v>
      </c>
      <c r="N19" s="498"/>
      <c r="O19" s="561">
        <f>'Dean''s Office '!O22+'Anatomy and Physiology'!O19+'Clinical Sciences'!O13+'Diagnostic Med Pathobiology'!O19</f>
        <v>193</v>
      </c>
      <c r="P19" s="498"/>
      <c r="Q19" s="561">
        <f>'Dean''s Office '!Q22+'Anatomy and Physiology'!Q19+'Clinical Sciences'!Q13+'Diagnostic Med Pathobiology'!Q19</f>
        <v>240</v>
      </c>
      <c r="R19" s="498"/>
      <c r="S19" s="561">
        <f>'Dean''s Office '!S22+'Anatomy and Physiology'!S19+'Clinical Sciences'!S13+'Diagnostic Med Pathobiology'!S19</f>
        <v>260</v>
      </c>
      <c r="T19" s="498"/>
      <c r="U19" s="621"/>
      <c r="V19" s="289"/>
      <c r="W19" s="289"/>
    </row>
    <row r="20" spans="1:23" x14ac:dyDescent="0.2">
      <c r="A20" s="504" t="s">
        <v>20</v>
      </c>
      <c r="B20" s="498"/>
      <c r="C20" s="561">
        <f>'Dean''s Office '!C23+'Anatomy and Physiology'!C20+'Clinical Sciences'!C14+'Diagnostic Med Pathobiology'!C20</f>
        <v>18341</v>
      </c>
      <c r="D20" s="498"/>
      <c r="E20" s="561">
        <f>'Dean''s Office '!E23+'Anatomy and Physiology'!E20+'Clinical Sciences'!E14+'Diagnostic Med Pathobiology'!E20</f>
        <v>18768</v>
      </c>
      <c r="F20" s="498"/>
      <c r="G20" s="561">
        <f>'Dean''s Office '!G23+'Anatomy and Physiology'!G20+'Clinical Sciences'!G14+'Diagnostic Med Pathobiology'!G20</f>
        <v>19317</v>
      </c>
      <c r="H20" s="498"/>
      <c r="I20" s="561">
        <f>'Dean''s Office '!I23+'Anatomy and Physiology'!I20+'Clinical Sciences'!I14+'Diagnostic Med Pathobiology'!I20</f>
        <v>20460</v>
      </c>
      <c r="J20" s="498"/>
      <c r="K20" s="561">
        <f>'Dean''s Office '!K23+'Anatomy and Physiology'!K20+'Clinical Sciences'!K14+'Diagnostic Med Pathobiology'!K20</f>
        <v>20082</v>
      </c>
      <c r="L20" s="498"/>
      <c r="M20" s="561">
        <f>'Dean''s Office '!M23+'Anatomy and Physiology'!M20+'Clinical Sciences'!M14+'Diagnostic Med Pathobiology'!M20</f>
        <v>20212</v>
      </c>
      <c r="N20" s="498"/>
      <c r="O20" s="561">
        <f>'Dean''s Office '!O23+'Anatomy and Physiology'!O20+'Clinical Sciences'!O14+'Diagnostic Med Pathobiology'!O20</f>
        <v>19891</v>
      </c>
      <c r="P20" s="498"/>
      <c r="Q20" s="561">
        <f>'Dean''s Office '!Q23+'Anatomy and Physiology'!Q20+'Clinical Sciences'!Q14+'Diagnostic Med Pathobiology'!Q20</f>
        <v>20602</v>
      </c>
      <c r="R20" s="498"/>
      <c r="S20" s="561">
        <f>'Dean''s Office '!S23+'Anatomy and Physiology'!S20+'Clinical Sciences'!S14+'Diagnostic Med Pathobiology'!S20</f>
        <v>20570</v>
      </c>
      <c r="T20" s="498"/>
      <c r="U20" s="621"/>
      <c r="V20" s="289"/>
      <c r="W20" s="289"/>
    </row>
    <row r="21" spans="1:23" ht="13.5" thickBot="1" x14ac:dyDescent="0.25">
      <c r="A21" s="509" t="s">
        <v>21</v>
      </c>
      <c r="B21" s="562"/>
      <c r="C21" s="563">
        <f>'Dean''s Office '!C24+'Anatomy and Physiology'!C21+'Clinical Sciences'!C15+'Diagnostic Med Pathobiology'!C21</f>
        <v>344</v>
      </c>
      <c r="D21" s="562"/>
      <c r="E21" s="563">
        <f>'Dean''s Office '!E24+'Anatomy and Physiology'!E21+'Clinical Sciences'!E15+'Diagnostic Med Pathobiology'!E21</f>
        <v>395</v>
      </c>
      <c r="F21" s="562"/>
      <c r="G21" s="563">
        <f>'Dean''s Office '!G24+'Anatomy and Physiology'!G21+'Clinical Sciences'!G15+'Diagnostic Med Pathobiology'!G21</f>
        <v>431</v>
      </c>
      <c r="H21" s="562"/>
      <c r="I21" s="563">
        <f>'Dean''s Office '!I24+'Anatomy and Physiology'!I21+'Clinical Sciences'!I15+'Diagnostic Med Pathobiology'!I21</f>
        <v>366</v>
      </c>
      <c r="J21" s="562"/>
      <c r="K21" s="563">
        <f>'Dean''s Office '!K24+'Anatomy and Physiology'!K21+'Clinical Sciences'!K15+'Diagnostic Med Pathobiology'!K21</f>
        <v>401</v>
      </c>
      <c r="L21" s="562"/>
      <c r="M21" s="563">
        <f>'Dean''s Office '!M24+'Anatomy and Physiology'!M21+'Clinical Sciences'!M15+'Diagnostic Med Pathobiology'!M21</f>
        <v>522</v>
      </c>
      <c r="N21" s="562"/>
      <c r="O21" s="563">
        <f>'Dean''s Office '!O24+'Anatomy and Physiology'!O21+'Clinical Sciences'!O15+'Diagnostic Med Pathobiology'!O21</f>
        <v>568</v>
      </c>
      <c r="P21" s="562"/>
      <c r="Q21" s="563">
        <f>'Dean''s Office '!Q24+'Anatomy and Physiology'!Q21+'Clinical Sciences'!Q15+'Diagnostic Med Pathobiology'!Q21</f>
        <v>515</v>
      </c>
      <c r="R21" s="562"/>
      <c r="S21" s="563">
        <f>'Dean''s Office '!S24+'Anatomy and Physiology'!S21+'Clinical Sciences'!S15+'Diagnostic Med Pathobiology'!S21</f>
        <v>541</v>
      </c>
      <c r="T21" s="562"/>
      <c r="U21" s="622"/>
      <c r="V21" s="289"/>
      <c r="W21" s="289"/>
    </row>
    <row r="22" spans="1:23" ht="13.5" thickBot="1" x14ac:dyDescent="0.25">
      <c r="A22" s="510" t="s">
        <v>22</v>
      </c>
      <c r="B22" s="511"/>
      <c r="C22" s="512">
        <f>SUM(C18:C21)</f>
        <v>18685</v>
      </c>
      <c r="D22" s="511"/>
      <c r="E22" s="512">
        <f>SUM(E18:E21)</f>
        <v>19163</v>
      </c>
      <c r="F22" s="511"/>
      <c r="G22" s="512">
        <f>SUM(G18:G21)</f>
        <v>19792</v>
      </c>
      <c r="H22" s="511"/>
      <c r="I22" s="512">
        <f>SUM(I18:I21)</f>
        <v>20874</v>
      </c>
      <c r="J22" s="511"/>
      <c r="K22" s="512">
        <f>SUM(K18:K21)</f>
        <v>20580</v>
      </c>
      <c r="L22" s="511"/>
      <c r="M22" s="512">
        <f>SUM(M18:M21)</f>
        <v>20950</v>
      </c>
      <c r="N22" s="511"/>
      <c r="O22" s="512">
        <f>SUM(O18:O21)</f>
        <v>20676</v>
      </c>
      <c r="P22" s="511"/>
      <c r="Q22" s="512">
        <f>SUM(Q18:Q21)</f>
        <v>21357</v>
      </c>
      <c r="R22" s="511"/>
      <c r="S22" s="512">
        <f>SUM(S18:S21)</f>
        <v>21371</v>
      </c>
      <c r="T22" s="511"/>
      <c r="U22" s="623"/>
      <c r="V22" s="513"/>
      <c r="W22" s="289"/>
    </row>
    <row r="23" spans="1:23" ht="14.25" thickTop="1" thickBot="1" x14ac:dyDescent="0.25">
      <c r="A23" s="30"/>
      <c r="T23" s="289"/>
      <c r="U23" s="564"/>
      <c r="V23" s="289"/>
      <c r="W23" s="289"/>
    </row>
    <row r="24" spans="1:23" ht="14.25" thickTop="1" thickBot="1" x14ac:dyDescent="0.25">
      <c r="A24" s="514" t="s">
        <v>62</v>
      </c>
      <c r="B24" s="515" t="s">
        <v>33</v>
      </c>
      <c r="C24" s="516" t="s">
        <v>66</v>
      </c>
      <c r="D24" s="515" t="s">
        <v>33</v>
      </c>
      <c r="E24" s="516" t="s">
        <v>66</v>
      </c>
      <c r="F24" s="246" t="s">
        <v>33</v>
      </c>
      <c r="G24" s="517" t="s">
        <v>66</v>
      </c>
      <c r="H24" s="515" t="s">
        <v>33</v>
      </c>
      <c r="I24" s="516" t="s">
        <v>66</v>
      </c>
      <c r="J24" s="246" t="s">
        <v>33</v>
      </c>
      <c r="K24" s="517" t="s">
        <v>66</v>
      </c>
      <c r="L24" s="515" t="s">
        <v>33</v>
      </c>
      <c r="M24" s="516" t="s">
        <v>66</v>
      </c>
      <c r="N24" s="246" t="s">
        <v>33</v>
      </c>
      <c r="O24" s="517" t="s">
        <v>66</v>
      </c>
      <c r="P24" s="515" t="s">
        <v>33</v>
      </c>
      <c r="Q24" s="516" t="s">
        <v>66</v>
      </c>
      <c r="R24" s="515" t="s">
        <v>33</v>
      </c>
      <c r="S24" s="516" t="s">
        <v>66</v>
      </c>
      <c r="T24" s="246" t="s">
        <v>33</v>
      </c>
      <c r="U24" s="518" t="s">
        <v>66</v>
      </c>
      <c r="V24" s="519"/>
      <c r="W24" s="289"/>
    </row>
    <row r="25" spans="1:23" x14ac:dyDescent="0.2">
      <c r="A25" s="520" t="s">
        <v>63</v>
      </c>
      <c r="B25" s="567"/>
      <c r="C25" s="568"/>
      <c r="D25" s="567"/>
      <c r="E25" s="568"/>
      <c r="F25" s="569"/>
      <c r="G25" s="570"/>
      <c r="H25" s="507">
        <f>'Dean''s Office '!H32+'Dean''s Office '!H33+'Clinical Sciences'!H23</f>
        <v>24</v>
      </c>
      <c r="I25" s="521">
        <f>H25/H12</f>
        <v>0.192</v>
      </c>
      <c r="J25" s="507">
        <f>'Dean''s Office '!J32+'Dean''s Office '!J33+'Clinical Sciences'!J23</f>
        <v>26</v>
      </c>
      <c r="K25" s="521">
        <f>J25/J12</f>
        <v>0.18181818181818182</v>
      </c>
      <c r="L25" s="507">
        <f>'Dean''s Office '!L32+'Dean''s Office '!L33+'Clinical Sciences'!L23</f>
        <v>18</v>
      </c>
      <c r="M25" s="521">
        <f>L25/L12</f>
        <v>0.15929203539823009</v>
      </c>
      <c r="N25" s="507">
        <f>'Dean''s Office '!N32+'Dean''s Office '!N33+'Clinical Sciences'!N23</f>
        <v>18</v>
      </c>
      <c r="O25" s="521">
        <f>N25/N12</f>
        <v>0.15652173913043479</v>
      </c>
      <c r="P25" s="507">
        <f>'Dean''s Office '!P32+'Dean''s Office '!P33+'Clinical Sciences'!P23</f>
        <v>26</v>
      </c>
      <c r="Q25" s="521">
        <f>P25/P12</f>
        <v>0.20155038759689922</v>
      </c>
      <c r="R25" s="507">
        <f>'Dean''s Office '!R32+'Dean''s Office '!R33+'Clinical Sciences'!R23</f>
        <v>24</v>
      </c>
      <c r="S25" s="521">
        <f>R25/R12</f>
        <v>0.19047619047619047</v>
      </c>
      <c r="T25" s="507">
        <f>'Dean''s Office '!T32+'Dean''s Office '!T33+'Clinical Sciences'!T23</f>
        <v>0</v>
      </c>
      <c r="U25" s="522">
        <f>T25/T12</f>
        <v>0</v>
      </c>
      <c r="V25" s="289"/>
      <c r="W25" s="289"/>
    </row>
    <row r="26" spans="1:23" ht="13.5" thickBot="1" x14ac:dyDescent="0.25">
      <c r="A26" s="523" t="s">
        <v>64</v>
      </c>
      <c r="B26" s="571"/>
      <c r="C26" s="572"/>
      <c r="D26" s="571"/>
      <c r="E26" s="572"/>
      <c r="F26" s="571"/>
      <c r="G26" s="572"/>
      <c r="H26" s="526">
        <f>'Anatomy and Physiology'!H29+'Diagnostic Med Pathobiology'!H29</f>
        <v>23</v>
      </c>
      <c r="I26" s="525">
        <f>H26/H13</f>
        <v>0.76666666666666672</v>
      </c>
      <c r="J26" s="526">
        <f>'Anatomy and Physiology'!J29+'Diagnostic Med Pathobiology'!J29</f>
        <v>25</v>
      </c>
      <c r="K26" s="525">
        <f>J26/J13</f>
        <v>0.78125</v>
      </c>
      <c r="L26" s="526">
        <f>'Anatomy and Physiology'!L29+'Diagnostic Med Pathobiology'!L29</f>
        <v>33</v>
      </c>
      <c r="M26" s="525">
        <f>L26/L13</f>
        <v>0.75</v>
      </c>
      <c r="N26" s="526">
        <f>'Anatomy and Physiology'!N29+'Diagnostic Med Pathobiology'!N29</f>
        <v>37</v>
      </c>
      <c r="O26" s="525">
        <f>N26/N13</f>
        <v>0.75510204081632648</v>
      </c>
      <c r="P26" s="526">
        <f>'Anatomy and Physiology'!P29+'Diagnostic Med Pathobiology'!P29</f>
        <v>36</v>
      </c>
      <c r="Q26" s="525">
        <f>P26/P13</f>
        <v>0.81818181818181823</v>
      </c>
      <c r="R26" s="526">
        <f>'Anatomy and Physiology'!R29+'Diagnostic Med Pathobiology'!R29</f>
        <v>36</v>
      </c>
      <c r="S26" s="525">
        <f>R26/R13</f>
        <v>0.81818181818181823</v>
      </c>
      <c r="T26" s="526">
        <f>'Anatomy and Physiology'!T29+'Diagnostic Med Pathobiology'!T29</f>
        <v>0</v>
      </c>
      <c r="U26" s="527">
        <f>T26/T13</f>
        <v>0</v>
      </c>
      <c r="V26" s="289"/>
      <c r="W26" s="289"/>
    </row>
    <row r="27" spans="1:23" ht="13.5" thickTop="1" x14ac:dyDescent="0.2">
      <c r="V27" s="289"/>
      <c r="W27" s="289"/>
    </row>
    <row r="28" spans="1:23" ht="13.5" thickBot="1" x14ac:dyDescent="0.25">
      <c r="V28" s="289"/>
      <c r="W28" s="289"/>
    </row>
    <row r="29" spans="1:23" ht="14.25" thickTop="1" thickBot="1" x14ac:dyDescent="0.25">
      <c r="A29" s="271" t="s">
        <v>99</v>
      </c>
      <c r="B29" s="644" t="s">
        <v>24</v>
      </c>
      <c r="C29" s="653"/>
      <c r="D29" s="644" t="s">
        <v>25</v>
      </c>
      <c r="E29" s="653"/>
      <c r="F29" s="644" t="s">
        <v>26</v>
      </c>
      <c r="G29" s="653"/>
      <c r="H29" s="644" t="s">
        <v>27</v>
      </c>
      <c r="I29" s="653"/>
      <c r="J29" s="644" t="s">
        <v>28</v>
      </c>
      <c r="K29" s="653"/>
      <c r="L29" s="644" t="s">
        <v>29</v>
      </c>
      <c r="M29" s="653"/>
      <c r="N29" s="644" t="s">
        <v>30</v>
      </c>
      <c r="O29" s="653"/>
      <c r="P29" s="644" t="s">
        <v>31</v>
      </c>
      <c r="Q29" s="653"/>
      <c r="R29" s="644" t="s">
        <v>32</v>
      </c>
      <c r="S29" s="653"/>
      <c r="T29" s="644" t="s">
        <v>124</v>
      </c>
      <c r="U29" s="645"/>
      <c r="V29" s="289"/>
      <c r="W29" s="289"/>
    </row>
    <row r="30" spans="1:23" ht="24" x14ac:dyDescent="0.2">
      <c r="A30" s="292" t="s">
        <v>120</v>
      </c>
      <c r="B30" s="505"/>
      <c r="C30" s="528"/>
      <c r="D30" s="505"/>
      <c r="E30" s="528"/>
      <c r="F30" s="505"/>
      <c r="G30" s="528"/>
      <c r="H30" s="529"/>
      <c r="I30" s="528"/>
      <c r="J30" s="529"/>
      <c r="K30" s="528"/>
      <c r="L30" s="529"/>
      <c r="M30" s="528"/>
      <c r="N30" s="529"/>
      <c r="O30" s="528"/>
      <c r="P30" s="529"/>
      <c r="Q30" s="528"/>
      <c r="R30" s="529"/>
      <c r="S30" s="528"/>
      <c r="T30" s="529"/>
      <c r="U30" s="530"/>
      <c r="V30" s="289"/>
      <c r="W30" s="289"/>
    </row>
    <row r="31" spans="1:23" ht="24" x14ac:dyDescent="0.2">
      <c r="A31" s="531" t="s">
        <v>88</v>
      </c>
      <c r="B31" s="498"/>
      <c r="C31" s="532">
        <f>'Anatomy and Physiology'!C34+'Clinical Sciences'!C29+'Diagnostic Med Pathobiology'!C34</f>
        <v>47</v>
      </c>
      <c r="D31" s="498"/>
      <c r="E31" s="532">
        <f>'Anatomy and Physiology'!E34+'Clinical Sciences'!E29+'Diagnostic Med Pathobiology'!E34</f>
        <v>46</v>
      </c>
      <c r="F31" s="498"/>
      <c r="G31" s="532">
        <f>'Anatomy and Physiology'!G34+'Clinical Sciences'!G29+'Diagnostic Med Pathobiology'!G34</f>
        <v>39</v>
      </c>
      <c r="H31" s="498"/>
      <c r="I31" s="532">
        <f>'Anatomy and Physiology'!I34+'Clinical Sciences'!I29+'Diagnostic Med Pathobiology'!I34</f>
        <v>38</v>
      </c>
      <c r="J31" s="498"/>
      <c r="K31" s="532">
        <f>'Anatomy and Physiology'!K34+'Clinical Sciences'!K29+'Diagnostic Med Pathobiology'!K34</f>
        <v>36</v>
      </c>
      <c r="L31" s="498"/>
      <c r="M31" s="532">
        <f>'Anatomy and Physiology'!M34+'Clinical Sciences'!M29+'Diagnostic Med Pathobiology'!M34</f>
        <v>39</v>
      </c>
      <c r="N31" s="498"/>
      <c r="O31" s="532">
        <f>'Anatomy and Physiology'!O34+'Clinical Sciences'!O29+'Diagnostic Med Pathobiology'!O34</f>
        <v>33</v>
      </c>
      <c r="P31" s="498"/>
      <c r="Q31" s="532">
        <f>'Anatomy and Physiology'!Q34+'Clinical Sciences'!Q29+'Diagnostic Med Pathobiology'!Q34</f>
        <v>31</v>
      </c>
      <c r="R31" s="498"/>
      <c r="S31" s="532">
        <f>'Anatomy and Physiology'!S34+'Clinical Sciences'!S29+'Diagnostic Med Pathobiology'!S34</f>
        <v>33</v>
      </c>
      <c r="T31" s="498"/>
      <c r="U31" s="499">
        <f>'Anatomy and Physiology'!U34+'Clinical Sciences'!U29+'Diagnostic Med Pathobiology'!U34</f>
        <v>0</v>
      </c>
      <c r="V31" s="289"/>
      <c r="W31" s="289"/>
    </row>
    <row r="32" spans="1:23" ht="24" x14ac:dyDescent="0.2">
      <c r="A32" s="300" t="s">
        <v>108</v>
      </c>
      <c r="B32" s="498"/>
      <c r="C32" s="532">
        <f>'Anatomy and Physiology'!C35+'Clinical Sciences'!C30+'Diagnostic Med Pathobiology'!C35</f>
        <v>44</v>
      </c>
      <c r="D32" s="498"/>
      <c r="E32" s="532">
        <f>'Anatomy and Physiology'!E35+'Clinical Sciences'!E30+'Diagnostic Med Pathobiology'!E35</f>
        <v>46</v>
      </c>
      <c r="F32" s="498"/>
      <c r="G32" s="532">
        <f>'Anatomy and Physiology'!G35+'Clinical Sciences'!G30+'Diagnostic Med Pathobiology'!G35</f>
        <v>38</v>
      </c>
      <c r="H32" s="498"/>
      <c r="I32" s="532">
        <f>'Anatomy and Physiology'!I35+'Clinical Sciences'!I30+'Diagnostic Med Pathobiology'!I35</f>
        <v>37</v>
      </c>
      <c r="J32" s="498"/>
      <c r="K32" s="532">
        <f>'Anatomy and Physiology'!K35+'Clinical Sciences'!K30+'Diagnostic Med Pathobiology'!K35</f>
        <v>36</v>
      </c>
      <c r="L32" s="498"/>
      <c r="M32" s="532">
        <f>'Anatomy and Physiology'!M35+'Clinical Sciences'!M30+'Diagnostic Med Pathobiology'!M35</f>
        <v>39</v>
      </c>
      <c r="N32" s="498"/>
      <c r="O32" s="532">
        <f>'Anatomy and Physiology'!O35+'Clinical Sciences'!O30+'Diagnostic Med Pathobiology'!O35</f>
        <v>32</v>
      </c>
      <c r="P32" s="498"/>
      <c r="Q32" s="532">
        <f>'Anatomy and Physiology'!Q35+'Clinical Sciences'!Q30+'Diagnostic Med Pathobiology'!Q35</f>
        <v>31</v>
      </c>
      <c r="R32" s="498"/>
      <c r="S32" s="532">
        <f>'Anatomy and Physiology'!S35+'Clinical Sciences'!S30+'Diagnostic Med Pathobiology'!S35</f>
        <v>32</v>
      </c>
      <c r="T32" s="498"/>
      <c r="U32" s="499">
        <f>'Anatomy and Physiology'!U35+'Clinical Sciences'!U30+'Diagnostic Med Pathobiology'!U35</f>
        <v>0</v>
      </c>
      <c r="V32" s="289"/>
      <c r="W32" s="289"/>
    </row>
    <row r="33" spans="1:23" ht="13.5" thickBot="1" x14ac:dyDescent="0.25">
      <c r="A33" s="533" t="s">
        <v>89</v>
      </c>
      <c r="B33" s="534"/>
      <c r="C33" s="532">
        <f>'Anatomy and Physiology'!C36+'Clinical Sciences'!C31+'Diagnostic Med Pathobiology'!C36</f>
        <v>41.93</v>
      </c>
      <c r="D33" s="534"/>
      <c r="E33" s="532">
        <f>'Anatomy and Physiology'!E36+'Clinical Sciences'!E31+'Diagnostic Med Pathobiology'!E36</f>
        <v>40.56</v>
      </c>
      <c r="F33" s="534"/>
      <c r="G33" s="532">
        <f>'Anatomy and Physiology'!G36+'Clinical Sciences'!G31+'Diagnostic Med Pathobiology'!G36</f>
        <v>32.26</v>
      </c>
      <c r="H33" s="534"/>
      <c r="I33" s="532">
        <f>'Anatomy and Physiology'!I36+'Clinical Sciences'!I31+'Diagnostic Med Pathobiology'!I36</f>
        <v>37.83</v>
      </c>
      <c r="J33" s="534"/>
      <c r="K33" s="532">
        <f>'Anatomy and Physiology'!K36+'Clinical Sciences'!K31+'Diagnostic Med Pathobiology'!K36</f>
        <v>36</v>
      </c>
      <c r="L33" s="534"/>
      <c r="M33" s="532">
        <f>'Anatomy and Physiology'!M36+'Clinical Sciences'!M31+'Diagnostic Med Pathobiology'!M36</f>
        <v>36.99</v>
      </c>
      <c r="N33" s="534"/>
      <c r="O33" s="532">
        <f>'Anatomy and Physiology'!O36+'Clinical Sciences'!O31+'Diagnostic Med Pathobiology'!O36</f>
        <v>32.130000000000003</v>
      </c>
      <c r="P33" s="534"/>
      <c r="Q33" s="532">
        <f>'Anatomy and Physiology'!Q36+'Clinical Sciences'!Q31+'Diagnostic Med Pathobiology'!Q36</f>
        <v>32.400000000000006</v>
      </c>
      <c r="R33" s="534"/>
      <c r="S33" s="532">
        <f>'Anatomy and Physiology'!S36+'Clinical Sciences'!S31+'Diagnostic Med Pathobiology'!S36</f>
        <v>34.03</v>
      </c>
      <c r="T33" s="534"/>
      <c r="U33" s="499">
        <f>'Anatomy and Physiology'!U36+'Clinical Sciences'!U31+'Diagnostic Med Pathobiology'!U36</f>
        <v>0</v>
      </c>
      <c r="V33" s="289"/>
      <c r="W33" s="289"/>
    </row>
    <row r="34" spans="1:23" ht="13.5" thickBot="1" x14ac:dyDescent="0.25">
      <c r="A34" s="535" t="s">
        <v>111</v>
      </c>
      <c r="B34" s="536" t="s">
        <v>34</v>
      </c>
      <c r="C34" s="421" t="s">
        <v>35</v>
      </c>
      <c r="D34" s="536" t="s">
        <v>34</v>
      </c>
      <c r="E34" s="421" t="s">
        <v>35</v>
      </c>
      <c r="F34" s="536" t="s">
        <v>34</v>
      </c>
      <c r="G34" s="421" t="s">
        <v>35</v>
      </c>
      <c r="H34" s="536" t="s">
        <v>34</v>
      </c>
      <c r="I34" s="421" t="s">
        <v>35</v>
      </c>
      <c r="J34" s="536" t="s">
        <v>34</v>
      </c>
      <c r="K34" s="421" t="s">
        <v>35</v>
      </c>
      <c r="L34" s="536" t="s">
        <v>34</v>
      </c>
      <c r="M34" s="421" t="s">
        <v>35</v>
      </c>
      <c r="N34" s="536" t="s">
        <v>34</v>
      </c>
      <c r="O34" s="421" t="s">
        <v>35</v>
      </c>
      <c r="P34" s="536" t="s">
        <v>34</v>
      </c>
      <c r="Q34" s="421" t="s">
        <v>35</v>
      </c>
      <c r="R34" s="536" t="s">
        <v>34</v>
      </c>
      <c r="S34" s="421" t="s">
        <v>35</v>
      </c>
      <c r="T34" s="536" t="s">
        <v>34</v>
      </c>
      <c r="U34" s="422" t="s">
        <v>35</v>
      </c>
      <c r="V34" s="289"/>
      <c r="W34" s="289"/>
    </row>
    <row r="35" spans="1:23" x14ac:dyDescent="0.2">
      <c r="A35" s="537" t="s">
        <v>36</v>
      </c>
      <c r="B35" s="538"/>
      <c r="C35" s="539"/>
      <c r="D35" s="538"/>
      <c r="E35" s="539"/>
      <c r="F35" s="538"/>
      <c r="G35" s="539"/>
      <c r="H35" s="538"/>
      <c r="I35" s="539"/>
      <c r="J35" s="538"/>
      <c r="K35" s="539"/>
      <c r="L35" s="538"/>
      <c r="M35" s="539"/>
      <c r="N35" s="538"/>
      <c r="O35" s="539"/>
      <c r="P35" s="538"/>
      <c r="Q35" s="539"/>
      <c r="R35" s="538"/>
      <c r="S35" s="539"/>
      <c r="T35" s="538"/>
      <c r="U35" s="540"/>
      <c r="V35" s="289"/>
      <c r="W35" s="289"/>
    </row>
    <row r="36" spans="1:23" x14ac:dyDescent="0.2">
      <c r="A36" s="333" t="s">
        <v>37</v>
      </c>
      <c r="B36" s="541"/>
      <c r="C36" s="508">
        <f>'Dean''s Office '!C39+'Anatomy and Physiology'!C39+'Clinical Sciences'!C34+'Diagnostic Med Pathobiology'!C39</f>
        <v>56</v>
      </c>
      <c r="D36" s="541"/>
      <c r="E36" s="508">
        <f>'Dean''s Office '!E39+'Anatomy and Physiology'!E39+'Clinical Sciences'!E34+'Diagnostic Med Pathobiology'!E39</f>
        <v>56</v>
      </c>
      <c r="F36" s="541"/>
      <c r="G36" s="508">
        <f>'Dean''s Office '!G39+'Anatomy and Physiology'!G39+'Clinical Sciences'!G34+'Diagnostic Med Pathobiology'!G39</f>
        <v>50</v>
      </c>
      <c r="H36" s="541"/>
      <c r="I36" s="508">
        <f>'Dean''s Office '!I39+'Anatomy and Physiology'!I39+'Clinical Sciences'!I34+'Diagnostic Med Pathobiology'!I39</f>
        <v>53</v>
      </c>
      <c r="J36" s="541">
        <f>'Dean''s Office '!J39+'Anatomy and Physiology'!J39+'Clinical Sciences'!J34+'Diagnostic Med Pathobiology'!J39</f>
        <v>49</v>
      </c>
      <c r="K36" s="508">
        <f>'Dean''s Office '!K39+'Anatomy and Physiology'!K39+'Clinical Sciences'!K34+'Diagnostic Med Pathobiology'!K39</f>
        <v>49</v>
      </c>
      <c r="L36" s="541">
        <f>'Dean''s Office '!L39+'Anatomy and Physiology'!L39+'Clinical Sciences'!L34+'Diagnostic Med Pathobiology'!L39</f>
        <v>50</v>
      </c>
      <c r="M36" s="508">
        <f>'Dean''s Office '!M39+'Anatomy and Physiology'!M39+'Clinical Sciences'!M34+'Diagnostic Med Pathobiology'!M39</f>
        <v>50</v>
      </c>
      <c r="N36" s="541">
        <f>'Dean''s Office '!N39+'Anatomy and Physiology'!N39+'Clinical Sciences'!N34+'Diagnostic Med Pathobiology'!N39</f>
        <v>45</v>
      </c>
      <c r="O36" s="508">
        <f>'Dean''s Office '!O39+'Anatomy and Physiology'!O39+'Clinical Sciences'!O34+'Diagnostic Med Pathobiology'!O39</f>
        <v>45</v>
      </c>
      <c r="P36" s="541">
        <f>'Dean''s Office '!P39+'Anatomy and Physiology'!P39+'Clinical Sciences'!P34+'Diagnostic Med Pathobiology'!P39</f>
        <v>45</v>
      </c>
      <c r="Q36" s="508">
        <f>'Dean''s Office '!Q39+'Anatomy and Physiology'!Q39+'Clinical Sciences'!Q34+'Diagnostic Med Pathobiology'!Q39</f>
        <v>45</v>
      </c>
      <c r="R36" s="541">
        <f>'Dean''s Office '!R39+'Anatomy and Physiology'!R39+'Clinical Sciences'!R34+'Diagnostic Med Pathobiology'!R39</f>
        <v>57</v>
      </c>
      <c r="S36" s="508">
        <f>'Dean''s Office '!S39+'Anatomy and Physiology'!S39+'Clinical Sciences'!S34+'Diagnostic Med Pathobiology'!S39</f>
        <v>57</v>
      </c>
      <c r="T36" s="541">
        <f>'Dean''s Office '!T39+'Anatomy and Physiology'!T39+'Clinical Sciences'!T34+'Diagnostic Med Pathobiology'!T39</f>
        <v>0</v>
      </c>
      <c r="U36" s="499">
        <f>'Dean''s Office '!U39+'Anatomy and Physiology'!U39+'Clinical Sciences'!U34+'Diagnostic Med Pathobiology'!U39</f>
        <v>0</v>
      </c>
      <c r="V36" s="289"/>
      <c r="W36" s="289"/>
    </row>
    <row r="37" spans="1:23" x14ac:dyDescent="0.2">
      <c r="A37" s="333" t="s">
        <v>38</v>
      </c>
      <c r="B37" s="541"/>
      <c r="C37" s="508">
        <f>'Dean''s Office '!C40+'Anatomy and Physiology'!C40+'Clinical Sciences'!C35+'Diagnostic Med Pathobiology'!C40</f>
        <v>4</v>
      </c>
      <c r="D37" s="541"/>
      <c r="E37" s="508">
        <f>'Dean''s Office '!E40+'Anatomy and Physiology'!E40+'Clinical Sciences'!E35+'Diagnostic Med Pathobiology'!E40</f>
        <v>3</v>
      </c>
      <c r="F37" s="541"/>
      <c r="G37" s="508">
        <f>'Dean''s Office '!G40+'Anatomy and Physiology'!G40+'Clinical Sciences'!G35+'Diagnostic Med Pathobiology'!G40</f>
        <v>2</v>
      </c>
      <c r="H37" s="541"/>
      <c r="I37" s="508">
        <f>'Dean''s Office '!I40+'Anatomy and Physiology'!I40+'Clinical Sciences'!I35+'Diagnostic Med Pathobiology'!I40</f>
        <v>7</v>
      </c>
      <c r="J37" s="541">
        <f>'Dean''s Office '!J40+'Anatomy and Physiology'!J40+'Clinical Sciences'!J35+'Diagnostic Med Pathobiology'!J40</f>
        <v>5.3999999999999995</v>
      </c>
      <c r="K37" s="508">
        <f>'Dean''s Office '!K40+'Anatomy and Physiology'!K40+'Clinical Sciences'!K35+'Diagnostic Med Pathobiology'!K40</f>
        <v>8</v>
      </c>
      <c r="L37" s="541">
        <f>'Dean''s Office '!L40+'Anatomy and Physiology'!L40+'Clinical Sciences'!L35+'Diagnostic Med Pathobiology'!L40</f>
        <v>6</v>
      </c>
      <c r="M37" s="508">
        <f>'Dean''s Office '!M40+'Anatomy and Physiology'!M40+'Clinical Sciences'!M35+'Diagnostic Med Pathobiology'!M40</f>
        <v>9</v>
      </c>
      <c r="N37" s="541">
        <f>'Dean''s Office '!N40+'Anatomy and Physiology'!N40+'Clinical Sciences'!N35+'Diagnostic Med Pathobiology'!N40</f>
        <v>5.8500000000000005</v>
      </c>
      <c r="O37" s="508">
        <f>'Dean''s Office '!O40+'Anatomy and Physiology'!O40+'Clinical Sciences'!O35+'Diagnostic Med Pathobiology'!O40</f>
        <v>9</v>
      </c>
      <c r="P37" s="541">
        <f>'Dean''s Office '!P40+'Anatomy and Physiology'!P40+'Clinical Sciences'!P35+'Diagnostic Med Pathobiology'!P40</f>
        <v>4.4000000000000004</v>
      </c>
      <c r="Q37" s="508">
        <f>'Dean''s Office '!Q40+'Anatomy and Physiology'!Q40+'Clinical Sciences'!Q35+'Diagnostic Med Pathobiology'!Q40</f>
        <v>7</v>
      </c>
      <c r="R37" s="541">
        <f>'Dean''s Office '!R40+'Anatomy and Physiology'!R40+'Clinical Sciences'!R35+'Diagnostic Med Pathobiology'!R40</f>
        <v>3.1</v>
      </c>
      <c r="S37" s="508">
        <f>'Dean''s Office '!S40+'Anatomy and Physiology'!S40+'Clinical Sciences'!S35+'Diagnostic Med Pathobiology'!S40</f>
        <v>6</v>
      </c>
      <c r="T37" s="541">
        <f>'Dean''s Office '!T40+'Anatomy and Physiology'!T40+'Clinical Sciences'!T35+'Diagnostic Med Pathobiology'!T40</f>
        <v>0</v>
      </c>
      <c r="U37" s="499">
        <f>'Dean''s Office '!U40+'Anatomy and Physiology'!U40+'Clinical Sciences'!U35+'Diagnostic Med Pathobiology'!U40</f>
        <v>0</v>
      </c>
      <c r="V37" s="289"/>
      <c r="W37" s="289"/>
    </row>
    <row r="38" spans="1:23" x14ac:dyDescent="0.2">
      <c r="A38" s="308" t="s">
        <v>39</v>
      </c>
      <c r="B38" s="541"/>
      <c r="C38" s="508">
        <f>'Dean''s Office '!C41+'Anatomy and Physiology'!C41+'Clinical Sciences'!C36+'Diagnostic Med Pathobiology'!C41</f>
        <v>0</v>
      </c>
      <c r="D38" s="541"/>
      <c r="E38" s="508">
        <f>'Dean''s Office '!E41+'Anatomy and Physiology'!E41+'Clinical Sciences'!E36+'Diagnostic Med Pathobiology'!E41</f>
        <v>0</v>
      </c>
      <c r="F38" s="541"/>
      <c r="G38" s="508">
        <f>'Dean''s Office '!G41+'Anatomy and Physiology'!G41+'Clinical Sciences'!G36+'Diagnostic Med Pathobiology'!G41</f>
        <v>0</v>
      </c>
      <c r="H38" s="541"/>
      <c r="I38" s="508">
        <f>'Dean''s Office '!I41+'Anatomy and Physiology'!I41+'Clinical Sciences'!I36+'Diagnostic Med Pathobiology'!I41</f>
        <v>0</v>
      </c>
      <c r="J38" s="541">
        <f>'Dean''s Office '!J41+'Anatomy and Physiology'!J41+'Clinical Sciences'!J36+'Diagnostic Med Pathobiology'!J41</f>
        <v>0</v>
      </c>
      <c r="K38" s="508">
        <f>'Dean''s Office '!K41+'Anatomy and Physiology'!K41+'Clinical Sciences'!K36+'Diagnostic Med Pathobiology'!K41</f>
        <v>0</v>
      </c>
      <c r="L38" s="541">
        <f>'Dean''s Office '!L41+'Anatomy and Physiology'!L41+'Clinical Sciences'!L36+'Diagnostic Med Pathobiology'!L41</f>
        <v>0</v>
      </c>
      <c r="M38" s="508">
        <f>'Dean''s Office '!M41+'Anatomy and Physiology'!M41+'Clinical Sciences'!M36+'Diagnostic Med Pathobiology'!M41</f>
        <v>0</v>
      </c>
      <c r="N38" s="541">
        <f>'Dean''s Office '!N41+'Anatomy and Physiology'!N41+'Clinical Sciences'!N36+'Diagnostic Med Pathobiology'!N41</f>
        <v>0</v>
      </c>
      <c r="O38" s="508">
        <f>'Dean''s Office '!O41+'Anatomy and Physiology'!O41+'Clinical Sciences'!O36+'Diagnostic Med Pathobiology'!O41</f>
        <v>0</v>
      </c>
      <c r="P38" s="541">
        <f>'Dean''s Office '!P41+'Anatomy and Physiology'!P41+'Clinical Sciences'!P36+'Diagnostic Med Pathobiology'!P41</f>
        <v>0</v>
      </c>
      <c r="Q38" s="508">
        <f>'Dean''s Office '!Q41+'Anatomy and Physiology'!Q41+'Clinical Sciences'!Q36+'Diagnostic Med Pathobiology'!Q41</f>
        <v>0</v>
      </c>
      <c r="R38" s="541">
        <f>'Dean''s Office '!R41+'Anatomy and Physiology'!R41+'Clinical Sciences'!R36+'Diagnostic Med Pathobiology'!R41</f>
        <v>0</v>
      </c>
      <c r="S38" s="508">
        <f>'Dean''s Office '!S41+'Anatomy and Physiology'!S41+'Clinical Sciences'!S36+'Diagnostic Med Pathobiology'!S41</f>
        <v>0</v>
      </c>
      <c r="T38" s="541">
        <f>'Dean''s Office '!T41+'Anatomy and Physiology'!T41+'Clinical Sciences'!T36+'Diagnostic Med Pathobiology'!T41</f>
        <v>0</v>
      </c>
      <c r="U38" s="499">
        <f>'Dean''s Office '!U41+'Anatomy and Physiology'!U41+'Clinical Sciences'!U36+'Diagnostic Med Pathobiology'!U41</f>
        <v>0</v>
      </c>
      <c r="V38" s="289"/>
      <c r="W38" s="289"/>
    </row>
    <row r="39" spans="1:23" x14ac:dyDescent="0.2">
      <c r="A39" s="333" t="s">
        <v>37</v>
      </c>
      <c r="B39" s="541"/>
      <c r="C39" s="508">
        <f>'Dean''s Office '!C42+'Anatomy and Physiology'!C42+'Clinical Sciences'!C37+'Diagnostic Med Pathobiology'!C42</f>
        <v>27</v>
      </c>
      <c r="D39" s="541"/>
      <c r="E39" s="508">
        <f>'Dean''s Office '!E42+'Anatomy and Physiology'!E42+'Clinical Sciences'!E37+'Diagnostic Med Pathobiology'!E42</f>
        <v>29</v>
      </c>
      <c r="F39" s="541"/>
      <c r="G39" s="508">
        <f>'Dean''s Office '!G42+'Anatomy and Physiology'!G42+'Clinical Sciences'!G37+'Diagnostic Med Pathobiology'!G42</f>
        <v>35</v>
      </c>
      <c r="H39" s="541"/>
      <c r="I39" s="508">
        <f>'Dean''s Office '!I42+'Anatomy and Physiology'!I42+'Clinical Sciences'!I37+'Diagnostic Med Pathobiology'!I42</f>
        <v>37</v>
      </c>
      <c r="J39" s="541">
        <f>'Dean''s Office '!J42+'Anatomy and Physiology'!J42+'Clinical Sciences'!J37+'Diagnostic Med Pathobiology'!J42</f>
        <v>40</v>
      </c>
      <c r="K39" s="508">
        <f>'Dean''s Office '!K42+'Anatomy and Physiology'!K42+'Clinical Sciences'!K37+'Diagnostic Med Pathobiology'!K42</f>
        <v>40</v>
      </c>
      <c r="L39" s="541">
        <f>'Dean''s Office '!L42+'Anatomy and Physiology'!L42+'Clinical Sciences'!L37+'Diagnostic Med Pathobiology'!L42</f>
        <v>43</v>
      </c>
      <c r="M39" s="508">
        <f>'Dean''s Office '!M42+'Anatomy and Physiology'!M42+'Clinical Sciences'!M37+'Diagnostic Med Pathobiology'!M42</f>
        <v>43</v>
      </c>
      <c r="N39" s="541">
        <f>'Dean''s Office '!N42+'Anatomy and Physiology'!N42+'Clinical Sciences'!N37+'Diagnostic Med Pathobiology'!N42</f>
        <v>57</v>
      </c>
      <c r="O39" s="508">
        <f>'Dean''s Office '!O42+'Anatomy and Physiology'!O42+'Clinical Sciences'!O37+'Diagnostic Med Pathobiology'!O42</f>
        <v>57</v>
      </c>
      <c r="P39" s="541">
        <f>'Dean''s Office '!P42+'Anatomy and Physiology'!P42+'Clinical Sciences'!P37+'Diagnostic Med Pathobiology'!P42</f>
        <v>68</v>
      </c>
      <c r="Q39" s="508">
        <f>'Dean''s Office '!Q42+'Anatomy and Physiology'!Q42+'Clinical Sciences'!Q37+'Diagnostic Med Pathobiology'!Q42</f>
        <v>68</v>
      </c>
      <c r="R39" s="541">
        <f>'Dean''s Office '!R42+'Anatomy and Physiology'!R42+'Clinical Sciences'!R37+'Diagnostic Med Pathobiology'!R42</f>
        <v>61</v>
      </c>
      <c r="S39" s="508">
        <f>'Dean''s Office '!S42+'Anatomy and Physiology'!S42+'Clinical Sciences'!S37+'Diagnostic Med Pathobiology'!S42</f>
        <v>61</v>
      </c>
      <c r="T39" s="541">
        <f>'Dean''s Office '!T42+'Anatomy and Physiology'!T42+'Clinical Sciences'!T37+'Diagnostic Med Pathobiology'!T42</f>
        <v>0</v>
      </c>
      <c r="U39" s="499">
        <f>'Dean''s Office '!U42+'Anatomy and Physiology'!U42+'Clinical Sciences'!U37+'Diagnostic Med Pathobiology'!U42</f>
        <v>0</v>
      </c>
      <c r="V39" s="289"/>
      <c r="W39" s="289"/>
    </row>
    <row r="40" spans="1:23" ht="13.5" thickBot="1" x14ac:dyDescent="0.25">
      <c r="A40" s="334" t="s">
        <v>38</v>
      </c>
      <c r="B40" s="565"/>
      <c r="C40" s="508">
        <f>'Dean''s Office '!C43+'Anatomy and Physiology'!C43+'Clinical Sciences'!C38+'Diagnostic Med Pathobiology'!C43</f>
        <v>4</v>
      </c>
      <c r="D40" s="565"/>
      <c r="E40" s="508">
        <f>'Dean''s Office '!E43+'Anatomy and Physiology'!E43+'Clinical Sciences'!E38+'Diagnostic Med Pathobiology'!E43</f>
        <v>4</v>
      </c>
      <c r="F40" s="565"/>
      <c r="G40" s="508">
        <f>'Dean''s Office '!G43+'Anatomy and Physiology'!G43+'Clinical Sciences'!G38+'Diagnostic Med Pathobiology'!G43</f>
        <v>4</v>
      </c>
      <c r="H40" s="565"/>
      <c r="I40" s="508">
        <f>'Dean''s Office '!I43+'Anatomy and Physiology'!I43+'Clinical Sciences'!I38+'Diagnostic Med Pathobiology'!I43</f>
        <v>3</v>
      </c>
      <c r="J40" s="565">
        <f>'Dean''s Office '!J43+'Anatomy and Physiology'!J43+'Clinical Sciences'!J38+'Diagnostic Med Pathobiology'!J43</f>
        <v>2.15</v>
      </c>
      <c r="K40" s="508">
        <f>'Dean''s Office '!K43+'Anatomy and Physiology'!K43+'Clinical Sciences'!K38+'Diagnostic Med Pathobiology'!K43</f>
        <v>3</v>
      </c>
      <c r="L40" s="565">
        <f>'Dean''s Office '!L43+'Anatomy and Physiology'!L43+'Clinical Sciences'!L38+'Diagnostic Med Pathobiology'!L43</f>
        <v>1.1000000000000001</v>
      </c>
      <c r="M40" s="508">
        <f>'Dean''s Office '!M43+'Anatomy and Physiology'!M43+'Clinical Sciences'!M38+'Diagnostic Med Pathobiology'!M43</f>
        <v>2</v>
      </c>
      <c r="N40" s="565">
        <f>'Dean''s Office '!N43+'Anatomy and Physiology'!N43+'Clinical Sciences'!N38+'Diagnostic Med Pathobiology'!N43</f>
        <v>2.75</v>
      </c>
      <c r="O40" s="508">
        <f>'Dean''s Office '!O43+'Anatomy and Physiology'!O43+'Clinical Sciences'!O38+'Diagnostic Med Pathobiology'!O43</f>
        <v>4</v>
      </c>
      <c r="P40" s="565">
        <f>'Dean''s Office '!P43+'Anatomy and Physiology'!P43+'Clinical Sciences'!P38+'Diagnostic Med Pathobiology'!P43</f>
        <v>3.5</v>
      </c>
      <c r="Q40" s="508">
        <f>'Dean''s Office '!Q43+'Anatomy and Physiology'!Q43+'Clinical Sciences'!Q38+'Diagnostic Med Pathobiology'!Q43</f>
        <v>5</v>
      </c>
      <c r="R40" s="565">
        <f>'Dean''s Office '!R43+'Anatomy and Physiology'!R43+'Clinical Sciences'!R38+'Diagnostic Med Pathobiology'!R43</f>
        <v>4.8</v>
      </c>
      <c r="S40" s="508">
        <f>'Dean''s Office '!S43+'Anatomy and Physiology'!S43+'Clinical Sciences'!S38+'Diagnostic Med Pathobiology'!S43</f>
        <v>7</v>
      </c>
      <c r="T40" s="565">
        <f>'Dean''s Office '!T43+'Anatomy and Physiology'!T43+'Clinical Sciences'!T38+'Diagnostic Med Pathobiology'!T43</f>
        <v>0</v>
      </c>
      <c r="U40" s="499">
        <f>'Dean''s Office '!U43+'Anatomy and Physiology'!U43+'Clinical Sciences'!U38+'Diagnostic Med Pathobiology'!U43</f>
        <v>0</v>
      </c>
      <c r="V40" s="289"/>
      <c r="W40" s="289"/>
    </row>
    <row r="41" spans="1:23" ht="13.5" thickBot="1" x14ac:dyDescent="0.25">
      <c r="A41" s="543" t="s">
        <v>22</v>
      </c>
      <c r="B41" s="544"/>
      <c r="C41" s="545">
        <f t="shared" ref="C41" si="0">SUM(C35:C40)</f>
        <v>91</v>
      </c>
      <c r="D41" s="544"/>
      <c r="E41" s="545">
        <f t="shared" ref="E41:S41" si="1">SUM(E35:E40)</f>
        <v>92</v>
      </c>
      <c r="F41" s="544"/>
      <c r="G41" s="545">
        <f t="shared" si="1"/>
        <v>91</v>
      </c>
      <c r="H41" s="554"/>
      <c r="I41" s="545">
        <f t="shared" si="1"/>
        <v>100</v>
      </c>
      <c r="J41" s="554">
        <f t="shared" si="1"/>
        <v>96.550000000000011</v>
      </c>
      <c r="K41" s="545">
        <f t="shared" si="1"/>
        <v>100</v>
      </c>
      <c r="L41" s="554">
        <f t="shared" si="1"/>
        <v>100.1</v>
      </c>
      <c r="M41" s="545">
        <f t="shared" si="1"/>
        <v>104</v>
      </c>
      <c r="N41" s="554">
        <f t="shared" si="1"/>
        <v>110.6</v>
      </c>
      <c r="O41" s="545">
        <f t="shared" si="1"/>
        <v>115</v>
      </c>
      <c r="P41" s="554">
        <f t="shared" si="1"/>
        <v>120.9</v>
      </c>
      <c r="Q41" s="545">
        <f t="shared" si="1"/>
        <v>125</v>
      </c>
      <c r="R41" s="554">
        <f t="shared" si="1"/>
        <v>125.89999999999999</v>
      </c>
      <c r="S41" s="545">
        <f t="shared" si="1"/>
        <v>131</v>
      </c>
      <c r="T41" s="554">
        <f t="shared" ref="T41:U41" si="2">SUM(T35:T40)</f>
        <v>0</v>
      </c>
      <c r="U41" s="566">
        <f t="shared" si="2"/>
        <v>0</v>
      </c>
      <c r="V41" s="289"/>
      <c r="W41" s="289"/>
    </row>
    <row r="42" spans="1:23" ht="13.5" thickBot="1" x14ac:dyDescent="0.25">
      <c r="A42" s="437" t="s">
        <v>101</v>
      </c>
      <c r="B42" s="536" t="s">
        <v>33</v>
      </c>
      <c r="C42" s="421" t="s">
        <v>41</v>
      </c>
      <c r="D42" s="536" t="s">
        <v>33</v>
      </c>
      <c r="E42" s="421" t="s">
        <v>41</v>
      </c>
      <c r="F42" s="536" t="s">
        <v>33</v>
      </c>
      <c r="G42" s="421" t="s">
        <v>41</v>
      </c>
      <c r="H42" s="536" t="s">
        <v>33</v>
      </c>
      <c r="I42" s="421" t="s">
        <v>41</v>
      </c>
      <c r="J42" s="536" t="s">
        <v>33</v>
      </c>
      <c r="K42" s="421" t="s">
        <v>41</v>
      </c>
      <c r="L42" s="536" t="s">
        <v>33</v>
      </c>
      <c r="M42" s="421" t="s">
        <v>41</v>
      </c>
      <c r="N42" s="536" t="s">
        <v>33</v>
      </c>
      <c r="O42" s="421" t="s">
        <v>41</v>
      </c>
      <c r="P42" s="536" t="s">
        <v>33</v>
      </c>
      <c r="Q42" s="421" t="s">
        <v>41</v>
      </c>
      <c r="R42" s="536" t="s">
        <v>33</v>
      </c>
      <c r="S42" s="421" t="s">
        <v>41</v>
      </c>
      <c r="T42" s="536" t="s">
        <v>33</v>
      </c>
      <c r="U42" s="422" t="s">
        <v>41</v>
      </c>
      <c r="V42" s="289"/>
      <c r="W42" s="289"/>
    </row>
    <row r="43" spans="1:23" x14ac:dyDescent="0.2">
      <c r="A43" s="546" t="s">
        <v>113</v>
      </c>
      <c r="B43" s="538"/>
      <c r="C43" s="539"/>
      <c r="D43" s="538"/>
      <c r="E43" s="539"/>
      <c r="F43" s="538"/>
      <c r="G43" s="539"/>
      <c r="H43" s="538"/>
      <c r="I43" s="539"/>
      <c r="J43" s="538"/>
      <c r="K43" s="539"/>
      <c r="L43" s="538"/>
      <c r="M43" s="539"/>
      <c r="N43" s="538"/>
      <c r="O43" s="539"/>
      <c r="P43" s="538"/>
      <c r="Q43" s="539"/>
      <c r="R43" s="538"/>
      <c r="S43" s="539"/>
      <c r="T43" s="538"/>
      <c r="U43" s="540"/>
      <c r="V43" s="289"/>
      <c r="W43" s="289"/>
    </row>
    <row r="44" spans="1:23" x14ac:dyDescent="0.2">
      <c r="A44" s="110" t="s">
        <v>42</v>
      </c>
      <c r="B44" s="541">
        <f>'Dean''s Office '!B47+'Anatomy and Physiology'!B46+'Clinical Sciences'!B41+'Diagnostic Med Pathobiology'!B46</f>
        <v>65</v>
      </c>
      <c r="C44" s="547">
        <f>B44/$E$41</f>
        <v>0.70652173913043481</v>
      </c>
      <c r="D44" s="541">
        <f>'Dean''s Office '!D47+'Anatomy and Physiology'!D46+'Clinical Sciences'!D41+'Diagnostic Med Pathobiology'!D46</f>
        <v>70</v>
      </c>
      <c r="E44" s="547">
        <f>D44/$E$41</f>
        <v>0.76086956521739135</v>
      </c>
      <c r="F44" s="541">
        <f>'Dean''s Office '!F47+'Anatomy and Physiology'!F46+'Clinical Sciences'!F41+'Diagnostic Med Pathobiology'!F46</f>
        <v>71</v>
      </c>
      <c r="G44" s="547">
        <f>F44/$G$41</f>
        <v>0.78021978021978022</v>
      </c>
      <c r="H44" s="541">
        <f>'Dean''s Office '!H47+'Anatomy and Physiology'!H46+'Clinical Sciences'!H41+'Diagnostic Med Pathobiology'!H46</f>
        <v>79</v>
      </c>
      <c r="I44" s="547">
        <f>H44/$I$41</f>
        <v>0.79</v>
      </c>
      <c r="J44" s="541">
        <f>'Dean''s Office '!J47+'Anatomy and Physiology'!J46+'Clinical Sciences'!J41+'Diagnostic Med Pathobiology'!J46</f>
        <v>80</v>
      </c>
      <c r="K44" s="547">
        <f>J44/$K$41</f>
        <v>0.8</v>
      </c>
      <c r="L44" s="541">
        <f>'Dean''s Office '!L47+'Anatomy and Physiology'!L46+'Clinical Sciences'!L41+'Diagnostic Med Pathobiology'!L46</f>
        <v>80</v>
      </c>
      <c r="M44" s="547">
        <f>L44/$M$41</f>
        <v>0.76923076923076927</v>
      </c>
      <c r="N44" s="541">
        <f>'Dean''s Office '!N47+'Anatomy and Physiology'!N46+'Clinical Sciences'!N41+'Diagnostic Med Pathobiology'!N46</f>
        <v>85</v>
      </c>
      <c r="O44" s="547">
        <f>N44/$O$41</f>
        <v>0.73913043478260865</v>
      </c>
      <c r="P44" s="541">
        <f>'Dean''s Office '!P47+'Anatomy and Physiology'!P46+'Clinical Sciences'!P41+'Diagnostic Med Pathobiology'!P46</f>
        <v>89</v>
      </c>
      <c r="Q44" s="547">
        <f>P44/$Q$41</f>
        <v>0.71199999999999997</v>
      </c>
      <c r="R44" s="541">
        <f>'Dean''s Office '!R47+'Anatomy and Physiology'!R46+'Clinical Sciences'!R41+'Diagnostic Med Pathobiology'!R46</f>
        <v>90</v>
      </c>
      <c r="S44" s="547">
        <f>R44/$S$41</f>
        <v>0.68702290076335881</v>
      </c>
      <c r="T44" s="541">
        <f>'Dean''s Office '!T47+'Anatomy and Physiology'!T46+'Clinical Sciences'!T41+'Diagnostic Med Pathobiology'!T46</f>
        <v>0</v>
      </c>
      <c r="U44" s="548">
        <f>T44/$S$41</f>
        <v>0</v>
      </c>
      <c r="V44" s="289"/>
      <c r="W44" s="289"/>
    </row>
    <row r="45" spans="1:23" x14ac:dyDescent="0.2">
      <c r="A45" s="120" t="s">
        <v>43</v>
      </c>
      <c r="B45" s="541">
        <f>'Dean''s Office '!B48+'Anatomy and Physiology'!B47+'Clinical Sciences'!B42+'Diagnostic Med Pathobiology'!B47</f>
        <v>0</v>
      </c>
      <c r="C45" s="547">
        <f t="shared" ref="C45:C51" si="3">B45/$E$41</f>
        <v>0</v>
      </c>
      <c r="D45" s="541">
        <f>'Dean''s Office '!D48+'Anatomy and Physiology'!D47+'Clinical Sciences'!D42+'Diagnostic Med Pathobiology'!D47</f>
        <v>0</v>
      </c>
      <c r="E45" s="547">
        <f t="shared" ref="E45:E60" si="4">D45/$E$41</f>
        <v>0</v>
      </c>
      <c r="F45" s="541">
        <f>'Dean''s Office '!F48+'Anatomy and Physiology'!F47+'Clinical Sciences'!F42+'Diagnostic Med Pathobiology'!F47</f>
        <v>0</v>
      </c>
      <c r="G45" s="547">
        <f t="shared" ref="G45:G63" si="5">F45/$G$41</f>
        <v>0</v>
      </c>
      <c r="H45" s="541">
        <f>'Dean''s Office '!H48+'Anatomy and Physiology'!H47+'Clinical Sciences'!H42+'Diagnostic Med Pathobiology'!H47</f>
        <v>0</v>
      </c>
      <c r="I45" s="547">
        <f t="shared" ref="I45:I63" si="6">H45/$I$41</f>
        <v>0</v>
      </c>
      <c r="J45" s="541">
        <f>'Dean''s Office '!J48+'Anatomy and Physiology'!J47+'Clinical Sciences'!J42+'Diagnostic Med Pathobiology'!J47</f>
        <v>0</v>
      </c>
      <c r="K45" s="547">
        <f t="shared" ref="K45:K63" si="7">J45/$K$41</f>
        <v>0</v>
      </c>
      <c r="L45" s="541">
        <f>'Dean''s Office '!L48+'Anatomy and Physiology'!L47+'Clinical Sciences'!L42+'Diagnostic Med Pathobiology'!L47</f>
        <v>0</v>
      </c>
      <c r="M45" s="547">
        <f t="shared" ref="M45:M63" si="8">L45/$M$41</f>
        <v>0</v>
      </c>
      <c r="N45" s="541">
        <f>'Dean''s Office '!N48+'Anatomy and Physiology'!N47+'Clinical Sciences'!N42+'Diagnostic Med Pathobiology'!N47</f>
        <v>1</v>
      </c>
      <c r="O45" s="547">
        <f t="shared" ref="O45:O63" si="9">N45/$O$41</f>
        <v>8.6956521739130436E-3</v>
      </c>
      <c r="P45" s="541">
        <f>'Dean''s Office '!P48+'Anatomy and Physiology'!P47+'Clinical Sciences'!P42+'Diagnostic Med Pathobiology'!P47</f>
        <v>1</v>
      </c>
      <c r="Q45" s="547">
        <f t="shared" ref="Q45:Q63" si="10">P45/$Q$41</f>
        <v>8.0000000000000002E-3</v>
      </c>
      <c r="R45" s="541">
        <f>'Dean''s Office '!R48+'Anatomy and Physiology'!R47+'Clinical Sciences'!R42+'Diagnostic Med Pathobiology'!R47</f>
        <v>1</v>
      </c>
      <c r="S45" s="547">
        <f t="shared" ref="S45:S63" si="11">R45/$S$41</f>
        <v>7.6335877862595417E-3</v>
      </c>
      <c r="T45" s="541">
        <f>'Dean''s Office '!T48+'Anatomy and Physiology'!T47+'Clinical Sciences'!T42+'Diagnostic Med Pathobiology'!T47</f>
        <v>0</v>
      </c>
      <c r="U45" s="548">
        <f t="shared" ref="U45:U51" si="12">T45/$S$41</f>
        <v>0</v>
      </c>
      <c r="V45" s="289"/>
      <c r="W45" s="289"/>
    </row>
    <row r="46" spans="1:23" x14ac:dyDescent="0.2">
      <c r="A46" s="120" t="s">
        <v>44</v>
      </c>
      <c r="B46" s="541">
        <f>'Dean''s Office '!B49+'Anatomy and Physiology'!B48+'Clinical Sciences'!B43+'Diagnostic Med Pathobiology'!B48</f>
        <v>1</v>
      </c>
      <c r="C46" s="547">
        <f t="shared" si="3"/>
        <v>1.0869565217391304E-2</v>
      </c>
      <c r="D46" s="541">
        <f>'Dean''s Office '!D49+'Anatomy and Physiology'!D48+'Clinical Sciences'!D43+'Diagnostic Med Pathobiology'!D48</f>
        <v>0</v>
      </c>
      <c r="E46" s="547">
        <f t="shared" si="4"/>
        <v>0</v>
      </c>
      <c r="F46" s="541">
        <f>'Dean''s Office '!F49+'Anatomy and Physiology'!F48+'Clinical Sciences'!F43+'Diagnostic Med Pathobiology'!F48</f>
        <v>0</v>
      </c>
      <c r="G46" s="547">
        <f t="shared" si="5"/>
        <v>0</v>
      </c>
      <c r="H46" s="541">
        <f>'Dean''s Office '!H49+'Anatomy and Physiology'!H48+'Clinical Sciences'!H43+'Diagnostic Med Pathobiology'!H48</f>
        <v>0</v>
      </c>
      <c r="I46" s="547">
        <f t="shared" si="6"/>
        <v>0</v>
      </c>
      <c r="J46" s="541">
        <f>'Dean''s Office '!J49+'Anatomy and Physiology'!J48+'Clinical Sciences'!J43+'Diagnostic Med Pathobiology'!J48</f>
        <v>0</v>
      </c>
      <c r="K46" s="547">
        <f t="shared" si="7"/>
        <v>0</v>
      </c>
      <c r="L46" s="541">
        <f>'Dean''s Office '!L49+'Anatomy and Physiology'!L48+'Clinical Sciences'!L43+'Diagnostic Med Pathobiology'!L48</f>
        <v>0</v>
      </c>
      <c r="M46" s="547">
        <f t="shared" si="8"/>
        <v>0</v>
      </c>
      <c r="N46" s="541">
        <f>'Dean''s Office '!N49+'Anatomy and Physiology'!N48+'Clinical Sciences'!N43+'Diagnostic Med Pathobiology'!N48</f>
        <v>0</v>
      </c>
      <c r="O46" s="547">
        <f t="shared" si="9"/>
        <v>0</v>
      </c>
      <c r="P46" s="541">
        <f>'Dean''s Office '!P49+'Anatomy and Physiology'!P48+'Clinical Sciences'!P43+'Diagnostic Med Pathobiology'!P48</f>
        <v>0</v>
      </c>
      <c r="Q46" s="547">
        <f t="shared" si="10"/>
        <v>0</v>
      </c>
      <c r="R46" s="541">
        <f>'Dean''s Office '!R49+'Anatomy and Physiology'!R48+'Clinical Sciences'!R43+'Diagnostic Med Pathobiology'!R48</f>
        <v>2</v>
      </c>
      <c r="S46" s="547">
        <f t="shared" si="11"/>
        <v>1.5267175572519083E-2</v>
      </c>
      <c r="T46" s="541">
        <f>'Dean''s Office '!T49+'Anatomy and Physiology'!T48+'Clinical Sciences'!T43+'Diagnostic Med Pathobiology'!T48</f>
        <v>0</v>
      </c>
      <c r="U46" s="548">
        <f t="shared" si="12"/>
        <v>0</v>
      </c>
      <c r="V46" s="289"/>
      <c r="W46" s="289"/>
    </row>
    <row r="47" spans="1:23" x14ac:dyDescent="0.2">
      <c r="A47" s="120" t="s">
        <v>45</v>
      </c>
      <c r="B47" s="541">
        <f>'Dean''s Office '!B50+'Anatomy and Physiology'!B49+'Clinical Sciences'!B44+'Diagnostic Med Pathobiology'!B49</f>
        <v>0</v>
      </c>
      <c r="C47" s="547">
        <f t="shared" si="3"/>
        <v>0</v>
      </c>
      <c r="D47" s="541">
        <f>'Dean''s Office '!D50+'Anatomy and Physiology'!D49+'Clinical Sciences'!D44+'Diagnostic Med Pathobiology'!D49</f>
        <v>0</v>
      </c>
      <c r="E47" s="547">
        <f t="shared" si="4"/>
        <v>0</v>
      </c>
      <c r="F47" s="541">
        <f>'Dean''s Office '!F50+'Anatomy and Physiology'!F49+'Clinical Sciences'!F44+'Diagnostic Med Pathobiology'!F49</f>
        <v>0</v>
      </c>
      <c r="G47" s="547">
        <f t="shared" si="5"/>
        <v>0</v>
      </c>
      <c r="H47" s="541">
        <f>'Dean''s Office '!H50+'Anatomy and Physiology'!H49+'Clinical Sciences'!H44+'Diagnostic Med Pathobiology'!H49</f>
        <v>0</v>
      </c>
      <c r="I47" s="547">
        <f t="shared" si="6"/>
        <v>0</v>
      </c>
      <c r="J47" s="541">
        <f>'Dean''s Office '!J50+'Anatomy and Physiology'!J49+'Clinical Sciences'!J44+'Diagnostic Med Pathobiology'!J49</f>
        <v>0</v>
      </c>
      <c r="K47" s="547">
        <f t="shared" si="7"/>
        <v>0</v>
      </c>
      <c r="L47" s="541">
        <f>'Dean''s Office '!L50+'Anatomy and Physiology'!L49+'Clinical Sciences'!L44+'Diagnostic Med Pathobiology'!L49</f>
        <v>0</v>
      </c>
      <c r="M47" s="547">
        <f t="shared" si="8"/>
        <v>0</v>
      </c>
      <c r="N47" s="541">
        <f>'Dean''s Office '!N50+'Anatomy and Physiology'!N49+'Clinical Sciences'!N44+'Diagnostic Med Pathobiology'!N49</f>
        <v>0</v>
      </c>
      <c r="O47" s="547">
        <f t="shared" si="9"/>
        <v>0</v>
      </c>
      <c r="P47" s="541">
        <f>'Dean''s Office '!P50+'Anatomy and Physiology'!P49+'Clinical Sciences'!P44+'Diagnostic Med Pathobiology'!P49</f>
        <v>0</v>
      </c>
      <c r="Q47" s="547">
        <f t="shared" si="10"/>
        <v>0</v>
      </c>
      <c r="R47" s="541">
        <f>'Dean''s Office '!R50+'Anatomy and Physiology'!R49+'Clinical Sciences'!R44+'Diagnostic Med Pathobiology'!R49</f>
        <v>1</v>
      </c>
      <c r="S47" s="547">
        <f t="shared" si="11"/>
        <v>7.6335877862595417E-3</v>
      </c>
      <c r="T47" s="541">
        <f>'Dean''s Office '!T50+'Anatomy and Physiology'!T49+'Clinical Sciences'!T44+'Diagnostic Med Pathobiology'!T49</f>
        <v>0</v>
      </c>
      <c r="U47" s="548">
        <f t="shared" si="12"/>
        <v>0</v>
      </c>
      <c r="V47" s="289"/>
      <c r="W47" s="289"/>
    </row>
    <row r="48" spans="1:23" x14ac:dyDescent="0.2">
      <c r="A48" s="120" t="s">
        <v>46</v>
      </c>
      <c r="B48" s="541">
        <f>'Dean''s Office '!B51+'Anatomy and Physiology'!B50+'Clinical Sciences'!B45+'Diagnostic Med Pathobiology'!B50</f>
        <v>11</v>
      </c>
      <c r="C48" s="547">
        <f t="shared" si="3"/>
        <v>0.11956521739130435</v>
      </c>
      <c r="D48" s="541">
        <f>'Dean''s Office '!D51+'Anatomy and Physiology'!D50+'Clinical Sciences'!D45+'Diagnostic Med Pathobiology'!D50</f>
        <v>10</v>
      </c>
      <c r="E48" s="547">
        <f t="shared" si="4"/>
        <v>0.10869565217391304</v>
      </c>
      <c r="F48" s="541">
        <f>'Dean''s Office '!F51+'Anatomy and Physiology'!F50+'Clinical Sciences'!F45+'Diagnostic Med Pathobiology'!F50</f>
        <v>12</v>
      </c>
      <c r="G48" s="547">
        <f t="shared" si="5"/>
        <v>0.13186813186813187</v>
      </c>
      <c r="H48" s="541">
        <f>'Dean''s Office '!H51+'Anatomy and Physiology'!H50+'Clinical Sciences'!H45+'Diagnostic Med Pathobiology'!H50</f>
        <v>14</v>
      </c>
      <c r="I48" s="547">
        <f t="shared" si="6"/>
        <v>0.14000000000000001</v>
      </c>
      <c r="J48" s="541">
        <f>'Dean''s Office '!J51+'Anatomy and Physiology'!J50+'Clinical Sciences'!J45+'Diagnostic Med Pathobiology'!J50</f>
        <v>15</v>
      </c>
      <c r="K48" s="547">
        <f t="shared" si="7"/>
        <v>0.15</v>
      </c>
      <c r="L48" s="541">
        <f>'Dean''s Office '!L51+'Anatomy and Physiology'!L50+'Clinical Sciences'!L45+'Diagnostic Med Pathobiology'!L50</f>
        <v>18</v>
      </c>
      <c r="M48" s="547">
        <f t="shared" si="8"/>
        <v>0.17307692307692307</v>
      </c>
      <c r="N48" s="541">
        <f>'Dean''s Office '!N51+'Anatomy and Physiology'!N50+'Clinical Sciences'!N45+'Diagnostic Med Pathobiology'!N50</f>
        <v>22</v>
      </c>
      <c r="O48" s="547">
        <f t="shared" si="9"/>
        <v>0.19130434782608696</v>
      </c>
      <c r="P48" s="541">
        <f>'Dean''s Office '!P51+'Anatomy and Physiology'!P50+'Clinical Sciences'!P45+'Diagnostic Med Pathobiology'!P50</f>
        <v>25</v>
      </c>
      <c r="Q48" s="547">
        <f t="shared" si="10"/>
        <v>0.2</v>
      </c>
      <c r="R48" s="541">
        <f>'Dean''s Office '!R51+'Anatomy and Physiology'!R50+'Clinical Sciences'!R45+'Diagnostic Med Pathobiology'!R50</f>
        <v>25</v>
      </c>
      <c r="S48" s="547">
        <f t="shared" si="11"/>
        <v>0.19083969465648856</v>
      </c>
      <c r="T48" s="541">
        <f>'Dean''s Office '!T51+'Anatomy and Physiology'!T50+'Clinical Sciences'!T45+'Diagnostic Med Pathobiology'!T50</f>
        <v>0</v>
      </c>
      <c r="U48" s="548">
        <f t="shared" si="12"/>
        <v>0</v>
      </c>
      <c r="V48" s="289"/>
      <c r="W48" s="289"/>
    </row>
    <row r="49" spans="1:23" x14ac:dyDescent="0.2">
      <c r="A49" s="120" t="s">
        <v>47</v>
      </c>
      <c r="B49" s="541">
        <f>'Dean''s Office '!B52+'Anatomy and Physiology'!B51+'Clinical Sciences'!B46+'Diagnostic Med Pathobiology'!B51</f>
        <v>14</v>
      </c>
      <c r="C49" s="547">
        <f t="shared" si="3"/>
        <v>0.15217391304347827</v>
      </c>
      <c r="D49" s="541">
        <f>'Dean''s Office '!D52+'Anatomy and Physiology'!D51+'Clinical Sciences'!D46+'Diagnostic Med Pathobiology'!D51</f>
        <v>10</v>
      </c>
      <c r="E49" s="547">
        <f t="shared" si="4"/>
        <v>0.10869565217391304</v>
      </c>
      <c r="F49" s="541">
        <f>'Dean''s Office '!F52+'Anatomy and Physiology'!F51+'Clinical Sciences'!F46+'Diagnostic Med Pathobiology'!F51</f>
        <v>6</v>
      </c>
      <c r="G49" s="547">
        <f t="shared" si="5"/>
        <v>6.5934065934065936E-2</v>
      </c>
      <c r="H49" s="541">
        <f>'Dean''s Office '!H52+'Anatomy and Physiology'!H51+'Clinical Sciences'!H46+'Diagnostic Med Pathobiology'!H51</f>
        <v>6</v>
      </c>
      <c r="I49" s="547">
        <f t="shared" si="6"/>
        <v>0.06</v>
      </c>
      <c r="J49" s="541">
        <f>'Dean''s Office '!J52+'Anatomy and Physiology'!J51+'Clinical Sciences'!J46+'Diagnostic Med Pathobiology'!J51</f>
        <v>4</v>
      </c>
      <c r="K49" s="547">
        <f t="shared" si="7"/>
        <v>0.04</v>
      </c>
      <c r="L49" s="541">
        <f>'Dean''s Office '!L52+'Anatomy and Physiology'!L51+'Clinical Sciences'!L46+'Diagnostic Med Pathobiology'!L51</f>
        <v>6</v>
      </c>
      <c r="M49" s="547">
        <f t="shared" si="8"/>
        <v>5.7692307692307696E-2</v>
      </c>
      <c r="N49" s="541">
        <f>'Dean''s Office '!N52+'Anatomy and Physiology'!N51+'Clinical Sciences'!N46+'Diagnostic Med Pathobiology'!N51</f>
        <v>7</v>
      </c>
      <c r="O49" s="547">
        <f t="shared" si="9"/>
        <v>6.0869565217391307E-2</v>
      </c>
      <c r="P49" s="541">
        <f>'Dean''s Office '!P52+'Anatomy and Physiology'!P51+'Clinical Sciences'!P46+'Diagnostic Med Pathobiology'!P51</f>
        <v>9</v>
      </c>
      <c r="Q49" s="547">
        <f t="shared" si="10"/>
        <v>7.1999999999999995E-2</v>
      </c>
      <c r="R49" s="541">
        <f>'Dean''s Office '!R52+'Anatomy and Physiology'!R51+'Clinical Sciences'!R46+'Diagnostic Med Pathobiology'!R51</f>
        <v>10</v>
      </c>
      <c r="S49" s="547">
        <f t="shared" si="11"/>
        <v>7.6335877862595422E-2</v>
      </c>
      <c r="T49" s="541">
        <f>'Dean''s Office '!T52+'Anatomy and Physiology'!T51+'Clinical Sciences'!T46+'Diagnostic Med Pathobiology'!T51</f>
        <v>0</v>
      </c>
      <c r="U49" s="548">
        <f t="shared" si="12"/>
        <v>0</v>
      </c>
      <c r="V49" s="289"/>
      <c r="W49" s="289"/>
    </row>
    <row r="50" spans="1:23" x14ac:dyDescent="0.2">
      <c r="A50" s="120" t="s">
        <v>48</v>
      </c>
      <c r="B50" s="541">
        <f>'Dean''s Office '!B53+'Anatomy and Physiology'!B52+'Clinical Sciences'!B47+'Diagnostic Med Pathobiology'!B52</f>
        <v>0</v>
      </c>
      <c r="C50" s="547">
        <f t="shared" si="3"/>
        <v>0</v>
      </c>
      <c r="D50" s="541">
        <f>'Dean''s Office '!D53+'Anatomy and Physiology'!D52+'Clinical Sciences'!D47+'Diagnostic Med Pathobiology'!D52</f>
        <v>0</v>
      </c>
      <c r="E50" s="547">
        <f t="shared" si="4"/>
        <v>0</v>
      </c>
      <c r="F50" s="541">
        <f>'Dean''s Office '!F53+'Anatomy and Physiology'!F52+'Clinical Sciences'!F47+'Diagnostic Med Pathobiology'!F52</f>
        <v>0</v>
      </c>
      <c r="G50" s="547">
        <f t="shared" si="5"/>
        <v>0</v>
      </c>
      <c r="H50" s="541">
        <f>'Dean''s Office '!H53+'Anatomy and Physiology'!H52+'Clinical Sciences'!H47+'Diagnostic Med Pathobiology'!H52</f>
        <v>0</v>
      </c>
      <c r="I50" s="547">
        <f t="shared" si="6"/>
        <v>0</v>
      </c>
      <c r="J50" s="541">
        <f>'Dean''s Office '!J53+'Anatomy and Physiology'!J52+'Clinical Sciences'!J47+'Diagnostic Med Pathobiology'!J52</f>
        <v>0</v>
      </c>
      <c r="K50" s="547">
        <f t="shared" si="7"/>
        <v>0</v>
      </c>
      <c r="L50" s="541">
        <f>'Dean''s Office '!L53+'Anatomy and Physiology'!L52+'Clinical Sciences'!L47+'Diagnostic Med Pathobiology'!L52</f>
        <v>0</v>
      </c>
      <c r="M50" s="547">
        <f t="shared" si="8"/>
        <v>0</v>
      </c>
      <c r="N50" s="541">
        <f>'Dean''s Office '!N53+'Anatomy and Physiology'!N52+'Clinical Sciences'!N47+'Diagnostic Med Pathobiology'!N52</f>
        <v>0</v>
      </c>
      <c r="O50" s="547">
        <f t="shared" si="9"/>
        <v>0</v>
      </c>
      <c r="P50" s="541">
        <f>'Dean''s Office '!P53+'Anatomy and Physiology'!P52+'Clinical Sciences'!P47+'Diagnostic Med Pathobiology'!P52</f>
        <v>1</v>
      </c>
      <c r="Q50" s="547">
        <f t="shared" si="10"/>
        <v>8.0000000000000002E-3</v>
      </c>
      <c r="R50" s="541">
        <f>'Dean''s Office '!R53+'Anatomy and Physiology'!R52+'Clinical Sciences'!R47+'Diagnostic Med Pathobiology'!R52</f>
        <v>1</v>
      </c>
      <c r="S50" s="547">
        <f t="shared" si="11"/>
        <v>7.6335877862595417E-3</v>
      </c>
      <c r="T50" s="541">
        <f>'Dean''s Office '!T53+'Anatomy and Physiology'!T52+'Clinical Sciences'!T47+'Diagnostic Med Pathobiology'!T52</f>
        <v>0</v>
      </c>
      <c r="U50" s="548">
        <f t="shared" si="12"/>
        <v>0</v>
      </c>
      <c r="V50" s="289"/>
      <c r="W50" s="289"/>
    </row>
    <row r="51" spans="1:23" ht="13.5" thickBot="1" x14ac:dyDescent="0.25">
      <c r="A51" s="120" t="s">
        <v>49</v>
      </c>
      <c r="B51" s="542">
        <f>'Dean''s Office '!B54+'Anatomy and Physiology'!B53+'Clinical Sciences'!B48+'Diagnostic Med Pathobiology'!B53</f>
        <v>0</v>
      </c>
      <c r="C51" s="549">
        <f t="shared" si="3"/>
        <v>0</v>
      </c>
      <c r="D51" s="542">
        <f>'Dean''s Office '!D54+'Anatomy and Physiology'!D53+'Clinical Sciences'!D48+'Diagnostic Med Pathobiology'!D53</f>
        <v>2</v>
      </c>
      <c r="E51" s="549">
        <f t="shared" si="4"/>
        <v>2.1739130434782608E-2</v>
      </c>
      <c r="F51" s="542">
        <f>'Dean''s Office '!F54+'Anatomy and Physiology'!F53+'Clinical Sciences'!F48+'Diagnostic Med Pathobiology'!F53</f>
        <v>2</v>
      </c>
      <c r="G51" s="549">
        <f t="shared" si="5"/>
        <v>2.197802197802198E-2</v>
      </c>
      <c r="H51" s="542">
        <f>'Dean''s Office '!H54+'Anatomy and Physiology'!H53+'Clinical Sciences'!H48+'Diagnostic Med Pathobiology'!H53</f>
        <v>1</v>
      </c>
      <c r="I51" s="549">
        <f t="shared" si="6"/>
        <v>0.01</v>
      </c>
      <c r="J51" s="542">
        <f>'Dean''s Office '!J54+'Anatomy and Physiology'!J53+'Clinical Sciences'!J48+'Diagnostic Med Pathobiology'!J53</f>
        <v>1</v>
      </c>
      <c r="K51" s="549">
        <f t="shared" si="7"/>
        <v>0.01</v>
      </c>
      <c r="L51" s="542">
        <f>'Dean''s Office '!L54+'Anatomy and Physiology'!L53+'Clinical Sciences'!L48+'Diagnostic Med Pathobiology'!L53</f>
        <v>0</v>
      </c>
      <c r="M51" s="549">
        <f t="shared" si="8"/>
        <v>0</v>
      </c>
      <c r="N51" s="542">
        <f>'Dean''s Office '!N54+'Anatomy and Physiology'!N53+'Clinical Sciences'!N48+'Diagnostic Med Pathobiology'!N53</f>
        <v>0</v>
      </c>
      <c r="O51" s="549">
        <f t="shared" si="9"/>
        <v>0</v>
      </c>
      <c r="P51" s="542">
        <f>'Dean''s Office '!P54+'Anatomy and Physiology'!P53+'Clinical Sciences'!P48+'Diagnostic Med Pathobiology'!P53</f>
        <v>0</v>
      </c>
      <c r="Q51" s="549">
        <f t="shared" si="10"/>
        <v>0</v>
      </c>
      <c r="R51" s="542">
        <f>'Dean''s Office '!R54+'Anatomy and Physiology'!R53+'Clinical Sciences'!R48+'Diagnostic Med Pathobiology'!R53</f>
        <v>1</v>
      </c>
      <c r="S51" s="549">
        <f t="shared" si="11"/>
        <v>7.6335877862595417E-3</v>
      </c>
      <c r="T51" s="542">
        <f>'Dean''s Office '!T54+'Anatomy and Physiology'!T53+'Clinical Sciences'!T48+'Diagnostic Med Pathobiology'!T53</f>
        <v>0</v>
      </c>
      <c r="U51" s="550">
        <f t="shared" si="12"/>
        <v>0</v>
      </c>
      <c r="V51" s="289"/>
      <c r="W51" s="289"/>
    </row>
    <row r="52" spans="1:23" x14ac:dyDescent="0.2">
      <c r="A52" s="537" t="s">
        <v>50</v>
      </c>
      <c r="B52" s="551"/>
      <c r="C52" s="552"/>
      <c r="D52" s="551"/>
      <c r="E52" s="552"/>
      <c r="F52" s="551"/>
      <c r="G52" s="552"/>
      <c r="H52" s="551"/>
      <c r="I52" s="552"/>
      <c r="J52" s="551"/>
      <c r="K52" s="552"/>
      <c r="L52" s="551"/>
      <c r="M52" s="552"/>
      <c r="N52" s="551"/>
      <c r="O52" s="552"/>
      <c r="P52" s="551"/>
      <c r="Q52" s="552"/>
      <c r="R52" s="551"/>
      <c r="S52" s="552"/>
      <c r="T52" s="551"/>
      <c r="U52" s="522"/>
      <c r="V52" s="289"/>
      <c r="W52" s="289"/>
    </row>
    <row r="53" spans="1:23" x14ac:dyDescent="0.2">
      <c r="A53" s="110" t="s">
        <v>51</v>
      </c>
      <c r="B53" s="541">
        <f>'Dean''s Office '!B56+'Anatomy and Physiology'!B55+'Clinical Sciences'!B50+'Diagnostic Med Pathobiology'!B55</f>
        <v>65</v>
      </c>
      <c r="C53" s="547">
        <f t="shared" ref="C53:C54" si="13">B53/$E$41</f>
        <v>0.70652173913043481</v>
      </c>
      <c r="D53" s="541">
        <f>'Dean''s Office '!D56+'Anatomy and Physiology'!D55+'Clinical Sciences'!D50+'Diagnostic Med Pathobiology'!D55</f>
        <v>64</v>
      </c>
      <c r="E53" s="547">
        <f t="shared" si="4"/>
        <v>0.69565217391304346</v>
      </c>
      <c r="F53" s="541">
        <f>'Dean''s Office '!F56+'Anatomy and Physiology'!F55+'Clinical Sciences'!F50+'Diagnostic Med Pathobiology'!F55</f>
        <v>62</v>
      </c>
      <c r="G53" s="547">
        <f t="shared" si="5"/>
        <v>0.68131868131868134</v>
      </c>
      <c r="H53" s="541">
        <f>'Dean''s Office '!H56+'Anatomy and Physiology'!H55+'Clinical Sciences'!H50+'Diagnostic Med Pathobiology'!H55</f>
        <v>63</v>
      </c>
      <c r="I53" s="547">
        <f t="shared" si="6"/>
        <v>0.63</v>
      </c>
      <c r="J53" s="541">
        <f>'Dean''s Office '!J56+'Anatomy and Physiology'!J55+'Clinical Sciences'!J50+'Diagnostic Med Pathobiology'!J55</f>
        <v>60</v>
      </c>
      <c r="K53" s="547">
        <f t="shared" si="7"/>
        <v>0.6</v>
      </c>
      <c r="L53" s="541">
        <f>'Dean''s Office '!L56+'Anatomy and Physiology'!L55+'Clinical Sciences'!L50+'Diagnostic Med Pathobiology'!L55</f>
        <v>63</v>
      </c>
      <c r="M53" s="547">
        <f t="shared" si="8"/>
        <v>0.60576923076923073</v>
      </c>
      <c r="N53" s="541">
        <f>'Dean''s Office '!N56+'Anatomy and Physiology'!N55+'Clinical Sciences'!N50+'Diagnostic Med Pathobiology'!N55</f>
        <v>69</v>
      </c>
      <c r="O53" s="547">
        <f t="shared" si="9"/>
        <v>0.6</v>
      </c>
      <c r="P53" s="541">
        <f>'Dean''s Office '!P56+'Anatomy and Physiology'!P55+'Clinical Sciences'!P50+'Diagnostic Med Pathobiology'!P55</f>
        <v>76</v>
      </c>
      <c r="Q53" s="547">
        <f t="shared" si="10"/>
        <v>0.60799999999999998</v>
      </c>
      <c r="R53" s="541">
        <f>'Dean''s Office '!R56+'Anatomy and Physiology'!R55+'Clinical Sciences'!R50+'Diagnostic Med Pathobiology'!R55</f>
        <v>78</v>
      </c>
      <c r="S53" s="547">
        <f t="shared" si="11"/>
        <v>0.59541984732824427</v>
      </c>
      <c r="T53" s="541">
        <f>'Dean''s Office '!T56+'Anatomy and Physiology'!T55+'Clinical Sciences'!T50+'Diagnostic Med Pathobiology'!T55</f>
        <v>0</v>
      </c>
      <c r="U53" s="548">
        <f t="shared" ref="U53:U54" si="14">T53/$S$41</f>
        <v>0</v>
      </c>
      <c r="V53" s="289"/>
      <c r="W53" s="289"/>
    </row>
    <row r="54" spans="1:23" ht="13.5" thickBot="1" x14ac:dyDescent="0.25">
      <c r="A54" s="120" t="s">
        <v>52</v>
      </c>
      <c r="B54" s="542">
        <f>'Dean''s Office '!B57+'Anatomy and Physiology'!B56+'Clinical Sciences'!B51+'Diagnostic Med Pathobiology'!B56</f>
        <v>26</v>
      </c>
      <c r="C54" s="549">
        <f t="shared" si="13"/>
        <v>0.28260869565217389</v>
      </c>
      <c r="D54" s="542">
        <f>'Dean''s Office '!D57+'Anatomy and Physiology'!D56+'Clinical Sciences'!D51+'Diagnostic Med Pathobiology'!D56</f>
        <v>28</v>
      </c>
      <c r="E54" s="549">
        <f t="shared" si="4"/>
        <v>0.30434782608695654</v>
      </c>
      <c r="F54" s="542">
        <f>'Dean''s Office '!F57+'Anatomy and Physiology'!F56+'Clinical Sciences'!F51+'Diagnostic Med Pathobiology'!F56</f>
        <v>29</v>
      </c>
      <c r="G54" s="549">
        <f t="shared" si="5"/>
        <v>0.31868131868131866</v>
      </c>
      <c r="H54" s="542">
        <f>'Dean''s Office '!H57+'Anatomy and Physiology'!H56+'Clinical Sciences'!H51+'Diagnostic Med Pathobiology'!H56</f>
        <v>37</v>
      </c>
      <c r="I54" s="549">
        <f t="shared" si="6"/>
        <v>0.37</v>
      </c>
      <c r="J54" s="542">
        <f>'Dean''s Office '!J57+'Anatomy and Physiology'!J56+'Clinical Sciences'!J51+'Diagnostic Med Pathobiology'!J56</f>
        <v>40</v>
      </c>
      <c r="K54" s="549">
        <f t="shared" si="7"/>
        <v>0.4</v>
      </c>
      <c r="L54" s="542">
        <f>'Dean''s Office '!L57+'Anatomy and Physiology'!L56+'Clinical Sciences'!L51+'Diagnostic Med Pathobiology'!L56</f>
        <v>41</v>
      </c>
      <c r="M54" s="549">
        <f t="shared" si="8"/>
        <v>0.39423076923076922</v>
      </c>
      <c r="N54" s="542">
        <f>'Dean''s Office '!N57+'Anatomy and Physiology'!N56+'Clinical Sciences'!N51+'Diagnostic Med Pathobiology'!N56</f>
        <v>46</v>
      </c>
      <c r="O54" s="549">
        <f t="shared" si="9"/>
        <v>0.4</v>
      </c>
      <c r="P54" s="542">
        <f>'Dean''s Office '!P57+'Anatomy and Physiology'!P56+'Clinical Sciences'!P51+'Diagnostic Med Pathobiology'!P56</f>
        <v>49</v>
      </c>
      <c r="Q54" s="549">
        <f t="shared" si="10"/>
        <v>0.39200000000000002</v>
      </c>
      <c r="R54" s="542">
        <f>'Dean''s Office '!R57+'Anatomy and Physiology'!R56+'Clinical Sciences'!R51+'Diagnostic Med Pathobiology'!R56</f>
        <v>53</v>
      </c>
      <c r="S54" s="549">
        <f t="shared" si="11"/>
        <v>0.40458015267175573</v>
      </c>
      <c r="T54" s="542">
        <f>'Dean''s Office '!T57+'Anatomy and Physiology'!T56+'Clinical Sciences'!T51+'Diagnostic Med Pathobiology'!T56</f>
        <v>0</v>
      </c>
      <c r="U54" s="550">
        <f t="shared" si="14"/>
        <v>0</v>
      </c>
      <c r="V54" s="289"/>
      <c r="W54" s="289"/>
    </row>
    <row r="55" spans="1:23" x14ac:dyDescent="0.2">
      <c r="A55" s="537" t="s">
        <v>53</v>
      </c>
      <c r="B55" s="551"/>
      <c r="C55" s="552"/>
      <c r="D55" s="551"/>
      <c r="E55" s="552"/>
      <c r="F55" s="551"/>
      <c r="G55" s="552"/>
      <c r="H55" s="551"/>
      <c r="I55" s="552"/>
      <c r="J55" s="551"/>
      <c r="K55" s="552"/>
      <c r="L55" s="551"/>
      <c r="M55" s="552"/>
      <c r="N55" s="551"/>
      <c r="O55" s="552"/>
      <c r="P55" s="551"/>
      <c r="Q55" s="552"/>
      <c r="R55" s="551"/>
      <c r="S55" s="552"/>
      <c r="T55" s="551"/>
      <c r="U55" s="522"/>
      <c r="V55" s="289"/>
      <c r="W55" s="289"/>
    </row>
    <row r="56" spans="1:23" x14ac:dyDescent="0.2">
      <c r="A56" s="110" t="s">
        <v>54</v>
      </c>
      <c r="B56" s="541">
        <f>'Dean''s Office '!B59+'Anatomy and Physiology'!B58+'Clinical Sciences'!B53+'Diagnostic Med Pathobiology'!B58</f>
        <v>50</v>
      </c>
      <c r="C56" s="547">
        <f t="shared" ref="C56:C58" si="15">B56/$E$41</f>
        <v>0.54347826086956519</v>
      </c>
      <c r="D56" s="541">
        <f>'Dean''s Office '!D59+'Anatomy and Physiology'!D58+'Clinical Sciences'!D53+'Diagnostic Med Pathobiology'!D58</f>
        <v>54</v>
      </c>
      <c r="E56" s="547">
        <f t="shared" si="4"/>
        <v>0.58695652173913049</v>
      </c>
      <c r="F56" s="541">
        <f>'Dean''s Office '!F59+'Anatomy and Physiology'!F58+'Clinical Sciences'!F53+'Diagnostic Med Pathobiology'!F58</f>
        <v>53</v>
      </c>
      <c r="G56" s="547">
        <f t="shared" si="5"/>
        <v>0.58241758241758246</v>
      </c>
      <c r="H56" s="541">
        <f>'Dean''s Office '!H59+'Anatomy and Physiology'!H58+'Clinical Sciences'!H53+'Diagnostic Med Pathobiology'!H58</f>
        <v>58</v>
      </c>
      <c r="I56" s="547">
        <f t="shared" si="6"/>
        <v>0.57999999999999996</v>
      </c>
      <c r="J56" s="541">
        <f>'Dean''s Office '!J59+'Anatomy and Physiology'!J58+'Clinical Sciences'!J53+'Diagnostic Med Pathobiology'!J58</f>
        <v>57</v>
      </c>
      <c r="K56" s="547">
        <f t="shared" si="7"/>
        <v>0.56999999999999995</v>
      </c>
      <c r="L56" s="541">
        <f>'Dean''s Office '!L59+'Anatomy and Physiology'!L58+'Clinical Sciences'!L53+'Diagnostic Med Pathobiology'!L58</f>
        <v>64</v>
      </c>
      <c r="M56" s="547">
        <f t="shared" si="8"/>
        <v>0.61538461538461542</v>
      </c>
      <c r="N56" s="541">
        <f>'Dean''s Office '!N59+'Anatomy and Physiology'!N58+'Clinical Sciences'!N53+'Diagnostic Med Pathobiology'!N58</f>
        <v>63</v>
      </c>
      <c r="O56" s="547">
        <f t="shared" si="9"/>
        <v>0.54782608695652169</v>
      </c>
      <c r="P56" s="541">
        <f>'Dean''s Office '!P59+'Anatomy and Physiology'!P58+'Clinical Sciences'!P53+'Diagnostic Med Pathobiology'!P58</f>
        <v>63</v>
      </c>
      <c r="Q56" s="547">
        <f t="shared" si="10"/>
        <v>0.504</v>
      </c>
      <c r="R56" s="541">
        <f>'Dean''s Office '!R59+'Anatomy and Physiology'!R58+'Clinical Sciences'!R53+'Diagnostic Med Pathobiology'!R58</f>
        <v>64</v>
      </c>
      <c r="S56" s="547">
        <f t="shared" si="11"/>
        <v>0.48854961832061067</v>
      </c>
      <c r="T56" s="541">
        <f>'Dean''s Office '!T59+'Anatomy and Physiology'!T58+'Clinical Sciences'!T53+'Diagnostic Med Pathobiology'!T58</f>
        <v>0</v>
      </c>
      <c r="U56" s="548">
        <f t="shared" ref="U56:U58" si="16">T56/$S$41</f>
        <v>0</v>
      </c>
      <c r="V56" s="289"/>
      <c r="W56" s="289"/>
    </row>
    <row r="57" spans="1:23" x14ac:dyDescent="0.2">
      <c r="A57" s="110" t="s">
        <v>55</v>
      </c>
      <c r="B57" s="541">
        <f>'Dean''s Office '!B60+'Anatomy and Physiology'!B59+'Clinical Sciences'!B54+'Diagnostic Med Pathobiology'!B59</f>
        <v>24</v>
      </c>
      <c r="C57" s="547">
        <f t="shared" si="15"/>
        <v>0.2608695652173913</v>
      </c>
      <c r="D57" s="541">
        <f>'Dean''s Office '!D60+'Anatomy and Physiology'!D59+'Clinical Sciences'!D54+'Diagnostic Med Pathobiology'!D59</f>
        <v>21</v>
      </c>
      <c r="E57" s="547">
        <f t="shared" si="4"/>
        <v>0.22826086956521738</v>
      </c>
      <c r="F57" s="541">
        <f>'Dean''s Office '!F60+'Anatomy and Physiology'!F59+'Clinical Sciences'!F54+'Diagnostic Med Pathobiology'!F59</f>
        <v>20</v>
      </c>
      <c r="G57" s="547">
        <f t="shared" si="5"/>
        <v>0.21978021978021978</v>
      </c>
      <c r="H57" s="541">
        <f>'Dean''s Office '!H60+'Anatomy and Physiology'!H59+'Clinical Sciences'!H54+'Diagnostic Med Pathobiology'!H59</f>
        <v>15</v>
      </c>
      <c r="I57" s="547">
        <f t="shared" si="6"/>
        <v>0.15</v>
      </c>
      <c r="J57" s="541">
        <f>'Dean''s Office '!J60+'Anatomy and Physiology'!J59+'Clinical Sciences'!J54+'Diagnostic Med Pathobiology'!J59</f>
        <v>12</v>
      </c>
      <c r="K57" s="547">
        <f t="shared" si="7"/>
        <v>0.12</v>
      </c>
      <c r="L57" s="541">
        <f>'Dean''s Office '!L60+'Anatomy and Physiology'!L59+'Clinical Sciences'!L54+'Diagnostic Med Pathobiology'!L59</f>
        <v>8</v>
      </c>
      <c r="M57" s="547">
        <f t="shared" si="8"/>
        <v>7.6923076923076927E-2</v>
      </c>
      <c r="N57" s="541">
        <f>'Dean''s Office '!N60+'Anatomy and Physiology'!N59+'Clinical Sciences'!N54+'Diagnostic Med Pathobiology'!N59</f>
        <v>9</v>
      </c>
      <c r="O57" s="547">
        <f t="shared" si="9"/>
        <v>7.8260869565217397E-2</v>
      </c>
      <c r="P57" s="541">
        <f>'Dean''s Office '!P60+'Anatomy and Physiology'!P59+'Clinical Sciences'!P54+'Diagnostic Med Pathobiology'!P59</f>
        <v>15</v>
      </c>
      <c r="Q57" s="547">
        <f t="shared" si="10"/>
        <v>0.12</v>
      </c>
      <c r="R57" s="541">
        <f>'Dean''s Office '!R60+'Anatomy and Physiology'!R59+'Clinical Sciences'!R54+'Diagnostic Med Pathobiology'!R59</f>
        <v>17</v>
      </c>
      <c r="S57" s="547">
        <f t="shared" si="11"/>
        <v>0.12977099236641221</v>
      </c>
      <c r="T57" s="541">
        <f>'Dean''s Office '!T60+'Anatomy and Physiology'!T59+'Clinical Sciences'!T54+'Diagnostic Med Pathobiology'!T59</f>
        <v>0</v>
      </c>
      <c r="U57" s="548">
        <f t="shared" si="16"/>
        <v>0</v>
      </c>
      <c r="V57" s="289"/>
      <c r="W57" s="289"/>
    </row>
    <row r="58" spans="1:23" ht="13.5" thickBot="1" x14ac:dyDescent="0.25">
      <c r="A58" s="120" t="s">
        <v>56</v>
      </c>
      <c r="B58" s="542">
        <f>'Dean''s Office '!B61+'Anatomy and Physiology'!B60+'Clinical Sciences'!B55+'Diagnostic Med Pathobiology'!B60</f>
        <v>17</v>
      </c>
      <c r="C58" s="549">
        <f t="shared" si="15"/>
        <v>0.18478260869565216</v>
      </c>
      <c r="D58" s="542">
        <f>'Dean''s Office '!D61+'Anatomy and Physiology'!D60+'Clinical Sciences'!D55+'Diagnostic Med Pathobiology'!D60</f>
        <v>17</v>
      </c>
      <c r="E58" s="549">
        <f t="shared" si="4"/>
        <v>0.18478260869565216</v>
      </c>
      <c r="F58" s="542">
        <f>'Dean''s Office '!F61+'Anatomy and Physiology'!F60+'Clinical Sciences'!F55+'Diagnostic Med Pathobiology'!F60</f>
        <v>18</v>
      </c>
      <c r="G58" s="549">
        <f t="shared" si="5"/>
        <v>0.19780219780219779</v>
      </c>
      <c r="H58" s="542">
        <f>'Dean''s Office '!H61+'Anatomy and Physiology'!H60+'Clinical Sciences'!H55+'Diagnostic Med Pathobiology'!H60</f>
        <v>27</v>
      </c>
      <c r="I58" s="549">
        <f t="shared" si="6"/>
        <v>0.27</v>
      </c>
      <c r="J58" s="542">
        <f>'Dean''s Office '!J61+'Anatomy and Physiology'!J60+'Clinical Sciences'!J55+'Diagnostic Med Pathobiology'!J60</f>
        <v>31</v>
      </c>
      <c r="K58" s="549">
        <f t="shared" si="7"/>
        <v>0.31</v>
      </c>
      <c r="L58" s="542">
        <f>'Dean''s Office '!L61+'Anatomy and Physiology'!L60+'Clinical Sciences'!L55+'Diagnostic Med Pathobiology'!L60</f>
        <v>32</v>
      </c>
      <c r="M58" s="549">
        <f t="shared" si="8"/>
        <v>0.30769230769230771</v>
      </c>
      <c r="N58" s="542">
        <f>'Dean''s Office '!N61+'Anatomy and Physiology'!N60+'Clinical Sciences'!N55+'Diagnostic Med Pathobiology'!N60</f>
        <v>43</v>
      </c>
      <c r="O58" s="549">
        <f t="shared" si="9"/>
        <v>0.37391304347826088</v>
      </c>
      <c r="P58" s="542">
        <f>'Dean''s Office '!P61+'Anatomy and Physiology'!P60+'Clinical Sciences'!P55+'Diagnostic Med Pathobiology'!P60</f>
        <v>47</v>
      </c>
      <c r="Q58" s="549">
        <f t="shared" si="10"/>
        <v>0.376</v>
      </c>
      <c r="R58" s="542">
        <f>'Dean''s Office '!R61+'Anatomy and Physiology'!R60+'Clinical Sciences'!R55+'Diagnostic Med Pathobiology'!R60</f>
        <v>50</v>
      </c>
      <c r="S58" s="549">
        <f t="shared" si="11"/>
        <v>0.38167938931297712</v>
      </c>
      <c r="T58" s="542">
        <f>'Dean''s Office '!T61+'Anatomy and Physiology'!T60+'Clinical Sciences'!T55+'Diagnostic Med Pathobiology'!T60</f>
        <v>0</v>
      </c>
      <c r="U58" s="550">
        <f t="shared" si="16"/>
        <v>0</v>
      </c>
      <c r="V58" s="289"/>
      <c r="W58" s="289"/>
    </row>
    <row r="59" spans="1:23" x14ac:dyDescent="0.2">
      <c r="A59" s="537" t="s">
        <v>57</v>
      </c>
      <c r="B59" s="551"/>
      <c r="C59" s="552"/>
      <c r="D59" s="551"/>
      <c r="E59" s="552"/>
      <c r="F59" s="551"/>
      <c r="G59" s="552"/>
      <c r="H59" s="551"/>
      <c r="I59" s="552"/>
      <c r="J59" s="551"/>
      <c r="K59" s="552"/>
      <c r="L59" s="551"/>
      <c r="M59" s="552"/>
      <c r="N59" s="551"/>
      <c r="O59" s="552"/>
      <c r="P59" s="551"/>
      <c r="Q59" s="552"/>
      <c r="R59" s="551"/>
      <c r="S59" s="552"/>
      <c r="T59" s="551"/>
      <c r="U59" s="522"/>
      <c r="V59" s="289"/>
      <c r="W59" s="289"/>
    </row>
    <row r="60" spans="1:23" x14ac:dyDescent="0.2">
      <c r="A60" s="110" t="s">
        <v>58</v>
      </c>
      <c r="B60" s="541">
        <f>'Dean''s Office '!B63+'Anatomy and Physiology'!B62+'Clinical Sciences'!B57+'Diagnostic Med Pathobiology'!B62</f>
        <v>88</v>
      </c>
      <c r="C60" s="547">
        <f t="shared" ref="C60:C62" si="17">B60/$E$41</f>
        <v>0.95652173913043481</v>
      </c>
      <c r="D60" s="541">
        <f>'Dean''s Office '!D63+'Anatomy and Physiology'!D62+'Clinical Sciences'!D57+'Diagnostic Med Pathobiology'!D62</f>
        <v>88</v>
      </c>
      <c r="E60" s="547">
        <f t="shared" si="4"/>
        <v>0.95652173913043481</v>
      </c>
      <c r="F60" s="541">
        <f>'Dean''s Office '!F63+'Anatomy and Physiology'!F62+'Clinical Sciences'!F57+'Diagnostic Med Pathobiology'!F62</f>
        <v>87</v>
      </c>
      <c r="G60" s="547">
        <f t="shared" si="5"/>
        <v>0.95604395604395609</v>
      </c>
      <c r="H60" s="541">
        <f>'Dean''s Office '!H63+'Anatomy and Physiology'!H62+'Clinical Sciences'!H57+'Diagnostic Med Pathobiology'!H62</f>
        <v>97</v>
      </c>
      <c r="I60" s="547">
        <f t="shared" si="6"/>
        <v>0.97</v>
      </c>
      <c r="J60" s="541">
        <f>'Dean''s Office '!J63+'Anatomy and Physiology'!J62+'Clinical Sciences'!J57+'Diagnostic Med Pathobiology'!J62</f>
        <v>97</v>
      </c>
      <c r="K60" s="547">
        <f t="shared" si="7"/>
        <v>0.97</v>
      </c>
      <c r="L60" s="541">
        <f>'Dean''s Office '!L63+'Anatomy and Physiology'!L62+'Clinical Sciences'!L57+'Diagnostic Med Pathobiology'!L62</f>
        <v>101</v>
      </c>
      <c r="M60" s="547">
        <f t="shared" si="8"/>
        <v>0.97115384615384615</v>
      </c>
      <c r="N60" s="541">
        <f>'Dean''s Office '!N63+'Anatomy and Physiology'!N62+'Clinical Sciences'!N57+'Diagnostic Med Pathobiology'!N62</f>
        <v>112</v>
      </c>
      <c r="O60" s="547">
        <f t="shared" si="9"/>
        <v>0.97391304347826091</v>
      </c>
      <c r="P60" s="541">
        <f>'Dean''s Office '!P63+'Anatomy and Physiology'!P62+'Clinical Sciences'!P57+'Diagnostic Med Pathobiology'!P62</f>
        <v>124</v>
      </c>
      <c r="Q60" s="547">
        <f t="shared" si="10"/>
        <v>0.99199999999999999</v>
      </c>
      <c r="R60" s="541">
        <f>'Dean''s Office '!R63+'Anatomy and Physiology'!R62+'Clinical Sciences'!R57+'Diagnostic Med Pathobiology'!R62</f>
        <v>128</v>
      </c>
      <c r="S60" s="547">
        <f t="shared" si="11"/>
        <v>0.97709923664122134</v>
      </c>
      <c r="T60" s="541">
        <f>'Dean''s Office '!T63+'Anatomy and Physiology'!T62+'Clinical Sciences'!T57+'Diagnostic Med Pathobiology'!T62</f>
        <v>0</v>
      </c>
      <c r="U60" s="548">
        <f t="shared" ref="U60:U63" si="18">T60/$S$41</f>
        <v>0</v>
      </c>
      <c r="V60" s="289"/>
      <c r="W60" s="289"/>
    </row>
    <row r="61" spans="1:23" x14ac:dyDescent="0.2">
      <c r="A61" s="110" t="s">
        <v>59</v>
      </c>
      <c r="B61" s="541">
        <f>'Dean''s Office '!B64+'Anatomy and Physiology'!B63+'Clinical Sciences'!B58+'Diagnostic Med Pathobiology'!B63</f>
        <v>3</v>
      </c>
      <c r="C61" s="547">
        <f t="shared" si="17"/>
        <v>3.2608695652173912E-2</v>
      </c>
      <c r="D61" s="541">
        <f>'Dean''s Office '!D64+'Anatomy and Physiology'!D63+'Clinical Sciences'!D58+'Diagnostic Med Pathobiology'!D63</f>
        <v>4</v>
      </c>
      <c r="E61" s="547">
        <f t="shared" ref="E61:E62" si="19">D61/$E$41</f>
        <v>4.3478260869565216E-2</v>
      </c>
      <c r="F61" s="541">
        <f>'Dean''s Office '!F64+'Anatomy and Physiology'!F63+'Clinical Sciences'!F58+'Diagnostic Med Pathobiology'!F63</f>
        <v>4</v>
      </c>
      <c r="G61" s="547">
        <f t="shared" si="5"/>
        <v>4.3956043956043959E-2</v>
      </c>
      <c r="H61" s="541">
        <f>'Dean''s Office '!H64+'Anatomy and Physiology'!H63+'Clinical Sciences'!H58+'Diagnostic Med Pathobiology'!H63</f>
        <v>3</v>
      </c>
      <c r="I61" s="547">
        <f t="shared" si="6"/>
        <v>0.03</v>
      </c>
      <c r="J61" s="541">
        <f>'Dean''s Office '!J64+'Anatomy and Physiology'!J63+'Clinical Sciences'!J58+'Diagnostic Med Pathobiology'!J63</f>
        <v>3</v>
      </c>
      <c r="K61" s="547">
        <f t="shared" si="7"/>
        <v>0.03</v>
      </c>
      <c r="L61" s="541">
        <f>'Dean''s Office '!L64+'Anatomy and Physiology'!L63+'Clinical Sciences'!L58+'Diagnostic Med Pathobiology'!L63</f>
        <v>3</v>
      </c>
      <c r="M61" s="547">
        <f t="shared" si="8"/>
        <v>2.8846153846153848E-2</v>
      </c>
      <c r="N61" s="541">
        <f>'Dean''s Office '!N64+'Anatomy and Physiology'!N63+'Clinical Sciences'!N58+'Diagnostic Med Pathobiology'!N63</f>
        <v>3</v>
      </c>
      <c r="O61" s="547">
        <f t="shared" si="9"/>
        <v>2.6086956521739129E-2</v>
      </c>
      <c r="P61" s="541">
        <f>'Dean''s Office '!P64+'Anatomy and Physiology'!P63+'Clinical Sciences'!P58+'Diagnostic Med Pathobiology'!P63</f>
        <v>1</v>
      </c>
      <c r="Q61" s="547">
        <f t="shared" si="10"/>
        <v>8.0000000000000002E-3</v>
      </c>
      <c r="R61" s="541">
        <f>'Dean''s Office '!R64+'Anatomy and Physiology'!R63+'Clinical Sciences'!R58+'Diagnostic Med Pathobiology'!R63</f>
        <v>3</v>
      </c>
      <c r="S61" s="547">
        <f t="shared" si="11"/>
        <v>2.2900763358778626E-2</v>
      </c>
      <c r="T61" s="541">
        <f>'Dean''s Office '!T64+'Anatomy and Physiology'!T63+'Clinical Sciences'!T58+'Diagnostic Med Pathobiology'!T63</f>
        <v>0</v>
      </c>
      <c r="U61" s="548">
        <f t="shared" si="18"/>
        <v>0</v>
      </c>
      <c r="V61" s="289"/>
      <c r="W61" s="289"/>
    </row>
    <row r="62" spans="1:23" x14ac:dyDescent="0.2">
      <c r="A62" s="110" t="s">
        <v>60</v>
      </c>
      <c r="B62" s="541">
        <f>'Dean''s Office '!B65+'Anatomy and Physiology'!B64+'Clinical Sciences'!B59+'Diagnostic Med Pathobiology'!B64</f>
        <v>0</v>
      </c>
      <c r="C62" s="547">
        <f t="shared" si="17"/>
        <v>0</v>
      </c>
      <c r="D62" s="541">
        <f>'Dean''s Office '!D65+'Anatomy and Physiology'!D64+'Clinical Sciences'!D59+'Diagnostic Med Pathobiology'!D64</f>
        <v>0</v>
      </c>
      <c r="E62" s="547">
        <f t="shared" si="19"/>
        <v>0</v>
      </c>
      <c r="F62" s="541">
        <f>'Dean''s Office '!F65+'Anatomy and Physiology'!F64+'Clinical Sciences'!F59+'Diagnostic Med Pathobiology'!F64</f>
        <v>0</v>
      </c>
      <c r="G62" s="547">
        <f t="shared" si="5"/>
        <v>0</v>
      </c>
      <c r="H62" s="541">
        <f>'Dean''s Office '!H65+'Anatomy and Physiology'!H64+'Clinical Sciences'!H59+'Diagnostic Med Pathobiology'!H64</f>
        <v>0</v>
      </c>
      <c r="I62" s="547">
        <f t="shared" si="6"/>
        <v>0</v>
      </c>
      <c r="J62" s="541">
        <f>'Dean''s Office '!J65+'Anatomy and Physiology'!J64+'Clinical Sciences'!J59+'Diagnostic Med Pathobiology'!J64</f>
        <v>0</v>
      </c>
      <c r="K62" s="547">
        <f t="shared" si="7"/>
        <v>0</v>
      </c>
      <c r="L62" s="541">
        <f>'Dean''s Office '!L65+'Anatomy and Physiology'!L64+'Clinical Sciences'!L59+'Diagnostic Med Pathobiology'!L64</f>
        <v>0</v>
      </c>
      <c r="M62" s="547">
        <f t="shared" si="8"/>
        <v>0</v>
      </c>
      <c r="N62" s="541">
        <f>'Dean''s Office '!N65+'Anatomy and Physiology'!N64+'Clinical Sciences'!N59+'Diagnostic Med Pathobiology'!N64</f>
        <v>0</v>
      </c>
      <c r="O62" s="547">
        <f t="shared" si="9"/>
        <v>0</v>
      </c>
      <c r="P62" s="541">
        <f>'Dean''s Office '!P65+'Anatomy and Physiology'!P64+'Clinical Sciences'!P59+'Diagnostic Med Pathobiology'!P64</f>
        <v>0</v>
      </c>
      <c r="Q62" s="547">
        <f t="shared" si="10"/>
        <v>0</v>
      </c>
      <c r="R62" s="541">
        <f>'Dean''s Office '!R65+'Anatomy and Physiology'!R64+'Clinical Sciences'!R59+'Diagnostic Med Pathobiology'!R64</f>
        <v>0</v>
      </c>
      <c r="S62" s="547">
        <f t="shared" si="11"/>
        <v>0</v>
      </c>
      <c r="T62" s="541">
        <f>'Dean''s Office '!T65+'Anatomy and Physiology'!T64+'Clinical Sciences'!T59+'Diagnostic Med Pathobiology'!T64</f>
        <v>0</v>
      </c>
      <c r="U62" s="548">
        <f t="shared" si="18"/>
        <v>0</v>
      </c>
      <c r="V62" s="289"/>
      <c r="W62" s="289"/>
    </row>
    <row r="63" spans="1:23" ht="13.5" thickBot="1" x14ac:dyDescent="0.25">
      <c r="A63" s="122" t="s">
        <v>61</v>
      </c>
      <c r="B63" s="524">
        <f>'Dean''s Office '!B66+'Anatomy and Physiology'!B65+'Clinical Sciences'!B60+'Diagnostic Med Pathobiology'!B65</f>
        <v>0</v>
      </c>
      <c r="C63" s="525">
        <f>B63/$E$41</f>
        <v>0</v>
      </c>
      <c r="D63" s="524">
        <f>'Dean''s Office '!D66+'Anatomy and Physiology'!D65+'Clinical Sciences'!D60+'Diagnostic Med Pathobiology'!D65</f>
        <v>0</v>
      </c>
      <c r="E63" s="525">
        <f>D63/$E$41</f>
        <v>0</v>
      </c>
      <c r="F63" s="524">
        <f>'Dean''s Office '!F66+'Anatomy and Physiology'!F65+'Clinical Sciences'!F60+'Diagnostic Med Pathobiology'!F65</f>
        <v>0</v>
      </c>
      <c r="G63" s="525">
        <f t="shared" si="5"/>
        <v>0</v>
      </c>
      <c r="H63" s="524">
        <f>'Dean''s Office '!H66+'Anatomy and Physiology'!H65+'Clinical Sciences'!H60+'Diagnostic Med Pathobiology'!H65</f>
        <v>0</v>
      </c>
      <c r="I63" s="525">
        <f t="shared" si="6"/>
        <v>0</v>
      </c>
      <c r="J63" s="524">
        <f>'Dean''s Office '!J66+'Anatomy and Physiology'!J65+'Clinical Sciences'!J60+'Diagnostic Med Pathobiology'!J65</f>
        <v>0</v>
      </c>
      <c r="K63" s="525">
        <f t="shared" si="7"/>
        <v>0</v>
      </c>
      <c r="L63" s="524">
        <f>'Dean''s Office '!L66+'Anatomy and Physiology'!L65+'Clinical Sciences'!L60+'Diagnostic Med Pathobiology'!L65</f>
        <v>0</v>
      </c>
      <c r="M63" s="525">
        <f t="shared" si="8"/>
        <v>0</v>
      </c>
      <c r="N63" s="524">
        <f>'Dean''s Office '!N66+'Anatomy and Physiology'!N65+'Clinical Sciences'!N60+'Diagnostic Med Pathobiology'!N65</f>
        <v>0</v>
      </c>
      <c r="O63" s="525">
        <f t="shared" si="9"/>
        <v>0</v>
      </c>
      <c r="P63" s="524">
        <f>'Dean''s Office '!P66+'Anatomy and Physiology'!P65+'Clinical Sciences'!P60+'Diagnostic Med Pathobiology'!P65</f>
        <v>0</v>
      </c>
      <c r="Q63" s="525">
        <f t="shared" si="10"/>
        <v>0</v>
      </c>
      <c r="R63" s="524">
        <f>'Dean''s Office '!R66+'Anatomy and Physiology'!R65+'Clinical Sciences'!R60+'Diagnostic Med Pathobiology'!R65</f>
        <v>0</v>
      </c>
      <c r="S63" s="525">
        <f t="shared" si="11"/>
        <v>0</v>
      </c>
      <c r="T63" s="524">
        <f>'Dean''s Office '!T66+'Anatomy and Physiology'!T65+'Clinical Sciences'!T60+'Diagnostic Med Pathobiology'!T65</f>
        <v>0</v>
      </c>
      <c r="U63" s="553">
        <f t="shared" si="18"/>
        <v>0</v>
      </c>
      <c r="V63" s="289"/>
      <c r="W63" s="289"/>
    </row>
    <row r="64" spans="1:23" ht="13.5" thickTop="1" x14ac:dyDescent="0.2">
      <c r="V64" s="289"/>
      <c r="W64" s="289"/>
    </row>
  </sheetData>
  <mergeCells count="20">
    <mergeCell ref="T29:U29"/>
    <mergeCell ref="T9:U9"/>
    <mergeCell ref="N29:O29"/>
    <mergeCell ref="P29:Q29"/>
    <mergeCell ref="R29:S29"/>
    <mergeCell ref="P9:Q9"/>
    <mergeCell ref="R9:S9"/>
    <mergeCell ref="N9:O9"/>
    <mergeCell ref="J9:K9"/>
    <mergeCell ref="L9:M9"/>
    <mergeCell ref="D29:E29"/>
    <mergeCell ref="F29:G29"/>
    <mergeCell ref="H29:I29"/>
    <mergeCell ref="J29:K29"/>
    <mergeCell ref="L29:M29"/>
    <mergeCell ref="B9:C9"/>
    <mergeCell ref="B29:C29"/>
    <mergeCell ref="D9:E9"/>
    <mergeCell ref="F9:G9"/>
    <mergeCell ref="H9:I9"/>
  </mergeCells>
  <pageMargins left="0.7" right="0.7" top="0.75" bottom="0.75" header="0.3" footer="0.3"/>
  <pageSetup scale="86" fitToHeight="2" orientation="landscape" r:id="rId1"/>
  <rowBreaks count="1" manualBreakCount="1">
    <brk id="27" max="20" man="1"/>
  </rowBreaks>
  <ignoredErrors>
    <ignoredError sqref="J25:S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Dean's Office </vt:lpstr>
      <vt:lpstr>Anatomy and Physiology</vt:lpstr>
      <vt:lpstr>Diagnostic Med Pathobiology</vt:lpstr>
      <vt:lpstr>Clinical Sciences</vt:lpstr>
      <vt:lpstr>Vet Med Summary</vt:lpstr>
      <vt:lpstr>'Anatomy and Physiology'!Print_Area</vt:lpstr>
      <vt:lpstr>'Clinical Sciences'!Print_Area</vt:lpstr>
      <vt:lpstr>'Dean''s Office '!Print_Area</vt:lpstr>
      <vt:lpstr>'Diagnostic Med Pathobiology'!Print_Area</vt:lpstr>
      <vt:lpstr>'Vet Med Summary'!Print_Area</vt:lpstr>
      <vt:lpstr>'Anatomy and Physiology'!Print_Titles</vt:lpstr>
      <vt:lpstr>'Clinical Sciences'!Print_Titles</vt:lpstr>
      <vt:lpstr>'Dean''s Office '!Print_Titles</vt:lpstr>
      <vt:lpstr>'Diagnostic Med Pathobiology'!Print_Titles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Feldkamp</dc:creator>
  <cp:lastModifiedBy>Nancy Baker</cp:lastModifiedBy>
  <cp:lastPrinted>2016-11-09T19:55:51Z</cp:lastPrinted>
  <dcterms:created xsi:type="dcterms:W3CDTF">2015-09-11T14:15:26Z</dcterms:created>
  <dcterms:modified xsi:type="dcterms:W3CDTF">2016-11-09T19:56:00Z</dcterms:modified>
</cp:coreProperties>
</file>