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810" firstSheet="6" activeTab="6"/>
  </bookViews>
  <sheets>
    <sheet name="Dean's Office" sheetId="29" state="hidden" r:id="rId1"/>
    <sheet name="ATID" sheetId="4" state="hidden" r:id="rId2"/>
    <sheet name="HM" sheetId="5" state="hidden" r:id="rId3"/>
    <sheet name="Food Nutrition Diet Health" sheetId="26" state="hidden" r:id="rId4"/>
    <sheet name="FSHS" sheetId="27" state="hidden" r:id="rId5"/>
    <sheet name="Kinesiology" sheetId="28" state="hidden" r:id="rId6"/>
    <sheet name="Human Ecology Summary" sheetId="25" r:id="rId7"/>
  </sheets>
  <definedNames>
    <definedName name="_xlnm.Print_Area" localSheetId="1">ATID!$A$8:$X$81</definedName>
    <definedName name="_xlnm.Print_Area" localSheetId="0">'Dean''s Office'!$A$8:$X$77</definedName>
    <definedName name="_xlnm.Print_Area" localSheetId="3">'Food Nutrition Diet Health'!$A$8:$X$90</definedName>
    <definedName name="_xlnm.Print_Area" localSheetId="4">FSHS!$A$8:$X$112</definedName>
    <definedName name="_xlnm.Print_Area" localSheetId="2">HM!$A$8:$X$76</definedName>
    <definedName name="_xlnm.Print_Area" localSheetId="6">'Human Ecology Summary'!$A$1:$U$71</definedName>
    <definedName name="_xlnm.Print_Area" localSheetId="5">Kinesiology!$A$9:$X$76</definedName>
    <definedName name="_xlnm.Print_Titles" localSheetId="1">ATID!$A:$A,ATID!$1:$7</definedName>
    <definedName name="_xlnm.Print_Titles" localSheetId="0">'Dean''s Office'!$A:$A,'Dean''s Office'!$1:$7</definedName>
    <definedName name="_xlnm.Print_Titles" localSheetId="3">'Food Nutrition Diet Health'!$A:$A,'Food Nutrition Diet Health'!$1:$7</definedName>
    <definedName name="_xlnm.Print_Titles" localSheetId="4">FSHS!$A:$A,FSHS!$1:$7</definedName>
    <definedName name="_xlnm.Print_Titles" localSheetId="2">HM!$A:$A,HM!$1:$7</definedName>
    <definedName name="_xlnm.Print_Titles" localSheetId="5">Kinesiology!$A:$A,Kinesiology!$1:$7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29" l="1"/>
  <c r="S11" i="25" l="1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C26" i="25"/>
  <c r="C30" i="25" s="1"/>
  <c r="C27" i="25"/>
  <c r="C28" i="25"/>
  <c r="C29" i="25"/>
  <c r="C39" i="25"/>
  <c r="C40" i="25"/>
  <c r="C41" i="25"/>
  <c r="C44" i="25"/>
  <c r="C49" i="25" s="1"/>
  <c r="C45" i="25"/>
  <c r="C46" i="25"/>
  <c r="C47" i="25"/>
  <c r="C48" i="25"/>
  <c r="B52" i="25"/>
  <c r="C52" i="25"/>
  <c r="B53" i="25"/>
  <c r="C53" i="25" s="1"/>
  <c r="B54" i="25"/>
  <c r="C54" i="25" s="1"/>
  <c r="B55" i="25"/>
  <c r="C55" i="25"/>
  <c r="B56" i="25"/>
  <c r="C56" i="25"/>
  <c r="B57" i="25"/>
  <c r="C57" i="25" s="1"/>
  <c r="B58" i="25"/>
  <c r="C58" i="25" s="1"/>
  <c r="B59" i="25"/>
  <c r="C59" i="25"/>
  <c r="B61" i="25"/>
  <c r="C61" i="25"/>
  <c r="B62" i="25"/>
  <c r="C62" i="25" s="1"/>
  <c r="B64" i="25"/>
  <c r="C64" i="25" s="1"/>
  <c r="B65" i="25"/>
  <c r="C65" i="25"/>
  <c r="B66" i="25"/>
  <c r="C66" i="25"/>
  <c r="B68" i="25"/>
  <c r="C68" i="25" s="1"/>
  <c r="B69" i="25"/>
  <c r="C69" i="25" s="1"/>
  <c r="B70" i="25"/>
  <c r="C70" i="25"/>
  <c r="B71" i="25"/>
  <c r="C71" i="25"/>
  <c r="X43" i="28"/>
  <c r="W37" i="28"/>
  <c r="X33" i="28"/>
  <c r="X23" i="28"/>
  <c r="X30" i="28"/>
  <c r="X29" i="28"/>
  <c r="X28" i="28"/>
  <c r="X27" i="28"/>
  <c r="X26" i="28"/>
  <c r="X21" i="28"/>
  <c r="X20" i="28"/>
  <c r="X17" i="28"/>
  <c r="X16" i="28"/>
  <c r="X15" i="28"/>
  <c r="X14" i="28"/>
  <c r="X84" i="27"/>
  <c r="W84" i="27"/>
  <c r="X79" i="27"/>
  <c r="W71" i="27"/>
  <c r="X67" i="27"/>
  <c r="X60" i="27"/>
  <c r="X55" i="27"/>
  <c r="X47" i="27"/>
  <c r="X44" i="27"/>
  <c r="X28" i="27"/>
  <c r="X22" i="27"/>
  <c r="X14" i="27"/>
  <c r="U74" i="27"/>
  <c r="W34" i="27"/>
  <c r="X73" i="27" s="1"/>
  <c r="W74" i="27"/>
  <c r="W73" i="27"/>
  <c r="W72" i="27"/>
  <c r="X64" i="27"/>
  <c r="X63" i="27"/>
  <c r="X62" i="27"/>
  <c r="X61" i="27"/>
  <c r="X52" i="27"/>
  <c r="X51" i="27"/>
  <c r="X50" i="27"/>
  <c r="X49" i="27"/>
  <c r="X48" i="27"/>
  <c r="X42" i="27"/>
  <c r="X41" i="27"/>
  <c r="X39" i="27"/>
  <c r="X38" i="27"/>
  <c r="X37" i="27"/>
  <c r="X35" i="27"/>
  <c r="X34" i="27"/>
  <c r="X33" i="27"/>
  <c r="X29" i="27"/>
  <c r="X24" i="27"/>
  <c r="X18" i="27"/>
  <c r="X17" i="27"/>
  <c r="X16" i="27"/>
  <c r="X15" i="27"/>
  <c r="X57" i="26"/>
  <c r="W50" i="26"/>
  <c r="X46" i="26"/>
  <c r="X36" i="26"/>
  <c r="X43" i="26"/>
  <c r="X42" i="26"/>
  <c r="X41" i="26"/>
  <c r="X40" i="26"/>
  <c r="X39" i="26"/>
  <c r="X33" i="26"/>
  <c r="X32" i="26"/>
  <c r="X31" i="26"/>
  <c r="X30" i="26"/>
  <c r="X27" i="26"/>
  <c r="X25" i="26"/>
  <c r="X21" i="26"/>
  <c r="X17" i="26"/>
  <c r="X16" i="26"/>
  <c r="X15" i="26"/>
  <c r="X14" i="26"/>
  <c r="X43" i="5"/>
  <c r="W38" i="5"/>
  <c r="X34" i="5"/>
  <c r="X24" i="5"/>
  <c r="X31" i="5"/>
  <c r="X30" i="5"/>
  <c r="X29" i="5"/>
  <c r="X28" i="5"/>
  <c r="X27" i="5"/>
  <c r="X22" i="5"/>
  <c r="X21" i="5"/>
  <c r="X20" i="5"/>
  <c r="X19" i="5"/>
  <c r="X16" i="5"/>
  <c r="X15" i="5"/>
  <c r="X14" i="5"/>
  <c r="X48" i="4"/>
  <c r="W43" i="4"/>
  <c r="X39" i="4"/>
  <c r="X29" i="4"/>
  <c r="X36" i="4"/>
  <c r="X35" i="4"/>
  <c r="X34" i="4"/>
  <c r="X33" i="4"/>
  <c r="X32" i="4"/>
  <c r="X27" i="4"/>
  <c r="X26" i="4"/>
  <c r="X25" i="4"/>
  <c r="X24" i="4"/>
  <c r="X21" i="4"/>
  <c r="X17" i="4"/>
  <c r="X16" i="4"/>
  <c r="X15" i="4"/>
  <c r="X14" i="4"/>
  <c r="X49" i="29"/>
  <c r="W49" i="29"/>
  <c r="W43" i="29"/>
  <c r="W42" i="29"/>
  <c r="X40" i="29"/>
  <c r="X39" i="29"/>
  <c r="X38" i="29"/>
  <c r="X29" i="29"/>
  <c r="X14" i="29"/>
  <c r="X35" i="29"/>
  <c r="X34" i="29"/>
  <c r="X33" i="29"/>
  <c r="X32" i="29"/>
  <c r="X31" i="29"/>
  <c r="X26" i="29"/>
  <c r="X25" i="29"/>
  <c r="X19" i="29"/>
  <c r="X18" i="29"/>
  <c r="X17" i="29"/>
  <c r="X16" i="29"/>
  <c r="X15" i="29"/>
  <c r="X34" i="28" l="1"/>
  <c r="W35" i="28" s="1"/>
  <c r="X24" i="28"/>
  <c r="X19" i="28"/>
  <c r="W17" i="28"/>
  <c r="W16" i="28"/>
  <c r="W15" i="28"/>
  <c r="W13" i="28"/>
  <c r="W12" i="28"/>
  <c r="X68" i="27"/>
  <c r="W69" i="27" s="1"/>
  <c r="X56" i="27"/>
  <c r="X57" i="27"/>
  <c r="X58" i="27"/>
  <c r="W44" i="27"/>
  <c r="W42" i="27"/>
  <c r="W41" i="27"/>
  <c r="W39" i="27"/>
  <c r="W38" i="27"/>
  <c r="W37" i="27"/>
  <c r="W35" i="27"/>
  <c r="X74" i="27" s="1"/>
  <c r="W32" i="27"/>
  <c r="W31" i="27"/>
  <c r="W29" i="27"/>
  <c r="W27" i="27"/>
  <c r="W26" i="27"/>
  <c r="W24" i="27"/>
  <c r="X72" i="27" s="1"/>
  <c r="W21" i="27"/>
  <c r="W20" i="27"/>
  <c r="W18" i="27"/>
  <c r="W17" i="27"/>
  <c r="W16" i="27"/>
  <c r="X71" i="27" s="1"/>
  <c r="W15" i="27"/>
  <c r="W13" i="27"/>
  <c r="W12" i="27"/>
  <c r="X50" i="26"/>
  <c r="W52" i="26"/>
  <c r="W51" i="26"/>
  <c r="X47" i="26"/>
  <c r="X37" i="26"/>
  <c r="W25" i="26"/>
  <c r="W21" i="26"/>
  <c r="W14" i="26"/>
  <c r="W15" i="26"/>
  <c r="W27" i="26"/>
  <c r="W24" i="26"/>
  <c r="W23" i="26"/>
  <c r="W20" i="26"/>
  <c r="W19" i="26"/>
  <c r="W17" i="26"/>
  <c r="W16" i="26"/>
  <c r="W13" i="26"/>
  <c r="W12" i="26"/>
  <c r="X35" i="5"/>
  <c r="X25" i="5"/>
  <c r="W16" i="5"/>
  <c r="W15" i="5"/>
  <c r="W13" i="5"/>
  <c r="W12" i="5"/>
  <c r="X40" i="4"/>
  <c r="X30" i="4"/>
  <c r="W20" i="4"/>
  <c r="W19" i="4"/>
  <c r="W17" i="4"/>
  <c r="W16" i="4"/>
  <c r="W15" i="4"/>
  <c r="W13" i="4"/>
  <c r="W12" i="4"/>
  <c r="W22" i="29"/>
  <c r="W21" i="29"/>
  <c r="W19" i="29"/>
  <c r="W18" i="29"/>
  <c r="W17" i="29"/>
  <c r="W16" i="29"/>
  <c r="W15" i="29"/>
  <c r="W13" i="29"/>
  <c r="W12" i="29"/>
  <c r="X53" i="27"/>
  <c r="X34" i="26"/>
  <c r="X46" i="27"/>
  <c r="X29" i="26"/>
  <c r="X18" i="5"/>
  <c r="X23" i="4"/>
  <c r="X27" i="29"/>
  <c r="X24" i="29"/>
  <c r="X75" i="28" l="1"/>
  <c r="W75" i="28"/>
  <c r="X74" i="28"/>
  <c r="W74" i="28"/>
  <c r="X73" i="28"/>
  <c r="W73" i="28"/>
  <c r="X72" i="28"/>
  <c r="W72" i="28"/>
  <c r="X70" i="28"/>
  <c r="W70" i="28"/>
  <c r="X69" i="28"/>
  <c r="W69" i="28"/>
  <c r="X68" i="28"/>
  <c r="W68" i="28"/>
  <c r="X66" i="28"/>
  <c r="W66" i="28"/>
  <c r="X65" i="28"/>
  <c r="W65" i="28"/>
  <c r="X63" i="28"/>
  <c r="W63" i="28"/>
  <c r="X62" i="28"/>
  <c r="W62" i="28"/>
  <c r="X61" i="28"/>
  <c r="W61" i="28"/>
  <c r="X60" i="28"/>
  <c r="W60" i="28"/>
  <c r="X59" i="28"/>
  <c r="W59" i="28"/>
  <c r="X58" i="28"/>
  <c r="W58" i="28"/>
  <c r="X57" i="28"/>
  <c r="W57" i="28"/>
  <c r="X56" i="28"/>
  <c r="W56" i="28"/>
  <c r="X52" i="28"/>
  <c r="W52" i="28"/>
  <c r="X51" i="28"/>
  <c r="W51" i="28"/>
  <c r="X49" i="28"/>
  <c r="W49" i="28"/>
  <c r="X48" i="28"/>
  <c r="W48" i="28"/>
  <c r="X45" i="28"/>
  <c r="X44" i="28"/>
  <c r="X111" i="27"/>
  <c r="W111" i="27"/>
  <c r="X110" i="27"/>
  <c r="W110" i="27"/>
  <c r="X109" i="27"/>
  <c r="W109" i="27"/>
  <c r="X108" i="27"/>
  <c r="W108" i="27"/>
  <c r="X106" i="27"/>
  <c r="W106" i="27"/>
  <c r="X105" i="27"/>
  <c r="W105" i="27"/>
  <c r="X104" i="27"/>
  <c r="W104" i="27"/>
  <c r="X102" i="27"/>
  <c r="W102" i="27"/>
  <c r="X101" i="27"/>
  <c r="W101" i="27"/>
  <c r="X99" i="27"/>
  <c r="W99" i="27"/>
  <c r="X98" i="27"/>
  <c r="W98" i="27"/>
  <c r="X97" i="27"/>
  <c r="W97" i="27"/>
  <c r="X96" i="27"/>
  <c r="W96" i="27"/>
  <c r="X95" i="27"/>
  <c r="W95" i="27"/>
  <c r="X94" i="27"/>
  <c r="W94" i="27"/>
  <c r="X93" i="27"/>
  <c r="W93" i="27"/>
  <c r="X92" i="27"/>
  <c r="W92" i="27"/>
  <c r="X88" i="27"/>
  <c r="W88" i="27"/>
  <c r="X87" i="27"/>
  <c r="W87" i="27"/>
  <c r="X85" i="27"/>
  <c r="W85" i="27"/>
  <c r="X81" i="27"/>
  <c r="X80" i="27"/>
  <c r="X89" i="26"/>
  <c r="W89" i="26"/>
  <c r="X88" i="26"/>
  <c r="W88" i="26"/>
  <c r="X87" i="26"/>
  <c r="W87" i="26"/>
  <c r="X86" i="26"/>
  <c r="W86" i="26"/>
  <c r="X84" i="26"/>
  <c r="W84" i="26"/>
  <c r="X83" i="26"/>
  <c r="W83" i="26"/>
  <c r="X82" i="26"/>
  <c r="W82" i="26"/>
  <c r="X80" i="26"/>
  <c r="W80" i="26"/>
  <c r="X79" i="26"/>
  <c r="W79" i="26"/>
  <c r="X77" i="26"/>
  <c r="W77" i="26"/>
  <c r="X76" i="26"/>
  <c r="W76" i="26"/>
  <c r="X75" i="26"/>
  <c r="W75" i="26"/>
  <c r="X74" i="26"/>
  <c r="W74" i="26"/>
  <c r="X73" i="26"/>
  <c r="W73" i="26"/>
  <c r="X72" i="26"/>
  <c r="W72" i="26"/>
  <c r="X71" i="26"/>
  <c r="W71" i="26"/>
  <c r="X70" i="26"/>
  <c r="W70" i="26"/>
  <c r="X67" i="26"/>
  <c r="W67" i="26"/>
  <c r="X66" i="26"/>
  <c r="W66" i="26"/>
  <c r="X65" i="26"/>
  <c r="W65" i="26"/>
  <c r="X63" i="26"/>
  <c r="W63" i="26"/>
  <c r="X62" i="26"/>
  <c r="W62" i="26"/>
  <c r="X59" i="26"/>
  <c r="X58" i="26"/>
  <c r="X75" i="5"/>
  <c r="W75" i="5"/>
  <c r="X74" i="5"/>
  <c r="W74" i="5"/>
  <c r="X73" i="5"/>
  <c r="W73" i="5"/>
  <c r="X72" i="5"/>
  <c r="W72" i="5"/>
  <c r="X70" i="5"/>
  <c r="W70" i="5"/>
  <c r="X69" i="5"/>
  <c r="W69" i="5"/>
  <c r="X68" i="5"/>
  <c r="W68" i="5"/>
  <c r="X66" i="5"/>
  <c r="W66" i="5"/>
  <c r="X65" i="5"/>
  <c r="W65" i="5"/>
  <c r="X63" i="5"/>
  <c r="W63" i="5"/>
  <c r="X62" i="5"/>
  <c r="W62" i="5"/>
  <c r="X61" i="5"/>
  <c r="W61" i="5"/>
  <c r="X60" i="5"/>
  <c r="W60" i="5"/>
  <c r="X59" i="5"/>
  <c r="W59" i="5"/>
  <c r="X58" i="5"/>
  <c r="W58" i="5"/>
  <c r="X57" i="5"/>
  <c r="W57" i="5"/>
  <c r="X56" i="5"/>
  <c r="W56" i="5"/>
  <c r="X52" i="5"/>
  <c r="W52" i="5"/>
  <c r="X51" i="5"/>
  <c r="W51" i="5"/>
  <c r="X49" i="5"/>
  <c r="W49" i="5"/>
  <c r="X48" i="5"/>
  <c r="W48" i="5"/>
  <c r="X45" i="5"/>
  <c r="X44" i="5"/>
  <c r="X80" i="4"/>
  <c r="W80" i="4"/>
  <c r="X79" i="4"/>
  <c r="W79" i="4"/>
  <c r="X78" i="4"/>
  <c r="W78" i="4"/>
  <c r="X77" i="4"/>
  <c r="W77" i="4"/>
  <c r="X75" i="4"/>
  <c r="W75" i="4"/>
  <c r="X74" i="4"/>
  <c r="W74" i="4"/>
  <c r="X73" i="4"/>
  <c r="W73" i="4"/>
  <c r="X71" i="4"/>
  <c r="W71" i="4"/>
  <c r="X70" i="4"/>
  <c r="W70" i="4"/>
  <c r="X68" i="4"/>
  <c r="W68" i="4"/>
  <c r="X67" i="4"/>
  <c r="W67" i="4"/>
  <c r="X66" i="4"/>
  <c r="W66" i="4"/>
  <c r="X65" i="4"/>
  <c r="W65" i="4"/>
  <c r="X64" i="4"/>
  <c r="W64" i="4"/>
  <c r="X63" i="4"/>
  <c r="W63" i="4"/>
  <c r="X62" i="4"/>
  <c r="W62" i="4"/>
  <c r="X61" i="4"/>
  <c r="W61" i="4"/>
  <c r="X57" i="4"/>
  <c r="W57" i="4"/>
  <c r="X56" i="4"/>
  <c r="W56" i="4"/>
  <c r="X54" i="4"/>
  <c r="W54" i="4"/>
  <c r="X53" i="4"/>
  <c r="W53" i="4"/>
  <c r="X50" i="4"/>
  <c r="X49" i="4"/>
  <c r="X76" i="29" l="1"/>
  <c r="W76" i="29"/>
  <c r="X75" i="29"/>
  <c r="W75" i="29"/>
  <c r="X74" i="29"/>
  <c r="W74" i="29"/>
  <c r="X73" i="29"/>
  <c r="W73" i="29"/>
  <c r="X71" i="29"/>
  <c r="W71" i="29"/>
  <c r="X70" i="29"/>
  <c r="W70" i="29"/>
  <c r="X69" i="29"/>
  <c r="W69" i="29"/>
  <c r="X67" i="29"/>
  <c r="W67" i="29"/>
  <c r="X66" i="29"/>
  <c r="W66" i="29"/>
  <c r="X64" i="29"/>
  <c r="W64" i="29"/>
  <c r="X63" i="29"/>
  <c r="W63" i="29"/>
  <c r="X62" i="29"/>
  <c r="W62" i="29"/>
  <c r="X61" i="29"/>
  <c r="W61" i="29"/>
  <c r="X60" i="29"/>
  <c r="W60" i="29"/>
  <c r="X59" i="29"/>
  <c r="W59" i="29"/>
  <c r="X58" i="29"/>
  <c r="W58" i="29"/>
  <c r="X57" i="29"/>
  <c r="W57" i="29"/>
  <c r="X53" i="29"/>
  <c r="W53" i="29"/>
  <c r="X52" i="29"/>
  <c r="W52" i="29"/>
  <c r="X50" i="29"/>
  <c r="W50" i="29"/>
  <c r="T28" i="27" l="1"/>
  <c r="T71" i="25"/>
  <c r="T70" i="25"/>
  <c r="T69" i="25"/>
  <c r="T68" i="25"/>
  <c r="T66" i="25"/>
  <c r="T65" i="25"/>
  <c r="T64" i="25"/>
  <c r="T62" i="25"/>
  <c r="T61" i="25"/>
  <c r="T59" i="25"/>
  <c r="T58" i="25"/>
  <c r="T57" i="25"/>
  <c r="T56" i="25"/>
  <c r="T55" i="25"/>
  <c r="T54" i="25"/>
  <c r="T53" i="25"/>
  <c r="T52" i="25"/>
  <c r="U48" i="25"/>
  <c r="T48" i="25"/>
  <c r="U47" i="25"/>
  <c r="T47" i="25"/>
  <c r="U46" i="25"/>
  <c r="T46" i="25"/>
  <c r="U45" i="25"/>
  <c r="T45" i="25"/>
  <c r="U44" i="25"/>
  <c r="T44" i="25"/>
  <c r="U41" i="25"/>
  <c r="U40" i="25"/>
  <c r="U39" i="25"/>
  <c r="T19" i="25"/>
  <c r="T18" i="25"/>
  <c r="T17" i="25"/>
  <c r="U34" i="25" s="1"/>
  <c r="T16" i="25"/>
  <c r="U33" i="25" s="1"/>
  <c r="T15" i="25"/>
  <c r="T14" i="25"/>
  <c r="T13" i="25"/>
  <c r="T12" i="25"/>
  <c r="U53" i="28"/>
  <c r="U75" i="28" s="1"/>
  <c r="T53" i="28"/>
  <c r="U37" i="28"/>
  <c r="T35" i="28"/>
  <c r="U30" i="28"/>
  <c r="U14" i="28"/>
  <c r="U89" i="27"/>
  <c r="U110" i="27" s="1"/>
  <c r="T89" i="27"/>
  <c r="U73" i="27"/>
  <c r="U72" i="27"/>
  <c r="U71" i="27"/>
  <c r="T69" i="27"/>
  <c r="U64" i="27"/>
  <c r="U33" i="27"/>
  <c r="T33" i="27"/>
  <c r="U28" i="27"/>
  <c r="U22" i="27"/>
  <c r="T22" i="27"/>
  <c r="U14" i="27"/>
  <c r="T14" i="27"/>
  <c r="U89" i="26"/>
  <c r="U84" i="26"/>
  <c r="U79" i="26"/>
  <c r="U74" i="26"/>
  <c r="U70" i="26"/>
  <c r="U67" i="26"/>
  <c r="U88" i="26" s="1"/>
  <c r="T67" i="26"/>
  <c r="U52" i="26"/>
  <c r="U51" i="26"/>
  <c r="U50" i="26"/>
  <c r="T48" i="26"/>
  <c r="W48" i="26" s="1"/>
  <c r="U43" i="26"/>
  <c r="U25" i="26"/>
  <c r="U21" i="26"/>
  <c r="U14" i="26"/>
  <c r="U75" i="5"/>
  <c r="U70" i="5"/>
  <c r="U65" i="5"/>
  <c r="U60" i="5"/>
  <c r="U56" i="5"/>
  <c r="U53" i="5"/>
  <c r="U74" i="5" s="1"/>
  <c r="T53" i="5"/>
  <c r="U38" i="5"/>
  <c r="T36" i="5"/>
  <c r="U31" i="5"/>
  <c r="U14" i="5"/>
  <c r="T14" i="5"/>
  <c r="U58" i="4"/>
  <c r="U79" i="4" s="1"/>
  <c r="T58" i="4"/>
  <c r="U43" i="4"/>
  <c r="T41" i="4"/>
  <c r="U36" i="4"/>
  <c r="U21" i="4"/>
  <c r="T21" i="4"/>
  <c r="U14" i="4"/>
  <c r="T14" i="4"/>
  <c r="U54" i="29"/>
  <c r="U76" i="29" s="1"/>
  <c r="T54" i="29"/>
  <c r="U43" i="29"/>
  <c r="U42" i="29"/>
  <c r="U40" i="29"/>
  <c r="U35" i="29"/>
  <c r="T14" i="29"/>
  <c r="T49" i="25" l="1"/>
  <c r="U49" i="25"/>
  <c r="U94" i="27"/>
  <c r="U98" i="27"/>
  <c r="U104" i="27"/>
  <c r="U109" i="27"/>
  <c r="U92" i="27"/>
  <c r="U96" i="27"/>
  <c r="U101" i="27"/>
  <c r="U106" i="27"/>
  <c r="U111" i="27"/>
  <c r="U72" i="26"/>
  <c r="U76" i="26"/>
  <c r="U82" i="26"/>
  <c r="U87" i="26"/>
  <c r="U58" i="5"/>
  <c r="U62" i="5"/>
  <c r="U68" i="5"/>
  <c r="U73" i="5"/>
  <c r="U63" i="4"/>
  <c r="U67" i="4"/>
  <c r="U73" i="4"/>
  <c r="U78" i="4"/>
  <c r="U61" i="4"/>
  <c r="U65" i="4"/>
  <c r="U70" i="4"/>
  <c r="U75" i="4"/>
  <c r="U80" i="4"/>
  <c r="T11" i="25"/>
  <c r="U57" i="28"/>
  <c r="U59" i="28"/>
  <c r="U61" i="28"/>
  <c r="U63" i="28"/>
  <c r="U66" i="28"/>
  <c r="U69" i="28"/>
  <c r="U72" i="28"/>
  <c r="U74" i="28"/>
  <c r="U56" i="28"/>
  <c r="U58" i="28"/>
  <c r="U60" i="28"/>
  <c r="U62" i="28"/>
  <c r="U65" i="28"/>
  <c r="U68" i="28"/>
  <c r="U70" i="28"/>
  <c r="U73" i="28"/>
  <c r="U93" i="27"/>
  <c r="U95" i="27"/>
  <c r="U97" i="27"/>
  <c r="U99" i="27"/>
  <c r="U102" i="27"/>
  <c r="U105" i="27"/>
  <c r="U108" i="27"/>
  <c r="U71" i="26"/>
  <c r="U73" i="26"/>
  <c r="U75" i="26"/>
  <c r="U77" i="26"/>
  <c r="U80" i="26"/>
  <c r="U83" i="26"/>
  <c r="U86" i="26"/>
  <c r="U57" i="5"/>
  <c r="U59" i="5"/>
  <c r="U61" i="5"/>
  <c r="U63" i="5"/>
  <c r="U66" i="5"/>
  <c r="U69" i="5"/>
  <c r="U72" i="5"/>
  <c r="U62" i="4"/>
  <c r="U64" i="4"/>
  <c r="U66" i="4"/>
  <c r="U68" i="4"/>
  <c r="U71" i="4"/>
  <c r="U74" i="4"/>
  <c r="U77" i="4"/>
  <c r="U58" i="29"/>
  <c r="U60" i="29"/>
  <c r="U62" i="29"/>
  <c r="U64" i="29"/>
  <c r="U67" i="29"/>
  <c r="U70" i="29"/>
  <c r="U73" i="29"/>
  <c r="U75" i="29"/>
  <c r="U57" i="29"/>
  <c r="U59" i="29"/>
  <c r="U61" i="29"/>
  <c r="U63" i="29"/>
  <c r="U66" i="29"/>
  <c r="U69" i="29"/>
  <c r="U71" i="29"/>
  <c r="U74" i="29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D18" i="25"/>
  <c r="D13" i="25"/>
  <c r="D12" i="25"/>
  <c r="D11" i="25" l="1"/>
  <c r="F11" i="25"/>
  <c r="H11" i="25"/>
  <c r="J11" i="25"/>
  <c r="L11" i="25"/>
  <c r="N11" i="25"/>
  <c r="P11" i="25"/>
  <c r="R71" i="25" l="1"/>
  <c r="R70" i="25"/>
  <c r="R69" i="25"/>
  <c r="R68" i="25"/>
  <c r="R66" i="25"/>
  <c r="R65" i="25"/>
  <c r="R64" i="25"/>
  <c r="R62" i="25"/>
  <c r="R61" i="25"/>
  <c r="R59" i="25"/>
  <c r="R58" i="25"/>
  <c r="R57" i="25"/>
  <c r="R56" i="25"/>
  <c r="R55" i="25"/>
  <c r="R54" i="25"/>
  <c r="R53" i="25"/>
  <c r="R52" i="25"/>
  <c r="P71" i="25"/>
  <c r="P70" i="25"/>
  <c r="P69" i="25"/>
  <c r="P68" i="25"/>
  <c r="P66" i="25"/>
  <c r="P65" i="25"/>
  <c r="P64" i="25"/>
  <c r="P62" i="25"/>
  <c r="P61" i="25"/>
  <c r="P59" i="25"/>
  <c r="P58" i="25"/>
  <c r="P57" i="25"/>
  <c r="P56" i="25"/>
  <c r="P55" i="25"/>
  <c r="P54" i="25"/>
  <c r="P53" i="25"/>
  <c r="P52" i="25"/>
  <c r="N71" i="25"/>
  <c r="N70" i="25"/>
  <c r="N69" i="25"/>
  <c r="N68" i="25"/>
  <c r="N66" i="25"/>
  <c r="N65" i="25"/>
  <c r="N64" i="25"/>
  <c r="N62" i="25"/>
  <c r="N61" i="25"/>
  <c r="N59" i="25"/>
  <c r="N58" i="25"/>
  <c r="N57" i="25"/>
  <c r="N56" i="25"/>
  <c r="N55" i="25"/>
  <c r="N54" i="25"/>
  <c r="N53" i="25"/>
  <c r="N52" i="25"/>
  <c r="L71" i="25"/>
  <c r="L70" i="25"/>
  <c r="L69" i="25"/>
  <c r="L68" i="25"/>
  <c r="L66" i="25"/>
  <c r="L65" i="25"/>
  <c r="L64" i="25"/>
  <c r="L62" i="25"/>
  <c r="L61" i="25"/>
  <c r="L59" i="25"/>
  <c r="L58" i="25"/>
  <c r="L57" i="25"/>
  <c r="L56" i="25"/>
  <c r="L55" i="25"/>
  <c r="L54" i="25"/>
  <c r="L53" i="25"/>
  <c r="L52" i="25"/>
  <c r="J71" i="25"/>
  <c r="J70" i="25"/>
  <c r="J69" i="25"/>
  <c r="J68" i="25"/>
  <c r="J66" i="25"/>
  <c r="J65" i="25"/>
  <c r="J64" i="25"/>
  <c r="J62" i="25"/>
  <c r="J61" i="25"/>
  <c r="J59" i="25"/>
  <c r="J58" i="25"/>
  <c r="J57" i="25"/>
  <c r="J56" i="25"/>
  <c r="J55" i="25"/>
  <c r="J54" i="25"/>
  <c r="J53" i="25"/>
  <c r="J52" i="25"/>
  <c r="H71" i="25"/>
  <c r="H70" i="25"/>
  <c r="H69" i="25"/>
  <c r="H68" i="25"/>
  <c r="H66" i="25"/>
  <c r="H65" i="25"/>
  <c r="H64" i="25"/>
  <c r="H62" i="25"/>
  <c r="H61" i="25"/>
  <c r="H59" i="25"/>
  <c r="H58" i="25"/>
  <c r="H57" i="25"/>
  <c r="H56" i="25"/>
  <c r="H55" i="25"/>
  <c r="H54" i="25"/>
  <c r="H53" i="25"/>
  <c r="H52" i="25"/>
  <c r="F71" i="25"/>
  <c r="F70" i="25"/>
  <c r="F69" i="25"/>
  <c r="F68" i="25"/>
  <c r="F66" i="25"/>
  <c r="F65" i="25"/>
  <c r="F64" i="25"/>
  <c r="F62" i="25"/>
  <c r="F61" i="25"/>
  <c r="F59" i="25"/>
  <c r="F58" i="25"/>
  <c r="F57" i="25"/>
  <c r="F56" i="25"/>
  <c r="F55" i="25"/>
  <c r="F54" i="25"/>
  <c r="F53" i="25"/>
  <c r="F52" i="25"/>
  <c r="D53" i="25"/>
  <c r="D54" i="25"/>
  <c r="D55" i="25"/>
  <c r="D56" i="25"/>
  <c r="D57" i="25"/>
  <c r="D58" i="25"/>
  <c r="D59" i="25"/>
  <c r="D61" i="25"/>
  <c r="D62" i="25"/>
  <c r="D64" i="25"/>
  <c r="D65" i="25"/>
  <c r="D66" i="25"/>
  <c r="D68" i="25"/>
  <c r="D69" i="25"/>
  <c r="D70" i="25"/>
  <c r="D71" i="25"/>
  <c r="D52" i="25"/>
  <c r="E44" i="25"/>
  <c r="G44" i="25"/>
  <c r="I44" i="25"/>
  <c r="J44" i="25"/>
  <c r="K44" i="25"/>
  <c r="L44" i="25"/>
  <c r="M44" i="25"/>
  <c r="N44" i="25"/>
  <c r="O44" i="25"/>
  <c r="P44" i="25"/>
  <c r="Q44" i="25"/>
  <c r="R44" i="25"/>
  <c r="S44" i="25"/>
  <c r="E45" i="25"/>
  <c r="G45" i="25"/>
  <c r="I45" i="25"/>
  <c r="J45" i="25"/>
  <c r="K45" i="25"/>
  <c r="L45" i="25"/>
  <c r="M45" i="25"/>
  <c r="N45" i="25"/>
  <c r="O45" i="25"/>
  <c r="P45" i="25"/>
  <c r="Q45" i="25"/>
  <c r="R45" i="25"/>
  <c r="S45" i="25"/>
  <c r="E46" i="25"/>
  <c r="G46" i="25"/>
  <c r="I46" i="25"/>
  <c r="J46" i="25"/>
  <c r="K46" i="25"/>
  <c r="L46" i="25"/>
  <c r="M46" i="25"/>
  <c r="N46" i="25"/>
  <c r="O46" i="25"/>
  <c r="P46" i="25"/>
  <c r="Q46" i="25"/>
  <c r="R46" i="25"/>
  <c r="S46" i="25"/>
  <c r="E47" i="25"/>
  <c r="G47" i="25"/>
  <c r="I47" i="25"/>
  <c r="J47" i="25"/>
  <c r="K47" i="25"/>
  <c r="L47" i="25"/>
  <c r="M47" i="25"/>
  <c r="N47" i="25"/>
  <c r="O47" i="25"/>
  <c r="P47" i="25"/>
  <c r="Q47" i="25"/>
  <c r="R47" i="25"/>
  <c r="S47" i="25"/>
  <c r="E48" i="25"/>
  <c r="G48" i="25"/>
  <c r="I48" i="25"/>
  <c r="J48" i="25"/>
  <c r="K48" i="25"/>
  <c r="L48" i="25"/>
  <c r="M48" i="25"/>
  <c r="N48" i="25"/>
  <c r="O48" i="25"/>
  <c r="P48" i="25"/>
  <c r="Q48" i="25"/>
  <c r="R48" i="25"/>
  <c r="S48" i="25"/>
  <c r="G39" i="25"/>
  <c r="I39" i="25"/>
  <c r="K39" i="25"/>
  <c r="M39" i="25"/>
  <c r="O39" i="25"/>
  <c r="Q39" i="25"/>
  <c r="S39" i="25"/>
  <c r="G40" i="25"/>
  <c r="I40" i="25"/>
  <c r="K40" i="25"/>
  <c r="M40" i="25"/>
  <c r="O40" i="25"/>
  <c r="Q40" i="25"/>
  <c r="S40" i="25"/>
  <c r="G41" i="25"/>
  <c r="I41" i="25"/>
  <c r="K41" i="25"/>
  <c r="M41" i="25"/>
  <c r="O41" i="25"/>
  <c r="Q41" i="25"/>
  <c r="S41" i="25"/>
  <c r="E40" i="25"/>
  <c r="E41" i="25"/>
  <c r="E39" i="25"/>
  <c r="G26" i="25"/>
  <c r="I26" i="25"/>
  <c r="K26" i="25"/>
  <c r="M26" i="25"/>
  <c r="O26" i="25"/>
  <c r="Q26" i="25"/>
  <c r="S26" i="25"/>
  <c r="G27" i="25"/>
  <c r="I27" i="25"/>
  <c r="K27" i="25"/>
  <c r="M27" i="25"/>
  <c r="O27" i="25"/>
  <c r="Q27" i="25"/>
  <c r="S27" i="25"/>
  <c r="G28" i="25"/>
  <c r="I28" i="25"/>
  <c r="K28" i="25"/>
  <c r="M28" i="25"/>
  <c r="O28" i="25"/>
  <c r="Q28" i="25"/>
  <c r="S28" i="25"/>
  <c r="G29" i="25"/>
  <c r="I29" i="25"/>
  <c r="J29" i="25"/>
  <c r="K29" i="25"/>
  <c r="M29" i="25"/>
  <c r="O29" i="25"/>
  <c r="Q29" i="25"/>
  <c r="S29" i="25"/>
  <c r="E27" i="25"/>
  <c r="E28" i="25"/>
  <c r="E29" i="25"/>
  <c r="E26" i="25"/>
  <c r="E11" i="25"/>
  <c r="G11" i="25"/>
  <c r="I11" i="25"/>
  <c r="K11" i="25"/>
  <c r="M11" i="25"/>
  <c r="O11" i="25"/>
  <c r="Q11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D19" i="25"/>
  <c r="D17" i="25"/>
  <c r="D16" i="25"/>
  <c r="D15" i="25"/>
  <c r="D14" i="25"/>
  <c r="S49" i="25" l="1"/>
  <c r="R49" i="25"/>
  <c r="Q49" i="25"/>
  <c r="Q71" i="25" s="1"/>
  <c r="P49" i="25"/>
  <c r="O49" i="25"/>
  <c r="O71" i="25" s="1"/>
  <c r="N49" i="25"/>
  <c r="M49" i="25"/>
  <c r="M71" i="25" s="1"/>
  <c r="L49" i="25"/>
  <c r="K49" i="25"/>
  <c r="K71" i="25" s="1"/>
  <c r="J49" i="25"/>
  <c r="I49" i="25"/>
  <c r="I71" i="25" s="1"/>
  <c r="G49" i="25"/>
  <c r="G71" i="25" s="1"/>
  <c r="E49" i="25"/>
  <c r="E71" i="25" s="1"/>
  <c r="S34" i="25"/>
  <c r="Q34" i="25"/>
  <c r="O34" i="25"/>
  <c r="M34" i="25"/>
  <c r="K34" i="25"/>
  <c r="I34" i="25"/>
  <c r="S33" i="25"/>
  <c r="Q33" i="25"/>
  <c r="O33" i="25"/>
  <c r="M33" i="25"/>
  <c r="K33" i="25"/>
  <c r="I33" i="25"/>
  <c r="S30" i="25"/>
  <c r="Q30" i="25"/>
  <c r="O30" i="25"/>
  <c r="M30" i="25"/>
  <c r="K30" i="25"/>
  <c r="I30" i="25"/>
  <c r="G30" i="25"/>
  <c r="E30" i="25"/>
  <c r="S71" i="25" l="1"/>
  <c r="U54" i="25"/>
  <c r="U71" i="25"/>
  <c r="U62" i="25"/>
  <c r="U56" i="25"/>
  <c r="U55" i="25"/>
  <c r="U68" i="25"/>
  <c r="U57" i="25"/>
  <c r="U69" i="25"/>
  <c r="U52" i="25"/>
  <c r="U61" i="25"/>
  <c r="U65" i="25"/>
  <c r="U64" i="25"/>
  <c r="U66" i="25"/>
  <c r="U58" i="25"/>
  <c r="U59" i="25"/>
  <c r="U70" i="25"/>
  <c r="U53" i="25"/>
  <c r="E53" i="25"/>
  <c r="E56" i="25"/>
  <c r="E54" i="25"/>
  <c r="E62" i="25"/>
  <c r="E57" i="25"/>
  <c r="E64" i="25"/>
  <c r="E66" i="25"/>
  <c r="E68" i="25"/>
  <c r="E55" i="25"/>
  <c r="E65" i="25"/>
  <c r="E58" i="25"/>
  <c r="E69" i="25"/>
  <c r="E59" i="25"/>
  <c r="E70" i="25"/>
  <c r="E52" i="25"/>
  <c r="E61" i="25"/>
  <c r="M52" i="25"/>
  <c r="M53" i="25"/>
  <c r="M54" i="25"/>
  <c r="M55" i="25"/>
  <c r="M56" i="25"/>
  <c r="M57" i="25"/>
  <c r="M58" i="25"/>
  <c r="M59" i="25"/>
  <c r="M61" i="25"/>
  <c r="M62" i="25"/>
  <c r="M64" i="25"/>
  <c r="M65" i="25"/>
  <c r="M66" i="25"/>
  <c r="M68" i="25"/>
  <c r="M69" i="25"/>
  <c r="M70" i="25"/>
  <c r="I52" i="25"/>
  <c r="Q52" i="25"/>
  <c r="I53" i="25"/>
  <c r="Q53" i="25"/>
  <c r="I54" i="25"/>
  <c r="Q54" i="25"/>
  <c r="I55" i="25"/>
  <c r="Q55" i="25"/>
  <c r="I56" i="25"/>
  <c r="Q56" i="25"/>
  <c r="I57" i="25"/>
  <c r="Q57" i="25"/>
  <c r="I58" i="25"/>
  <c r="Q58" i="25"/>
  <c r="I59" i="25"/>
  <c r="Q59" i="25"/>
  <c r="I61" i="25"/>
  <c r="Q61" i="25"/>
  <c r="I62" i="25"/>
  <c r="Q62" i="25"/>
  <c r="I64" i="25"/>
  <c r="Q64" i="25"/>
  <c r="I65" i="25"/>
  <c r="Q65" i="25"/>
  <c r="I66" i="25"/>
  <c r="Q66" i="25"/>
  <c r="I68" i="25"/>
  <c r="Q68" i="25"/>
  <c r="I69" i="25"/>
  <c r="Q69" i="25"/>
  <c r="I70" i="25"/>
  <c r="Q70" i="25"/>
  <c r="G52" i="25"/>
  <c r="K52" i="25"/>
  <c r="O52" i="25"/>
  <c r="S52" i="25"/>
  <c r="G53" i="25"/>
  <c r="K53" i="25"/>
  <c r="O53" i="25"/>
  <c r="S53" i="25"/>
  <c r="G54" i="25"/>
  <c r="K54" i="25"/>
  <c r="O54" i="25"/>
  <c r="S54" i="25"/>
  <c r="G55" i="25"/>
  <c r="K55" i="25"/>
  <c r="O55" i="25"/>
  <c r="S55" i="25"/>
  <c r="G56" i="25"/>
  <c r="K56" i="25"/>
  <c r="O56" i="25"/>
  <c r="S56" i="25"/>
  <c r="G57" i="25"/>
  <c r="K57" i="25"/>
  <c r="O57" i="25"/>
  <c r="S57" i="25"/>
  <c r="G58" i="25"/>
  <c r="K58" i="25"/>
  <c r="O58" i="25"/>
  <c r="S58" i="25"/>
  <c r="G59" i="25"/>
  <c r="K59" i="25"/>
  <c r="O59" i="25"/>
  <c r="S59" i="25"/>
  <c r="G61" i="25"/>
  <c r="K61" i="25"/>
  <c r="O61" i="25"/>
  <c r="S61" i="25"/>
  <c r="G62" i="25"/>
  <c r="K62" i="25"/>
  <c r="O62" i="25"/>
  <c r="S62" i="25"/>
  <c r="G64" i="25"/>
  <c r="K64" i="25"/>
  <c r="O64" i="25"/>
  <c r="S64" i="25"/>
  <c r="G65" i="25"/>
  <c r="K65" i="25"/>
  <c r="O65" i="25"/>
  <c r="S65" i="25"/>
  <c r="G66" i="25"/>
  <c r="K66" i="25"/>
  <c r="O66" i="25"/>
  <c r="S66" i="25"/>
  <c r="G68" i="25"/>
  <c r="K68" i="25"/>
  <c r="O68" i="25"/>
  <c r="S68" i="25"/>
  <c r="G69" i="25"/>
  <c r="K69" i="25"/>
  <c r="O69" i="25"/>
  <c r="S69" i="25"/>
  <c r="G70" i="25"/>
  <c r="K70" i="25"/>
  <c r="O70" i="25"/>
  <c r="S70" i="25"/>
  <c r="S52" i="26"/>
  <c r="Q52" i="26"/>
  <c r="O52" i="26"/>
  <c r="M52" i="26"/>
  <c r="K52" i="26"/>
  <c r="I52" i="26"/>
  <c r="P25" i="26"/>
  <c r="N25" i="26"/>
  <c r="L25" i="26"/>
  <c r="J25" i="26"/>
  <c r="H25" i="26"/>
  <c r="F25" i="26"/>
  <c r="D25" i="26"/>
  <c r="B25" i="26"/>
  <c r="R24" i="26"/>
  <c r="R25" i="26" s="1"/>
  <c r="X52" i="26" l="1"/>
  <c r="Q37" i="28"/>
  <c r="O37" i="28"/>
  <c r="Q72" i="27"/>
  <c r="Q71" i="27"/>
  <c r="O72" i="27"/>
  <c r="O71" i="27"/>
  <c r="M71" i="27"/>
  <c r="S51" i="26"/>
  <c r="Q50" i="26"/>
  <c r="O50" i="26"/>
  <c r="S43" i="29"/>
  <c r="Q43" i="29"/>
  <c r="O43" i="29"/>
  <c r="J58" i="4" l="1"/>
  <c r="J89" i="27" l="1"/>
  <c r="J67" i="26"/>
  <c r="J53" i="5"/>
  <c r="J54" i="29"/>
  <c r="P58" i="4" l="1"/>
  <c r="J53" i="28"/>
  <c r="R53" i="28"/>
  <c r="W53" i="28" s="1"/>
  <c r="P53" i="28"/>
  <c r="N53" i="28"/>
  <c r="L53" i="28"/>
  <c r="R89" i="27"/>
  <c r="W89" i="27" s="1"/>
  <c r="P89" i="27"/>
  <c r="N89" i="27"/>
  <c r="L89" i="27"/>
  <c r="R67" i="26"/>
  <c r="P67" i="26"/>
  <c r="N67" i="26"/>
  <c r="L67" i="26"/>
  <c r="R53" i="5"/>
  <c r="W53" i="5" s="1"/>
  <c r="P53" i="5"/>
  <c r="N53" i="5"/>
  <c r="L53" i="5"/>
  <c r="R58" i="4"/>
  <c r="W58" i="4" s="1"/>
  <c r="N58" i="4"/>
  <c r="L58" i="4"/>
  <c r="R54" i="29"/>
  <c r="W54" i="29" s="1"/>
  <c r="P54" i="29"/>
  <c r="N54" i="29"/>
  <c r="L54" i="29"/>
  <c r="S73" i="27" l="1"/>
  <c r="S72" i="27"/>
  <c r="S71" i="27"/>
  <c r="S38" i="5"/>
  <c r="Q38" i="5"/>
  <c r="O38" i="5"/>
  <c r="M38" i="5"/>
  <c r="K38" i="5"/>
  <c r="I38" i="5"/>
  <c r="I43" i="4"/>
  <c r="J57" i="29" l="1"/>
  <c r="S81" i="27" l="1"/>
  <c r="S59" i="26"/>
  <c r="E45" i="28" l="1"/>
  <c r="E59" i="26" l="1"/>
  <c r="K81" i="27" l="1"/>
  <c r="E81" i="27"/>
  <c r="K71" i="27" l="1"/>
  <c r="I71" i="27"/>
  <c r="S43" i="4"/>
  <c r="Q43" i="4"/>
  <c r="O43" i="4"/>
  <c r="M43" i="4"/>
  <c r="K43" i="4"/>
  <c r="R13" i="27" l="1"/>
  <c r="R12" i="27"/>
  <c r="R27" i="27" l="1"/>
  <c r="R12" i="28" l="1"/>
  <c r="R13" i="28"/>
  <c r="R21" i="27"/>
  <c r="R20" i="27"/>
  <c r="R14" i="27"/>
  <c r="W14" i="27" s="1"/>
  <c r="R20" i="26"/>
  <c r="R19" i="26"/>
  <c r="R13" i="26"/>
  <c r="R12" i="26"/>
  <c r="R13" i="5"/>
  <c r="R12" i="5"/>
  <c r="R13" i="4" l="1"/>
  <c r="R13" i="29"/>
  <c r="R12" i="29"/>
  <c r="R14" i="29" l="1"/>
  <c r="W14" i="29" s="1"/>
  <c r="D15" i="26"/>
  <c r="C15" i="26"/>
  <c r="X42" i="29" l="1"/>
  <c r="M43" i="29"/>
  <c r="K43" i="29"/>
  <c r="I43" i="29"/>
  <c r="S42" i="29"/>
  <c r="Q42" i="29"/>
  <c r="O42" i="29"/>
  <c r="M42" i="29"/>
  <c r="K42" i="29"/>
  <c r="I42" i="29"/>
  <c r="F14" i="29"/>
  <c r="P14" i="29"/>
  <c r="N14" i="29"/>
  <c r="L14" i="29"/>
  <c r="J14" i="29"/>
  <c r="H14" i="29"/>
  <c r="D14" i="29"/>
  <c r="B14" i="29"/>
  <c r="N15" i="28"/>
  <c r="X43" i="29" l="1"/>
  <c r="J76" i="29" l="1"/>
  <c r="E76" i="29"/>
  <c r="J75" i="29"/>
  <c r="E75" i="29"/>
  <c r="J74" i="29"/>
  <c r="E74" i="29"/>
  <c r="J73" i="29"/>
  <c r="E73" i="29"/>
  <c r="J71" i="29"/>
  <c r="E71" i="29"/>
  <c r="J70" i="29"/>
  <c r="E70" i="29"/>
  <c r="J69" i="29"/>
  <c r="E69" i="29"/>
  <c r="J67" i="29"/>
  <c r="E67" i="29"/>
  <c r="J66" i="29"/>
  <c r="E66" i="29"/>
  <c r="J64" i="29"/>
  <c r="E64" i="29"/>
  <c r="J63" i="29"/>
  <c r="J62" i="29"/>
  <c r="E62" i="29"/>
  <c r="J61" i="29"/>
  <c r="E61" i="29"/>
  <c r="J60" i="29"/>
  <c r="E60" i="29"/>
  <c r="J59" i="29"/>
  <c r="E59" i="29"/>
  <c r="J58" i="29"/>
  <c r="E58" i="29"/>
  <c r="E57" i="29"/>
  <c r="S54" i="29"/>
  <c r="X54" i="29" s="1"/>
  <c r="Q54" i="29"/>
  <c r="Q64" i="29" s="1"/>
  <c r="O54" i="29"/>
  <c r="M54" i="29"/>
  <c r="K54" i="29"/>
  <c r="K57" i="29" s="1"/>
  <c r="I54" i="29"/>
  <c r="G54" i="29"/>
  <c r="G76" i="29" s="1"/>
  <c r="E54" i="29"/>
  <c r="C54" i="29"/>
  <c r="C58" i="29" s="1"/>
  <c r="S40" i="29"/>
  <c r="Q40" i="29"/>
  <c r="O40" i="29"/>
  <c r="M40" i="29"/>
  <c r="K40" i="29"/>
  <c r="I40" i="29"/>
  <c r="G40" i="29"/>
  <c r="E40" i="29"/>
  <c r="C40" i="29"/>
  <c r="S35" i="29"/>
  <c r="Q35" i="29"/>
  <c r="O35" i="29"/>
  <c r="M35" i="29"/>
  <c r="K35" i="29"/>
  <c r="I35" i="29"/>
  <c r="G35" i="29"/>
  <c r="E35" i="29"/>
  <c r="C32" i="29"/>
  <c r="C35" i="29" s="1"/>
  <c r="N21" i="29"/>
  <c r="F21" i="29"/>
  <c r="D21" i="29"/>
  <c r="O57" i="29" l="1"/>
  <c r="I76" i="29"/>
  <c r="I57" i="29"/>
  <c r="M76" i="29"/>
  <c r="M57" i="29"/>
  <c r="Q76" i="29"/>
  <c r="Q57" i="29"/>
  <c r="S76" i="29"/>
  <c r="S57" i="29"/>
  <c r="O76" i="29"/>
  <c r="K63" i="29"/>
  <c r="K64" i="29"/>
  <c r="K66" i="29"/>
  <c r="K67" i="29"/>
  <c r="K69" i="29"/>
  <c r="K70" i="29"/>
  <c r="K71" i="29"/>
  <c r="K73" i="29"/>
  <c r="K74" i="29"/>
  <c r="K75" i="29"/>
  <c r="K76" i="29"/>
  <c r="K58" i="29"/>
  <c r="K59" i="29"/>
  <c r="K60" i="29"/>
  <c r="K61" i="29"/>
  <c r="K62" i="29"/>
  <c r="C57" i="29"/>
  <c r="C75" i="29"/>
  <c r="C73" i="29"/>
  <c r="C71" i="29"/>
  <c r="C69" i="29"/>
  <c r="C67" i="29"/>
  <c r="C61" i="29"/>
  <c r="C59" i="29"/>
  <c r="G57" i="29"/>
  <c r="G59" i="29"/>
  <c r="G61" i="29"/>
  <c r="G63" i="29"/>
  <c r="G67" i="29"/>
  <c r="G69" i="29"/>
  <c r="G71" i="29"/>
  <c r="G73" i="29"/>
  <c r="G75" i="29"/>
  <c r="I59" i="29"/>
  <c r="I61" i="29"/>
  <c r="I63" i="29"/>
  <c r="I67" i="29"/>
  <c r="I69" i="29"/>
  <c r="I71" i="29"/>
  <c r="I73" i="29"/>
  <c r="I75" i="29"/>
  <c r="M59" i="29"/>
  <c r="M61" i="29"/>
  <c r="M63" i="29"/>
  <c r="M67" i="29"/>
  <c r="M69" i="29"/>
  <c r="M71" i="29"/>
  <c r="M73" i="29"/>
  <c r="M75" i="29"/>
  <c r="O59" i="29"/>
  <c r="O61" i="29"/>
  <c r="O63" i="29"/>
  <c r="O67" i="29"/>
  <c r="O69" i="29"/>
  <c r="O71" i="29"/>
  <c r="O73" i="29"/>
  <c r="O75" i="29"/>
  <c r="Q59" i="29"/>
  <c r="Q61" i="29"/>
  <c r="Q63" i="29"/>
  <c r="Q67" i="29"/>
  <c r="Q69" i="29"/>
  <c r="Q71" i="29"/>
  <c r="Q73" i="29"/>
  <c r="Q75" i="29"/>
  <c r="S59" i="29"/>
  <c r="S61" i="29"/>
  <c r="S63" i="29"/>
  <c r="S67" i="29"/>
  <c r="S69" i="29"/>
  <c r="S71" i="29"/>
  <c r="S73" i="29"/>
  <c r="S75" i="29"/>
  <c r="C76" i="29"/>
  <c r="C74" i="29"/>
  <c r="C70" i="29"/>
  <c r="C66" i="29"/>
  <c r="C64" i="29"/>
  <c r="C62" i="29"/>
  <c r="C60" i="29"/>
  <c r="G58" i="29"/>
  <c r="G60" i="29"/>
  <c r="G62" i="29"/>
  <c r="G64" i="29"/>
  <c r="G66" i="29"/>
  <c r="G70" i="29"/>
  <c r="G74" i="29"/>
  <c r="I58" i="29"/>
  <c r="I60" i="29"/>
  <c r="I62" i="29"/>
  <c r="I64" i="29"/>
  <c r="I66" i="29"/>
  <c r="I70" i="29"/>
  <c r="I74" i="29"/>
  <c r="M58" i="29"/>
  <c r="M60" i="29"/>
  <c r="M62" i="29"/>
  <c r="M64" i="29"/>
  <c r="M66" i="29"/>
  <c r="M70" i="29"/>
  <c r="M74" i="29"/>
  <c r="O58" i="29"/>
  <c r="O60" i="29"/>
  <c r="O62" i="29"/>
  <c r="O64" i="29"/>
  <c r="O66" i="29"/>
  <c r="O70" i="29"/>
  <c r="O74" i="29"/>
  <c r="Q58" i="29"/>
  <c r="Q60" i="29"/>
  <c r="Q62" i="29"/>
  <c r="Q66" i="29"/>
  <c r="Q70" i="29"/>
  <c r="Q74" i="29"/>
  <c r="S58" i="29"/>
  <c r="S60" i="29"/>
  <c r="S62" i="29"/>
  <c r="S64" i="29"/>
  <c r="S66" i="29"/>
  <c r="S70" i="29"/>
  <c r="S74" i="29"/>
  <c r="Q51" i="26" l="1"/>
  <c r="O51" i="26"/>
  <c r="M51" i="26"/>
  <c r="K51" i="26"/>
  <c r="I51" i="26"/>
  <c r="S50" i="26"/>
  <c r="M50" i="26"/>
  <c r="K50" i="26"/>
  <c r="I50" i="26"/>
  <c r="S37" i="28"/>
  <c r="M37" i="28"/>
  <c r="K37" i="28"/>
  <c r="I37" i="28"/>
  <c r="X43" i="4" l="1"/>
  <c r="X51" i="26" l="1"/>
  <c r="N109" i="27" l="1"/>
  <c r="N108" i="27"/>
  <c r="N106" i="27"/>
  <c r="N104" i="27"/>
  <c r="N102" i="27"/>
  <c r="N101" i="27"/>
  <c r="J111" i="27"/>
  <c r="J110" i="27"/>
  <c r="J109" i="27"/>
  <c r="J108" i="27"/>
  <c r="J106" i="27"/>
  <c r="J105" i="27"/>
  <c r="J104" i="27"/>
  <c r="J102" i="27"/>
  <c r="J101" i="27"/>
  <c r="J99" i="27"/>
  <c r="J98" i="27"/>
  <c r="J97" i="27"/>
  <c r="J96" i="27"/>
  <c r="J95" i="27"/>
  <c r="J94" i="27"/>
  <c r="J93" i="27"/>
  <c r="J92" i="27"/>
  <c r="R33" i="27" l="1"/>
  <c r="W33" i="27" s="1"/>
  <c r="P33" i="27"/>
  <c r="R28" i="27"/>
  <c r="W28" i="27" s="1"/>
  <c r="P28" i="27"/>
  <c r="N28" i="27"/>
  <c r="L28" i="27"/>
  <c r="J28" i="27"/>
  <c r="H28" i="27"/>
  <c r="F28" i="27"/>
  <c r="D28" i="27"/>
  <c r="B28" i="27"/>
  <c r="R22" i="27"/>
  <c r="W22" i="27" s="1"/>
  <c r="P22" i="27"/>
  <c r="N22" i="27"/>
  <c r="L22" i="27"/>
  <c r="J22" i="27"/>
  <c r="H22" i="27"/>
  <c r="F22" i="27"/>
  <c r="D22" i="27"/>
  <c r="B22" i="27"/>
  <c r="P14" i="27"/>
  <c r="N14" i="27"/>
  <c r="L14" i="27"/>
  <c r="J14" i="27"/>
  <c r="H14" i="27"/>
  <c r="F14" i="27"/>
  <c r="D14" i="27"/>
  <c r="B14" i="27"/>
  <c r="L15" i="27"/>
  <c r="J89" i="26" l="1"/>
  <c r="J88" i="26"/>
  <c r="J87" i="26"/>
  <c r="J86" i="26"/>
  <c r="J84" i="26"/>
  <c r="J83" i="26"/>
  <c r="J82" i="26"/>
  <c r="J80" i="26"/>
  <c r="J79" i="26"/>
  <c r="J77" i="26"/>
  <c r="J76" i="26"/>
  <c r="J75" i="26"/>
  <c r="J74" i="26"/>
  <c r="J73" i="26"/>
  <c r="J72" i="26"/>
  <c r="J71" i="26"/>
  <c r="J70" i="26"/>
  <c r="R21" i="26"/>
  <c r="P21" i="26"/>
  <c r="N21" i="26"/>
  <c r="L21" i="26"/>
  <c r="J21" i="26"/>
  <c r="H21" i="26"/>
  <c r="F21" i="26"/>
  <c r="D21" i="26"/>
  <c r="B21" i="26"/>
  <c r="R14" i="5"/>
  <c r="W14" i="5" s="1"/>
  <c r="P14" i="5"/>
  <c r="N14" i="5"/>
  <c r="L14" i="5"/>
  <c r="J14" i="5"/>
  <c r="H14" i="5"/>
  <c r="F14" i="5"/>
  <c r="D14" i="5"/>
  <c r="B14" i="5"/>
  <c r="J75" i="5"/>
  <c r="J74" i="5"/>
  <c r="J73" i="5"/>
  <c r="J72" i="5"/>
  <c r="J70" i="5"/>
  <c r="J69" i="5"/>
  <c r="J68" i="5"/>
  <c r="J66" i="5"/>
  <c r="J65" i="5"/>
  <c r="J63" i="5"/>
  <c r="J62" i="5"/>
  <c r="J61" i="5"/>
  <c r="J60" i="5"/>
  <c r="J59" i="5"/>
  <c r="J58" i="5"/>
  <c r="J57" i="5"/>
  <c r="J56" i="5"/>
  <c r="C17" i="28"/>
  <c r="S53" i="28"/>
  <c r="X53" i="28" s="1"/>
  <c r="Q53" i="28"/>
  <c r="Q75" i="28" s="1"/>
  <c r="O53" i="28"/>
  <c r="M53" i="28"/>
  <c r="M65" i="28" s="1"/>
  <c r="K53" i="28"/>
  <c r="K75" i="28" s="1"/>
  <c r="I53" i="28"/>
  <c r="I57" i="28" s="1"/>
  <c r="G53" i="28"/>
  <c r="E53" i="28"/>
  <c r="E74" i="28" s="1"/>
  <c r="C53" i="28"/>
  <c r="R35" i="28"/>
  <c r="P35" i="28"/>
  <c r="N35" i="28"/>
  <c r="L35" i="28"/>
  <c r="D35" i="28"/>
  <c r="B35" i="28"/>
  <c r="S30" i="28"/>
  <c r="Q30" i="28"/>
  <c r="O30" i="28"/>
  <c r="M30" i="28"/>
  <c r="K30" i="28"/>
  <c r="I30" i="28"/>
  <c r="G30" i="28"/>
  <c r="E30" i="28"/>
  <c r="C30" i="28"/>
  <c r="X37" i="28"/>
  <c r="R14" i="28"/>
  <c r="W14" i="28" s="1"/>
  <c r="P14" i="28"/>
  <c r="N14" i="28"/>
  <c r="L14" i="28"/>
  <c r="J14" i="28"/>
  <c r="H14" i="28"/>
  <c r="F14" i="28"/>
  <c r="D14" i="28"/>
  <c r="B14" i="28"/>
  <c r="N71" i="4"/>
  <c r="N61" i="4"/>
  <c r="J79" i="4"/>
  <c r="J78" i="4"/>
  <c r="J77" i="4"/>
  <c r="J75" i="4"/>
  <c r="J74" i="4"/>
  <c r="J73" i="4"/>
  <c r="J71" i="4"/>
  <c r="J70" i="4"/>
  <c r="J68" i="4"/>
  <c r="J67" i="4"/>
  <c r="J66" i="4"/>
  <c r="J65" i="4"/>
  <c r="J64" i="4"/>
  <c r="J63" i="4"/>
  <c r="J62" i="4"/>
  <c r="J61" i="4"/>
  <c r="C35" i="4"/>
  <c r="C34" i="4"/>
  <c r="C33" i="4"/>
  <c r="C32" i="4"/>
  <c r="D16" i="4"/>
  <c r="R21" i="4"/>
  <c r="P21" i="4"/>
  <c r="N21" i="4"/>
  <c r="L21" i="4"/>
  <c r="J21" i="4"/>
  <c r="H21" i="4"/>
  <c r="F21" i="4"/>
  <c r="D21" i="4"/>
  <c r="B21" i="4"/>
  <c r="W21" i="4" l="1"/>
  <c r="M56" i="28"/>
  <c r="E57" i="28"/>
  <c r="M59" i="28"/>
  <c r="M61" i="28"/>
  <c r="M63" i="28"/>
  <c r="M66" i="28"/>
  <c r="I68" i="28"/>
  <c r="E69" i="28"/>
  <c r="I70" i="28"/>
  <c r="E72" i="28"/>
  <c r="I73" i="28"/>
  <c r="I75" i="28"/>
  <c r="K56" i="28"/>
  <c r="M58" i="28"/>
  <c r="M60" i="28"/>
  <c r="M62" i="28"/>
  <c r="C75" i="28"/>
  <c r="C74" i="28"/>
  <c r="C73" i="28"/>
  <c r="C72" i="28"/>
  <c r="C70" i="28"/>
  <c r="C69" i="28"/>
  <c r="C68" i="28"/>
  <c r="G75" i="28"/>
  <c r="G74" i="28"/>
  <c r="G73" i="28"/>
  <c r="G72" i="28"/>
  <c r="G70" i="28"/>
  <c r="G69" i="28"/>
  <c r="G68" i="28"/>
  <c r="O75" i="28"/>
  <c r="O65" i="28"/>
  <c r="O63" i="28"/>
  <c r="O62" i="28"/>
  <c r="O61" i="28"/>
  <c r="O60" i="28"/>
  <c r="O59" i="28"/>
  <c r="O58" i="28"/>
  <c r="S75" i="28"/>
  <c r="S65" i="28"/>
  <c r="S63" i="28"/>
  <c r="S62" i="28"/>
  <c r="S61" i="28"/>
  <c r="S60" i="28"/>
  <c r="S59" i="28"/>
  <c r="S58" i="28"/>
  <c r="S57" i="28"/>
  <c r="C56" i="28"/>
  <c r="G56" i="28"/>
  <c r="O56" i="28"/>
  <c r="S56" i="28"/>
  <c r="K57" i="28"/>
  <c r="O57" i="28"/>
  <c r="G58" i="28"/>
  <c r="G59" i="28"/>
  <c r="G60" i="28"/>
  <c r="G61" i="28"/>
  <c r="G62" i="28"/>
  <c r="G63" i="28"/>
  <c r="G65" i="28"/>
  <c r="G66" i="28"/>
  <c r="O66" i="28"/>
  <c r="K68" i="28"/>
  <c r="S68" i="28"/>
  <c r="O69" i="28"/>
  <c r="K70" i="28"/>
  <c r="S70" i="28"/>
  <c r="O72" i="28"/>
  <c r="K73" i="28"/>
  <c r="S73" i="28"/>
  <c r="O74" i="28"/>
  <c r="E66" i="28"/>
  <c r="E65" i="28"/>
  <c r="E63" i="28"/>
  <c r="E62" i="28"/>
  <c r="E61" i="28"/>
  <c r="E60" i="28"/>
  <c r="E59" i="28"/>
  <c r="E58" i="28"/>
  <c r="I66" i="28"/>
  <c r="I65" i="28"/>
  <c r="I63" i="28"/>
  <c r="I62" i="28"/>
  <c r="I61" i="28"/>
  <c r="I60" i="28"/>
  <c r="I59" i="28"/>
  <c r="I58" i="28"/>
  <c r="M74" i="28"/>
  <c r="M73" i="28"/>
  <c r="M72" i="28"/>
  <c r="M70" i="28"/>
  <c r="M69" i="28"/>
  <c r="M68" i="28"/>
  <c r="Q74" i="28"/>
  <c r="Q73" i="28"/>
  <c r="Q72" i="28"/>
  <c r="Q70" i="28"/>
  <c r="Q69" i="28"/>
  <c r="Q68" i="28"/>
  <c r="Q66" i="28"/>
  <c r="E56" i="28"/>
  <c r="I56" i="28"/>
  <c r="Q56" i="28"/>
  <c r="C57" i="28"/>
  <c r="G57" i="28"/>
  <c r="M57" i="28"/>
  <c r="Q57" i="28"/>
  <c r="C58" i="28"/>
  <c r="K58" i="28"/>
  <c r="Q58" i="28"/>
  <c r="C59" i="28"/>
  <c r="K59" i="28"/>
  <c r="Q59" i="28"/>
  <c r="C60" i="28"/>
  <c r="K60" i="28"/>
  <c r="Q60" i="28"/>
  <c r="C61" i="28"/>
  <c r="K61" i="28"/>
  <c r="Q61" i="28"/>
  <c r="C62" i="28"/>
  <c r="K62" i="28"/>
  <c r="Q62" i="28"/>
  <c r="C63" i="28"/>
  <c r="K63" i="28"/>
  <c r="Q63" i="28"/>
  <c r="C65" i="28"/>
  <c r="K65" i="28"/>
  <c r="Q65" i="28"/>
  <c r="C66" i="28"/>
  <c r="K66" i="28"/>
  <c r="S66" i="28"/>
  <c r="E68" i="28"/>
  <c r="O68" i="28"/>
  <c r="I69" i="28"/>
  <c r="K69" i="28"/>
  <c r="S69" i="28"/>
  <c r="E70" i="28"/>
  <c r="O70" i="28"/>
  <c r="I72" i="28"/>
  <c r="K72" i="28"/>
  <c r="S72" i="28"/>
  <c r="E73" i="28"/>
  <c r="O73" i="28"/>
  <c r="I74" i="28"/>
  <c r="K74" i="28"/>
  <c r="S74" i="28"/>
  <c r="E75" i="28"/>
  <c r="M75" i="28"/>
  <c r="S89" i="27"/>
  <c r="Q89" i="27"/>
  <c r="O89" i="27"/>
  <c r="M89" i="27"/>
  <c r="K89" i="27"/>
  <c r="K108" i="27" s="1"/>
  <c r="I89" i="27"/>
  <c r="G89" i="27"/>
  <c r="E89" i="27"/>
  <c r="C89" i="27"/>
  <c r="C110" i="27" s="1"/>
  <c r="R69" i="27"/>
  <c r="P69" i="27"/>
  <c r="N69" i="27"/>
  <c r="L69" i="27"/>
  <c r="J69" i="27"/>
  <c r="H69" i="27"/>
  <c r="F69" i="27"/>
  <c r="D69" i="27"/>
  <c r="B69" i="27"/>
  <c r="S64" i="27"/>
  <c r="Q64" i="27"/>
  <c r="O64" i="27"/>
  <c r="M64" i="27"/>
  <c r="K64" i="27"/>
  <c r="I64" i="27"/>
  <c r="G64" i="27"/>
  <c r="E64" i="27"/>
  <c r="C64" i="27"/>
  <c r="S67" i="26"/>
  <c r="S89" i="26" s="1"/>
  <c r="Q67" i="26"/>
  <c r="O67" i="26"/>
  <c r="M67" i="26"/>
  <c r="K67" i="26"/>
  <c r="I67" i="26"/>
  <c r="G67" i="26"/>
  <c r="E67" i="26"/>
  <c r="C67" i="26"/>
  <c r="X48" i="26"/>
  <c r="R48" i="26"/>
  <c r="P48" i="26"/>
  <c r="N48" i="26"/>
  <c r="L48" i="26"/>
  <c r="J48" i="26"/>
  <c r="H48" i="26"/>
  <c r="F48" i="26"/>
  <c r="D48" i="26"/>
  <c r="B48" i="26"/>
  <c r="S43" i="26"/>
  <c r="Q43" i="26"/>
  <c r="O43" i="26"/>
  <c r="M43" i="26"/>
  <c r="K43" i="26"/>
  <c r="I43" i="26"/>
  <c r="G43" i="26"/>
  <c r="E43" i="26"/>
  <c r="C43" i="26"/>
  <c r="R14" i="26"/>
  <c r="P14" i="26"/>
  <c r="N14" i="26"/>
  <c r="L14" i="26"/>
  <c r="J14" i="26"/>
  <c r="H14" i="26"/>
  <c r="F14" i="26"/>
  <c r="D14" i="26"/>
  <c r="B14" i="26"/>
  <c r="S110" i="27" l="1"/>
  <c r="X89" i="27"/>
  <c r="K92" i="27"/>
  <c r="C94" i="27"/>
  <c r="S94" i="27"/>
  <c r="K96" i="27"/>
  <c r="K99" i="27"/>
  <c r="C102" i="27"/>
  <c r="S102" i="27"/>
  <c r="K105" i="27"/>
  <c r="C108" i="27"/>
  <c r="S108" i="27"/>
  <c r="K110" i="27"/>
  <c r="C92" i="27"/>
  <c r="S92" i="27"/>
  <c r="K94" i="27"/>
  <c r="C96" i="27"/>
  <c r="S96" i="27"/>
  <c r="C99" i="27"/>
  <c r="S99" i="27"/>
  <c r="K102" i="27"/>
  <c r="C105" i="27"/>
  <c r="S105" i="27"/>
  <c r="E110" i="27"/>
  <c r="E108" i="27"/>
  <c r="E105" i="27"/>
  <c r="E102" i="27"/>
  <c r="E99" i="27"/>
  <c r="E96" i="27"/>
  <c r="E94" i="27"/>
  <c r="E92" i="27"/>
  <c r="I110" i="27"/>
  <c r="I108" i="27"/>
  <c r="I105" i="27"/>
  <c r="I102" i="27"/>
  <c r="I99" i="27"/>
  <c r="I96" i="27"/>
  <c r="I94" i="27"/>
  <c r="I92" i="27"/>
  <c r="M110" i="27"/>
  <c r="M108" i="27"/>
  <c r="M105" i="27"/>
  <c r="M102" i="27"/>
  <c r="M99" i="27"/>
  <c r="M96" i="27"/>
  <c r="M94" i="27"/>
  <c r="M92" i="27"/>
  <c r="Q110" i="27"/>
  <c r="Q108" i="27"/>
  <c r="Q105" i="27"/>
  <c r="Q102" i="27"/>
  <c r="Q99" i="27"/>
  <c r="Q96" i="27"/>
  <c r="Q94" i="27"/>
  <c r="Q92" i="27"/>
  <c r="I93" i="27"/>
  <c r="Q93" i="27"/>
  <c r="I95" i="27"/>
  <c r="Q95" i="27"/>
  <c r="I97" i="27"/>
  <c r="Q97" i="27"/>
  <c r="I98" i="27"/>
  <c r="Q98" i="27"/>
  <c r="I101" i="27"/>
  <c r="Q101" i="27"/>
  <c r="I104" i="27"/>
  <c r="Q104" i="27"/>
  <c r="I106" i="27"/>
  <c r="Q106" i="27"/>
  <c r="I109" i="27"/>
  <c r="Q109" i="27"/>
  <c r="I111" i="27"/>
  <c r="Q111" i="27"/>
  <c r="C111" i="27"/>
  <c r="C109" i="27"/>
  <c r="C106" i="27"/>
  <c r="C104" i="27"/>
  <c r="C101" i="27"/>
  <c r="C97" i="27"/>
  <c r="C95" i="27"/>
  <c r="C93" i="27"/>
  <c r="G111" i="27"/>
  <c r="G109" i="27"/>
  <c r="G106" i="27"/>
  <c r="G104" i="27"/>
  <c r="G101" i="27"/>
  <c r="G97" i="27"/>
  <c r="G95" i="27"/>
  <c r="G93" i="27"/>
  <c r="K111" i="27"/>
  <c r="K109" i="27"/>
  <c r="K106" i="27"/>
  <c r="K104" i="27"/>
  <c r="K101" i="27"/>
  <c r="K98" i="27"/>
  <c r="K97" i="27"/>
  <c r="K95" i="27"/>
  <c r="K93" i="27"/>
  <c r="O111" i="27"/>
  <c r="O109" i="27"/>
  <c r="O106" i="27"/>
  <c r="O104" i="27"/>
  <c r="O101" i="27"/>
  <c r="O98" i="27"/>
  <c r="O97" i="27"/>
  <c r="O95" i="27"/>
  <c r="O93" i="27"/>
  <c r="S111" i="27"/>
  <c r="S109" i="27"/>
  <c r="S106" i="27"/>
  <c r="S104" i="27"/>
  <c r="S101" i="27"/>
  <c r="S98" i="27"/>
  <c r="S97" i="27"/>
  <c r="S95" i="27"/>
  <c r="S93" i="27"/>
  <c r="G92" i="27"/>
  <c r="O92" i="27"/>
  <c r="E93" i="27"/>
  <c r="M93" i="27"/>
  <c r="G94" i="27"/>
  <c r="O94" i="27"/>
  <c r="E95" i="27"/>
  <c r="M95" i="27"/>
  <c r="G96" i="27"/>
  <c r="O96" i="27"/>
  <c r="E97" i="27"/>
  <c r="M97" i="27"/>
  <c r="M98" i="27"/>
  <c r="G99" i="27"/>
  <c r="O99" i="27"/>
  <c r="E101" i="27"/>
  <c r="M101" i="27"/>
  <c r="G102" i="27"/>
  <c r="O102" i="27"/>
  <c r="E104" i="27"/>
  <c r="M104" i="27"/>
  <c r="G105" i="27"/>
  <c r="O105" i="27"/>
  <c r="E106" i="27"/>
  <c r="M106" i="27"/>
  <c r="G108" i="27"/>
  <c r="O108" i="27"/>
  <c r="E109" i="27"/>
  <c r="M109" i="27"/>
  <c r="G110" i="27"/>
  <c r="O110" i="27"/>
  <c r="E111" i="27"/>
  <c r="M111" i="27"/>
  <c r="C89" i="26"/>
  <c r="C87" i="26"/>
  <c r="C84" i="26"/>
  <c r="C82" i="26"/>
  <c r="C79" i="26"/>
  <c r="C75" i="26"/>
  <c r="C73" i="26"/>
  <c r="C71" i="26"/>
  <c r="C88" i="26"/>
  <c r="C86" i="26"/>
  <c r="C83" i="26"/>
  <c r="C80" i="26"/>
  <c r="C77" i="26"/>
  <c r="C74" i="26"/>
  <c r="C72" i="26"/>
  <c r="C70" i="26"/>
  <c r="G89" i="26"/>
  <c r="G87" i="26"/>
  <c r="G84" i="26"/>
  <c r="G82" i="26"/>
  <c r="G79" i="26"/>
  <c r="G75" i="26"/>
  <c r="G73" i="26"/>
  <c r="G71" i="26"/>
  <c r="G88" i="26"/>
  <c r="G86" i="26"/>
  <c r="G83" i="26"/>
  <c r="G80" i="26"/>
  <c r="G77" i="26"/>
  <c r="G74" i="26"/>
  <c r="G72" i="26"/>
  <c r="G70" i="26"/>
  <c r="K89" i="26"/>
  <c r="K87" i="26"/>
  <c r="K84" i="26"/>
  <c r="K82" i="26"/>
  <c r="K79" i="26"/>
  <c r="K76" i="26"/>
  <c r="K75" i="26"/>
  <c r="K73" i="26"/>
  <c r="K71" i="26"/>
  <c r="K88" i="26"/>
  <c r="K86" i="26"/>
  <c r="K83" i="26"/>
  <c r="K80" i="26"/>
  <c r="K77" i="26"/>
  <c r="K74" i="26"/>
  <c r="K72" i="26"/>
  <c r="K70" i="26"/>
  <c r="O89" i="26"/>
  <c r="O87" i="26"/>
  <c r="O84" i="26"/>
  <c r="O82" i="26"/>
  <c r="O79" i="26"/>
  <c r="O76" i="26"/>
  <c r="O75" i="26"/>
  <c r="O73" i="26"/>
  <c r="O71" i="26"/>
  <c r="O88" i="26"/>
  <c r="O86" i="26"/>
  <c r="O83" i="26"/>
  <c r="O80" i="26"/>
  <c r="O77" i="26"/>
  <c r="O74" i="26"/>
  <c r="O72" i="26"/>
  <c r="O70" i="26"/>
  <c r="E88" i="26"/>
  <c r="E86" i="26"/>
  <c r="E83" i="26"/>
  <c r="E80" i="26"/>
  <c r="E77" i="26"/>
  <c r="E74" i="26"/>
  <c r="E72" i="26"/>
  <c r="E70" i="26"/>
  <c r="E89" i="26"/>
  <c r="E87" i="26"/>
  <c r="E84" i="26"/>
  <c r="E82" i="26"/>
  <c r="E79" i="26"/>
  <c r="E75" i="26"/>
  <c r="E73" i="26"/>
  <c r="E71" i="26"/>
  <c r="I88" i="26"/>
  <c r="I86" i="26"/>
  <c r="I83" i="26"/>
  <c r="I80" i="26"/>
  <c r="I77" i="26"/>
  <c r="I74" i="26"/>
  <c r="I72" i="26"/>
  <c r="I70" i="26"/>
  <c r="I89" i="26"/>
  <c r="I87" i="26"/>
  <c r="I84" i="26"/>
  <c r="I82" i="26"/>
  <c r="I79" i="26"/>
  <c r="I76" i="26"/>
  <c r="I75" i="26"/>
  <c r="I73" i="26"/>
  <c r="I71" i="26"/>
  <c r="M88" i="26"/>
  <c r="M86" i="26"/>
  <c r="M83" i="26"/>
  <c r="M80" i="26"/>
  <c r="M77" i="26"/>
  <c r="M74" i="26"/>
  <c r="M72" i="26"/>
  <c r="M70" i="26"/>
  <c r="M89" i="26"/>
  <c r="M87" i="26"/>
  <c r="M84" i="26"/>
  <c r="M82" i="26"/>
  <c r="M79" i="26"/>
  <c r="M76" i="26"/>
  <c r="M75" i="26"/>
  <c r="M73" i="26"/>
  <c r="M71" i="26"/>
  <c r="Q88" i="26"/>
  <c r="Q86" i="26"/>
  <c r="Q83" i="26"/>
  <c r="Q80" i="26"/>
  <c r="Q77" i="26"/>
  <c r="Q74" i="26"/>
  <c r="Q72" i="26"/>
  <c r="Q70" i="26"/>
  <c r="Q89" i="26"/>
  <c r="Q87" i="26"/>
  <c r="Q84" i="26"/>
  <c r="Q82" i="26"/>
  <c r="Q79" i="26"/>
  <c r="Q76" i="26"/>
  <c r="Q75" i="26"/>
  <c r="Q73" i="26"/>
  <c r="Q71" i="26"/>
  <c r="S70" i="26"/>
  <c r="S72" i="26"/>
  <c r="S74" i="26"/>
  <c r="S77" i="26"/>
  <c r="S80" i="26"/>
  <c r="S83" i="26"/>
  <c r="S86" i="26"/>
  <c r="S88" i="26"/>
  <c r="S71" i="26"/>
  <c r="S73" i="26"/>
  <c r="S75" i="26"/>
  <c r="S76" i="26"/>
  <c r="S79" i="26"/>
  <c r="S82" i="26"/>
  <c r="S84" i="26"/>
  <c r="S87" i="26"/>
  <c r="G53" i="5" l="1"/>
  <c r="P41" i="4" l="1"/>
  <c r="N41" i="4"/>
  <c r="L41" i="4"/>
  <c r="S53" i="5" l="1"/>
  <c r="Q53" i="5"/>
  <c r="Q73" i="5" s="1"/>
  <c r="O53" i="5"/>
  <c r="O72" i="5" s="1"/>
  <c r="M53" i="5"/>
  <c r="M75" i="5" s="1"/>
  <c r="K53" i="5"/>
  <c r="K74" i="5" s="1"/>
  <c r="I53" i="5"/>
  <c r="I73" i="5" s="1"/>
  <c r="G72" i="5"/>
  <c r="E53" i="5"/>
  <c r="E75" i="5" s="1"/>
  <c r="C53" i="5"/>
  <c r="C74" i="5" s="1"/>
  <c r="X36" i="5"/>
  <c r="R36" i="5"/>
  <c r="W36" i="5" s="1"/>
  <c r="P36" i="5"/>
  <c r="N36" i="5"/>
  <c r="L36" i="5"/>
  <c r="J36" i="5"/>
  <c r="H36" i="5"/>
  <c r="F36" i="5"/>
  <c r="D36" i="5"/>
  <c r="B36" i="5"/>
  <c r="S31" i="5"/>
  <c r="Q31" i="5"/>
  <c r="O31" i="5"/>
  <c r="M31" i="5"/>
  <c r="K31" i="5"/>
  <c r="I31" i="5"/>
  <c r="G31" i="5"/>
  <c r="E31" i="5"/>
  <c r="C31" i="5"/>
  <c r="X38" i="5"/>
  <c r="S58" i="4"/>
  <c r="Q58" i="4"/>
  <c r="Q77" i="4" s="1"/>
  <c r="O58" i="4"/>
  <c r="O80" i="4" s="1"/>
  <c r="M58" i="4"/>
  <c r="M79" i="4" s="1"/>
  <c r="K58" i="4"/>
  <c r="K78" i="4" s="1"/>
  <c r="I58" i="4"/>
  <c r="I77" i="4" s="1"/>
  <c r="G58" i="4"/>
  <c r="G80" i="4" s="1"/>
  <c r="E58" i="4"/>
  <c r="E79" i="4" s="1"/>
  <c r="C58" i="4"/>
  <c r="C78" i="4" s="1"/>
  <c r="X41" i="4"/>
  <c r="R41" i="4"/>
  <c r="W41" i="4" s="1"/>
  <c r="D41" i="4"/>
  <c r="B41" i="4"/>
  <c r="S36" i="4"/>
  <c r="Q36" i="4"/>
  <c r="O36" i="4"/>
  <c r="M36" i="4"/>
  <c r="K36" i="4"/>
  <c r="I36" i="4"/>
  <c r="G36" i="4"/>
  <c r="E36" i="4"/>
  <c r="C36" i="4"/>
  <c r="R14" i="4"/>
  <c r="P14" i="4"/>
  <c r="N14" i="4"/>
  <c r="L14" i="4"/>
  <c r="J14" i="4"/>
  <c r="H14" i="4"/>
  <c r="F14" i="4"/>
  <c r="D14" i="4"/>
  <c r="B14" i="4"/>
  <c r="S74" i="5" l="1"/>
  <c r="X53" i="5"/>
  <c r="W14" i="4"/>
  <c r="R11" i="25"/>
  <c r="S78" i="4"/>
  <c r="X58" i="4"/>
  <c r="Q59" i="5"/>
  <c r="E63" i="5"/>
  <c r="S61" i="4"/>
  <c r="Q68" i="4"/>
  <c r="I74" i="4"/>
  <c r="S80" i="4"/>
  <c r="C70" i="4"/>
  <c r="K65" i="4"/>
  <c r="E69" i="5"/>
  <c r="E74" i="5"/>
  <c r="Q61" i="5"/>
  <c r="Q72" i="5"/>
  <c r="Q56" i="5"/>
  <c r="Q66" i="5"/>
  <c r="O56" i="5"/>
  <c r="E59" i="5"/>
  <c r="O59" i="5"/>
  <c r="Q60" i="5"/>
  <c r="I61" i="5"/>
  <c r="O63" i="5"/>
  <c r="Q65" i="5"/>
  <c r="I66" i="5"/>
  <c r="O69" i="5"/>
  <c r="Q70" i="5"/>
  <c r="I72" i="5"/>
  <c r="O74" i="5"/>
  <c r="Q75" i="5"/>
  <c r="G65" i="5"/>
  <c r="G75" i="5"/>
  <c r="G56" i="5"/>
  <c r="I57" i="5"/>
  <c r="I59" i="5"/>
  <c r="I60" i="5"/>
  <c r="G63" i="5"/>
  <c r="I65" i="5"/>
  <c r="G69" i="5"/>
  <c r="I70" i="5"/>
  <c r="G74" i="5"/>
  <c r="I75" i="5"/>
  <c r="G59" i="5"/>
  <c r="G60" i="5"/>
  <c r="G70" i="5"/>
  <c r="I56" i="5"/>
  <c r="Q57" i="5"/>
  <c r="M59" i="5"/>
  <c r="O60" i="5"/>
  <c r="M63" i="5"/>
  <c r="O65" i="5"/>
  <c r="M69" i="5"/>
  <c r="O70" i="5"/>
  <c r="M74" i="5"/>
  <c r="O75" i="5"/>
  <c r="M62" i="4"/>
  <c r="E66" i="4"/>
  <c r="S65" i="4"/>
  <c r="M66" i="4"/>
  <c r="K70" i="4"/>
  <c r="E71" i="4"/>
  <c r="Q74" i="4"/>
  <c r="C75" i="4"/>
  <c r="I79" i="4"/>
  <c r="C61" i="4"/>
  <c r="I64" i="4"/>
  <c r="S70" i="4"/>
  <c r="M71" i="4"/>
  <c r="K75" i="4"/>
  <c r="E77" i="4"/>
  <c r="Q79" i="4"/>
  <c r="C80" i="4"/>
  <c r="K61" i="4"/>
  <c r="E62" i="4"/>
  <c r="Q64" i="4"/>
  <c r="C65" i="4"/>
  <c r="I68" i="4"/>
  <c r="S75" i="4"/>
  <c r="M77" i="4"/>
  <c r="K80" i="4"/>
  <c r="K58" i="5"/>
  <c r="K62" i="5"/>
  <c r="C68" i="5"/>
  <c r="S68" i="5"/>
  <c r="C73" i="5"/>
  <c r="S73" i="5"/>
  <c r="C57" i="5"/>
  <c r="K57" i="5"/>
  <c r="E58" i="5"/>
  <c r="M58" i="5"/>
  <c r="K61" i="5"/>
  <c r="S61" i="5"/>
  <c r="C66" i="5"/>
  <c r="C72" i="5"/>
  <c r="K72" i="5"/>
  <c r="E73" i="5"/>
  <c r="M73" i="5"/>
  <c r="C56" i="5"/>
  <c r="K56" i="5"/>
  <c r="S56" i="5"/>
  <c r="E57" i="5"/>
  <c r="M57" i="5"/>
  <c r="G58" i="5"/>
  <c r="O58" i="5"/>
  <c r="C60" i="5"/>
  <c r="K60" i="5"/>
  <c r="S60" i="5"/>
  <c r="E61" i="5"/>
  <c r="M61" i="5"/>
  <c r="O62" i="5"/>
  <c r="I63" i="5"/>
  <c r="Q63" i="5"/>
  <c r="C65" i="5"/>
  <c r="K65" i="5"/>
  <c r="S65" i="5"/>
  <c r="E66" i="5"/>
  <c r="M66" i="5"/>
  <c r="G68" i="5"/>
  <c r="O68" i="5"/>
  <c r="I69" i="5"/>
  <c r="Q69" i="5"/>
  <c r="C70" i="5"/>
  <c r="K70" i="5"/>
  <c r="S70" i="5"/>
  <c r="E72" i="5"/>
  <c r="M72" i="5"/>
  <c r="G73" i="5"/>
  <c r="O73" i="5"/>
  <c r="I74" i="5"/>
  <c r="Q74" i="5"/>
  <c r="C75" i="5"/>
  <c r="K75" i="5"/>
  <c r="S75" i="5"/>
  <c r="C58" i="5"/>
  <c r="S58" i="5"/>
  <c r="S62" i="5"/>
  <c r="K68" i="5"/>
  <c r="K73" i="5"/>
  <c r="S57" i="5"/>
  <c r="C61" i="5"/>
  <c r="M62" i="5"/>
  <c r="K66" i="5"/>
  <c r="S66" i="5"/>
  <c r="E68" i="5"/>
  <c r="M68" i="5"/>
  <c r="S72" i="5"/>
  <c r="E56" i="5"/>
  <c r="M56" i="5"/>
  <c r="G57" i="5"/>
  <c r="O57" i="5"/>
  <c r="I58" i="5"/>
  <c r="Q58" i="5"/>
  <c r="C59" i="5"/>
  <c r="K59" i="5"/>
  <c r="S59" i="5"/>
  <c r="E60" i="5"/>
  <c r="M60" i="5"/>
  <c r="G61" i="5"/>
  <c r="O61" i="5"/>
  <c r="I62" i="5"/>
  <c r="Q62" i="5"/>
  <c r="C63" i="5"/>
  <c r="K63" i="5"/>
  <c r="S63" i="5"/>
  <c r="E65" i="5"/>
  <c r="M65" i="5"/>
  <c r="G66" i="5"/>
  <c r="O66" i="5"/>
  <c r="I68" i="5"/>
  <c r="Q68" i="5"/>
  <c r="C69" i="5"/>
  <c r="K69" i="5"/>
  <c r="S69" i="5"/>
  <c r="E70" i="5"/>
  <c r="M70" i="5"/>
  <c r="G73" i="4"/>
  <c r="G78" i="4"/>
  <c r="I61" i="4"/>
  <c r="Q61" i="4"/>
  <c r="C62" i="4"/>
  <c r="K62" i="4"/>
  <c r="S62" i="4"/>
  <c r="E63" i="4"/>
  <c r="M63" i="4"/>
  <c r="G64" i="4"/>
  <c r="O64" i="4"/>
  <c r="I65" i="4"/>
  <c r="Q65" i="4"/>
  <c r="C66" i="4"/>
  <c r="K66" i="4"/>
  <c r="S66" i="4"/>
  <c r="E67" i="4"/>
  <c r="M67" i="4"/>
  <c r="G68" i="4"/>
  <c r="O68" i="4"/>
  <c r="I70" i="4"/>
  <c r="Q70" i="4"/>
  <c r="C71" i="4"/>
  <c r="K71" i="4"/>
  <c r="S71" i="4"/>
  <c r="E73" i="4"/>
  <c r="M73" i="4"/>
  <c r="G74" i="4"/>
  <c r="O74" i="4"/>
  <c r="I75" i="4"/>
  <c r="Q75" i="4"/>
  <c r="C77" i="4"/>
  <c r="K77" i="4"/>
  <c r="S77" i="4"/>
  <c r="E78" i="4"/>
  <c r="M78" i="4"/>
  <c r="G79" i="4"/>
  <c r="O79" i="4"/>
  <c r="I80" i="4"/>
  <c r="Q80" i="4"/>
  <c r="O63" i="4"/>
  <c r="G67" i="4"/>
  <c r="O67" i="4"/>
  <c r="O78" i="4"/>
  <c r="E61" i="4"/>
  <c r="M61" i="4"/>
  <c r="G62" i="4"/>
  <c r="O62" i="4"/>
  <c r="I63" i="4"/>
  <c r="Q63" i="4"/>
  <c r="C64" i="4"/>
  <c r="K64" i="4"/>
  <c r="S64" i="4"/>
  <c r="E65" i="4"/>
  <c r="M65" i="4"/>
  <c r="G66" i="4"/>
  <c r="O66" i="4"/>
  <c r="I67" i="4"/>
  <c r="Q67" i="4"/>
  <c r="C68" i="4"/>
  <c r="K68" i="4"/>
  <c r="S68" i="4"/>
  <c r="E70" i="4"/>
  <c r="M70" i="4"/>
  <c r="G71" i="4"/>
  <c r="O71" i="4"/>
  <c r="I73" i="4"/>
  <c r="Q73" i="4"/>
  <c r="C74" i="4"/>
  <c r="K74" i="4"/>
  <c r="S74" i="4"/>
  <c r="E75" i="4"/>
  <c r="M75" i="4"/>
  <c r="G77" i="4"/>
  <c r="O77" i="4"/>
  <c r="I78" i="4"/>
  <c r="Q78" i="4"/>
  <c r="C79" i="4"/>
  <c r="K79" i="4"/>
  <c r="S79" i="4"/>
  <c r="E80" i="4"/>
  <c r="M80" i="4"/>
  <c r="G63" i="4"/>
  <c r="O73" i="4"/>
  <c r="G61" i="4"/>
  <c r="O61" i="4"/>
  <c r="I62" i="4"/>
  <c r="Q62" i="4"/>
  <c r="C63" i="4"/>
  <c r="K63" i="4"/>
  <c r="S63" i="4"/>
  <c r="E64" i="4"/>
  <c r="M64" i="4"/>
  <c r="G65" i="4"/>
  <c r="O65" i="4"/>
  <c r="I66" i="4"/>
  <c r="Q66" i="4"/>
  <c r="C67" i="4"/>
  <c r="K67" i="4"/>
  <c r="S67" i="4"/>
  <c r="E68" i="4"/>
  <c r="M68" i="4"/>
  <c r="G70" i="4"/>
  <c r="O70" i="4"/>
  <c r="I71" i="4"/>
  <c r="Q71" i="4"/>
  <c r="C73" i="4"/>
  <c r="K73" i="4"/>
  <c r="S73" i="4"/>
  <c r="E74" i="4"/>
  <c r="M74" i="4"/>
  <c r="G75" i="4"/>
  <c r="O75" i="4"/>
</calcChain>
</file>

<file path=xl/sharedStrings.xml><?xml version="1.0" encoding="utf-8"?>
<sst xmlns="http://schemas.openxmlformats.org/spreadsheetml/2006/main" count="1461" uniqueCount="201">
  <si>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</si>
  <si>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</si>
  <si>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</si>
  <si>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</si>
  <si>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</si>
  <si>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</si>
  <si>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</si>
  <si>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</si>
  <si>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</si>
  <si>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Five Year Average</t>
  </si>
  <si>
    <t>Bachelor's Program - Fr/Soph</t>
  </si>
  <si>
    <t>Bachelor's Program - Jr/Sr</t>
  </si>
  <si>
    <t>Total Bach</t>
  </si>
  <si>
    <t>Minor's Program</t>
  </si>
  <si>
    <t xml:space="preserve"> </t>
  </si>
  <si>
    <t>Master's Program</t>
  </si>
  <si>
    <t>Student Credit Hours Generated:</t>
  </si>
  <si>
    <t>Lower Division (0-299 level)</t>
  </si>
  <si>
    <t>Upper Division (300-699 level)</t>
  </si>
  <si>
    <t>Graduate I (700-899 level)</t>
  </si>
  <si>
    <t>Graduate II (900-999 level)</t>
  </si>
  <si>
    <t>Total</t>
  </si>
  <si>
    <t>% Departmental SCH taken by: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</si>
  <si>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</si>
  <si>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</si>
  <si>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</si>
  <si>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</si>
  <si>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</si>
  <si>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</si>
  <si>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</si>
  <si>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</si>
  <si>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</si>
  <si>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N</t>
  </si>
  <si>
    <t>FTE</t>
  </si>
  <si>
    <t>Headcount</t>
  </si>
  <si>
    <t xml:space="preserve">Instructional </t>
  </si>
  <si>
    <t>Full-time</t>
  </si>
  <si>
    <t>Part-time</t>
  </si>
  <si>
    <t>Research/Public Service</t>
  </si>
  <si>
    <t>%</t>
  </si>
  <si>
    <t>White</t>
  </si>
  <si>
    <t>Black</t>
  </si>
  <si>
    <t>Hispanic</t>
  </si>
  <si>
    <t>Native American</t>
  </si>
  <si>
    <t xml:space="preserve">Asian </t>
  </si>
  <si>
    <t>Non-Resident</t>
  </si>
  <si>
    <t>Two or More Races</t>
  </si>
  <si>
    <t>Unknown</t>
  </si>
  <si>
    <t>Gender</t>
  </si>
  <si>
    <t>Male</t>
  </si>
  <si>
    <t>Female</t>
  </si>
  <si>
    <t>Tenure Status</t>
  </si>
  <si>
    <t>Tenure</t>
  </si>
  <si>
    <t>Tenure-Track</t>
  </si>
  <si>
    <t>Non-Tenured</t>
  </si>
  <si>
    <t>Highest Degree</t>
  </si>
  <si>
    <t>Ph. D.</t>
  </si>
  <si>
    <t>M.S.</t>
  </si>
  <si>
    <t>B.S.</t>
  </si>
  <si>
    <t>Other</t>
  </si>
  <si>
    <t xml:space="preserve">Graduate Assistants </t>
  </si>
  <si>
    <t>Master's students</t>
  </si>
  <si>
    <t>Outcome</t>
  </si>
  <si>
    <t>% Bachelor's Employed</t>
  </si>
  <si>
    <t xml:space="preserve">% Bachelor's Further Education </t>
  </si>
  <si>
    <t>% GTA/GRA</t>
  </si>
  <si>
    <t xml:space="preserve">PhD Time to Completion </t>
  </si>
  <si>
    <t>ACT</t>
  </si>
  <si>
    <t>Department:  Apparel Textiles, and Interior Design</t>
  </si>
  <si>
    <t>Apparel &amp; Textiles - 19.0901</t>
  </si>
  <si>
    <t>Interior Design - 50.0408</t>
  </si>
  <si>
    <t>Master of Science (GPIDEA)</t>
  </si>
  <si>
    <t xml:space="preserve">Department:  Kinesiology </t>
  </si>
  <si>
    <t>Department:  School of Family Studies and Human Services</t>
  </si>
  <si>
    <t>Dietetics- 51.3101</t>
  </si>
  <si>
    <t>Dietetics- 19.0501</t>
  </si>
  <si>
    <t xml:space="preserve">Minor Program </t>
  </si>
  <si>
    <t xml:space="preserve">Master's Program </t>
  </si>
  <si>
    <t xml:space="preserve">Doctorate Program </t>
  </si>
  <si>
    <t>Athletic Training/Trainer - 51.0913</t>
  </si>
  <si>
    <t>Family Studies and Human Services - 19.0701</t>
  </si>
  <si>
    <t>Minor's Program (CATS)</t>
  </si>
  <si>
    <t>Masters Program</t>
  </si>
  <si>
    <t>Graduate Certificate -CYDPDC</t>
  </si>
  <si>
    <t>Graduate Certificate -CYDADC</t>
  </si>
  <si>
    <t>Personal Financial Planning -19.0401</t>
  </si>
  <si>
    <t xml:space="preserve">Graduate Certificate Program(PFPC) </t>
  </si>
  <si>
    <t xml:space="preserve">Graduate Certificate Program(FINTH) </t>
  </si>
  <si>
    <t>Early Childhood Education- 19.0706</t>
  </si>
  <si>
    <t>Family and Community Service - 19.0707</t>
  </si>
  <si>
    <t>Communication Sciences and Disorders (Comm. Disorders, General) - 51.0201</t>
  </si>
  <si>
    <t>Personal Financial Planning - 52.0804</t>
  </si>
  <si>
    <t>Doctoral Program</t>
  </si>
  <si>
    <t>Conflict Resolution - 30.2801</t>
  </si>
  <si>
    <t>UG Certificate (CCONRS)</t>
  </si>
  <si>
    <t>Graduate Certificate (CCNRES)</t>
  </si>
  <si>
    <t>Family Economics (Finan. Plan.) - 19.0403</t>
  </si>
  <si>
    <t xml:space="preserve">Average ACT of Majors:  Family Studies and Human Services </t>
  </si>
  <si>
    <t>Average ACT of Majors: Early Childhood Education</t>
  </si>
  <si>
    <t>Average ACT of Majors: Communication Sciences and Disorder</t>
  </si>
  <si>
    <t>Average ACT of Majors: Personal Financial Planning</t>
  </si>
  <si>
    <t>% Bachelor's Employed- Family Studies Human Services</t>
  </si>
  <si>
    <t>% Bachelor's Employed- Early Childhood Education</t>
  </si>
  <si>
    <t xml:space="preserve">% Bachelor's Employed- Communication Science </t>
  </si>
  <si>
    <t xml:space="preserve">% Bachelor's Further Education - Family Studies Human Services </t>
  </si>
  <si>
    <t xml:space="preserve">% Bachelor's Further Education - Early Childhood </t>
  </si>
  <si>
    <t>% Bachelor's Further Education - Communication Science</t>
  </si>
  <si>
    <t>Average ACT of Majors: Kinesiology</t>
  </si>
  <si>
    <t>Average ACT of Majors: Nutrition Exercise</t>
  </si>
  <si>
    <t>Average ACT of Majors: Human Nutrition</t>
  </si>
  <si>
    <t xml:space="preserve">Average ACT of Majors: Athletic Training </t>
  </si>
  <si>
    <t>% Bachelor's Employed- Human Nutrition</t>
  </si>
  <si>
    <t>% Bachelor's Employed- Athletic Training</t>
  </si>
  <si>
    <t>% Bachelor's Further Education - HN</t>
  </si>
  <si>
    <t>% Bachelor's Further Education - AT</t>
  </si>
  <si>
    <t>Average ACT of Majors: Dietetics</t>
  </si>
  <si>
    <t>Average ACT of Majors: Hospitality Mangt</t>
  </si>
  <si>
    <t>Average ACT of Majors: Apparel Textiles</t>
  </si>
  <si>
    <t xml:space="preserve">Average ACT of Majors: Interior Design </t>
  </si>
  <si>
    <t>% Bachelor's Employed- Apparel and Textiles</t>
  </si>
  <si>
    <t>% Bachelor's Employed- Interior Design</t>
  </si>
  <si>
    <t>% Bachelor's Further Education- Apparel Textiles</t>
  </si>
  <si>
    <t xml:space="preserve">% Bachelor's Further Education - Interior Design </t>
  </si>
  <si>
    <t>Department:  General Home Economics  (Dean's Office)</t>
  </si>
  <si>
    <t>Human Ecology, General - 19.0101</t>
  </si>
  <si>
    <t>Doctorate Program</t>
  </si>
  <si>
    <t>Gerontology - 30.1101</t>
  </si>
  <si>
    <t>Secondary Major Program</t>
  </si>
  <si>
    <t>Graduate Certificate Program</t>
  </si>
  <si>
    <t>Human Ecology, Undeclared- 24.0102</t>
  </si>
  <si>
    <t>Undergraduate Program</t>
  </si>
  <si>
    <t>HE Graduate Non-Degree DCE Master's</t>
  </si>
  <si>
    <t>xxxxx</t>
  </si>
  <si>
    <t>xxxx</t>
  </si>
  <si>
    <t xml:space="preserve">Kinesiology  - 31.0505 </t>
  </si>
  <si>
    <t>Doctorate students</t>
  </si>
  <si>
    <t>% Bachelor's Employed- Dietetics</t>
  </si>
  <si>
    <t>% Bachelor's Employed- Hosp Mangt</t>
  </si>
  <si>
    <t>% Bachelor's Further Education - Dietetics</t>
  </si>
  <si>
    <t xml:space="preserve">% Bachelor's Further Education - Hosp Mangt </t>
  </si>
  <si>
    <t xml:space="preserve">Nutrition &amp; Exercise Science*  </t>
  </si>
  <si>
    <t>Master's students- Family Studies and Human Services</t>
  </si>
  <si>
    <t>Master's students- Family and Community Services</t>
  </si>
  <si>
    <t>Master's students-Gerontology</t>
  </si>
  <si>
    <t>Master's Student- Personal Financial Planning</t>
  </si>
  <si>
    <t>Total Tenure/Tenure Track Faculty (Headcount)</t>
  </si>
  <si>
    <t>Total Instructional FTE</t>
  </si>
  <si>
    <t>Master's students- Hosp &amp; Diet Admin</t>
  </si>
  <si>
    <t>Master's students- Dietetics</t>
  </si>
  <si>
    <t>Hospitality Management - 52.0901</t>
  </si>
  <si>
    <t>STATISTICAL OVERVIEW</t>
  </si>
  <si>
    <t>Kansas State University</t>
  </si>
  <si>
    <t xml:space="preserve">Headcount </t>
  </si>
  <si>
    <t>**Based on November 1st and from HRIS</t>
  </si>
  <si>
    <t>Number of Majors &amp; Degrees Conferred</t>
  </si>
  <si>
    <t>% Bachelor's Employed- Kinesiology</t>
  </si>
  <si>
    <t>% Bachelor's Further Education- Kinesiology</t>
  </si>
  <si>
    <t>Faculty Information:**</t>
  </si>
  <si>
    <t>Academic Information</t>
  </si>
  <si>
    <t xml:space="preserve">PhD students-Personal Financial Planning </t>
  </si>
  <si>
    <t>Departmental Faculty</t>
  </si>
  <si>
    <t>Demographics</t>
  </si>
  <si>
    <t>Race/Ethnicity</t>
  </si>
  <si>
    <t>Tenured/Tenure Track Faculty with Terminal Degrees</t>
  </si>
  <si>
    <t>Average ACT of Majors: 
Human Ecology</t>
  </si>
  <si>
    <t>Fall Majors</t>
  </si>
  <si>
    <t>Degrees Conferred</t>
  </si>
  <si>
    <t>Their Undergraduate Majors</t>
  </si>
  <si>
    <t>Their Graduate Majors</t>
  </si>
  <si>
    <t>Non-Majors</t>
  </si>
  <si>
    <t xml:space="preserve"># of Undergrad Majors in Research </t>
  </si>
  <si>
    <t>Full-Time Instructional Faculty-
(50% or more instruction)</t>
  </si>
  <si>
    <t xml:space="preserve">Graduate Certificate Program(FAHC) </t>
  </si>
  <si>
    <t>Check the formula on FTE because Kelli inserted a negative to make it work</t>
  </si>
  <si>
    <t xml:space="preserve">* Dual Degree Seekers in Kinesiology - subset of Bachelor's degree-seekers in Human Nutrition </t>
  </si>
  <si>
    <t>* Dual Degree Seekers in Human Nutrition - subset of Bachelor's degree-seekers in Kinesiology</t>
  </si>
  <si>
    <t>Nutrition &amp; Exercise subplan only*</t>
  </si>
  <si>
    <t>Human Nutrition - 19.0504</t>
  </si>
  <si>
    <t>Number of Undergraduate Majors includes second majors</t>
  </si>
  <si>
    <t>Department:  Hospitality Management</t>
  </si>
  <si>
    <t>Master's students - Human Nutrition</t>
  </si>
  <si>
    <t>PhD students - Human Nutrition</t>
  </si>
  <si>
    <t xml:space="preserve">SCH includes Dietetics SCH </t>
  </si>
  <si>
    <t>SCH excludes Dietetics SCH until Summer 2016</t>
  </si>
  <si>
    <t>Number of Majors &amp; Degrees Conferred:</t>
  </si>
  <si>
    <t>Master's Programs</t>
  </si>
  <si>
    <t>Graduate Certificate Programs</t>
  </si>
  <si>
    <t xml:space="preserve">% Undergrad Major in Research </t>
  </si>
  <si>
    <t>% Bachelor's Further Education-</t>
  </si>
  <si>
    <t>PhD students</t>
  </si>
  <si>
    <t>Full-Time Instructional Faculty -              (50% or more instruction):</t>
  </si>
  <si>
    <t>Tenured/Tenure Track Faculty with Terminal Degrees (headcount)</t>
  </si>
  <si>
    <t>Demographics:</t>
  </si>
  <si>
    <t>College of Human Ecology</t>
  </si>
  <si>
    <t>Bachelor's Programs</t>
  </si>
  <si>
    <t>Minors</t>
  </si>
  <si>
    <t>Undergraduate Certificate Programs</t>
  </si>
  <si>
    <t>Graduate Non-Degree DCE Master's</t>
  </si>
  <si>
    <t>Department:  Food, Nutrition, Dietetics and Health</t>
  </si>
  <si>
    <t>FY 2017</t>
  </si>
  <si>
    <t>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</si>
</sst>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4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0" borderId="0"/>
    <xf numFmtId="10" fontId="6" fillId="0" borderId="0" applyFill="0" applyBorder="0" applyAlignment="0" applyProtection="0"/>
    <xf numFmtId="0" fontId="6" fillId="0" borderId="0"/>
    <xf numFmtId="4" fontId="5" fillId="0" borderId="0" applyFont="0" applyFill="0" applyBorder="0" applyAlignment="0" applyProtection="0"/>
  </cellStyleXfs>
  <cellXfs count="106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1" xfId="0" applyFont="1" applyBorder="1"/>
    <xf numFmtId="0" fontId="3" fillId="0" borderId="13" xfId="0" applyFont="1" applyBorder="1" applyAlignment="1">
      <alignment horizontal="center"/>
    </xf>
    <xf numFmtId="0" fontId="1" fillId="0" borderId="11" xfId="0" applyFont="1" applyFill="1" applyBorder="1"/>
    <xf numFmtId="0" fontId="1" fillId="0" borderId="8" xfId="0" applyFont="1" applyFill="1" applyBorder="1"/>
    <xf numFmtId="0" fontId="1" fillId="0" borderId="12" xfId="0" applyFont="1" applyFill="1" applyBorder="1"/>
    <xf numFmtId="1" fontId="1" fillId="0" borderId="28" xfId="0" applyNumberFormat="1" applyFont="1" applyBorder="1"/>
    <xf numFmtId="1" fontId="1" fillId="0" borderId="27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0" fillId="0" borderId="0" xfId="0" applyNumberFormat="1"/>
    <xf numFmtId="1" fontId="1" fillId="0" borderId="29" xfId="0" applyNumberFormat="1" applyFont="1" applyFill="1" applyBorder="1"/>
    <xf numFmtId="1" fontId="1" fillId="0" borderId="30" xfId="0" applyNumberFormat="1" applyFont="1" applyFill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1" fillId="0" borderId="46" xfId="0" applyFont="1" applyFill="1" applyBorder="1"/>
    <xf numFmtId="0" fontId="1" fillId="0" borderId="48" xfId="0" applyFont="1" applyFill="1" applyBorder="1"/>
    <xf numFmtId="3" fontId="1" fillId="0" borderId="47" xfId="1" applyNumberFormat="1" applyFont="1" applyFill="1" applyBorder="1" applyAlignment="1">
      <alignment horizontal="right"/>
    </xf>
    <xf numFmtId="3" fontId="1" fillId="0" borderId="48" xfId="1" applyNumberFormat="1" applyFont="1" applyFill="1" applyBorder="1" applyAlignment="1">
      <alignment horizontal="right"/>
    </xf>
    <xf numFmtId="0" fontId="1" fillId="0" borderId="49" xfId="0" applyFont="1" applyBorder="1"/>
    <xf numFmtId="3" fontId="1" fillId="0" borderId="45" xfId="0" applyNumberFormat="1" applyFont="1" applyBorder="1"/>
    <xf numFmtId="0" fontId="1" fillId="0" borderId="28" xfId="0" applyFont="1" applyBorder="1"/>
    <xf numFmtId="3" fontId="1" fillId="0" borderId="47" xfId="0" applyNumberFormat="1" applyFont="1" applyFill="1" applyBorder="1"/>
    <xf numFmtId="3" fontId="1" fillId="0" borderId="48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3" fontId="3" fillId="0" borderId="13" xfId="0" applyNumberFormat="1" applyFont="1" applyFill="1" applyBorder="1"/>
    <xf numFmtId="0" fontId="1" fillId="0" borderId="55" xfId="0" applyFont="1" applyBorder="1"/>
    <xf numFmtId="0" fontId="5" fillId="0" borderId="0" xfId="0" applyFont="1"/>
    <xf numFmtId="0" fontId="3" fillId="0" borderId="15" xfId="0" applyFont="1" applyBorder="1"/>
    <xf numFmtId="1" fontId="3" fillId="0" borderId="39" xfId="0" applyNumberFormat="1" applyFont="1" applyFill="1" applyBorder="1" applyAlignment="1">
      <alignment horizontal="left"/>
    </xf>
    <xf numFmtId="1" fontId="2" fillId="0" borderId="0" xfId="0" applyNumberFormat="1" applyFont="1"/>
    <xf numFmtId="0" fontId="3" fillId="0" borderId="0" xfId="0" applyFont="1" applyFill="1" applyBorder="1"/>
    <xf numFmtId="3" fontId="3" fillId="0" borderId="79" xfId="0" applyNumberFormat="1" applyFont="1" applyBorder="1"/>
    <xf numFmtId="3" fontId="3" fillId="0" borderId="79" xfId="0" applyNumberFormat="1" applyFont="1" applyFill="1" applyBorder="1"/>
    <xf numFmtId="0" fontId="3" fillId="0" borderId="39" xfId="0" applyFont="1" applyBorder="1"/>
    <xf numFmtId="0" fontId="1" fillId="2" borderId="61" xfId="0" applyFont="1" applyFill="1" applyBorder="1"/>
    <xf numFmtId="0" fontId="1" fillId="0" borderId="79" xfId="0" applyFont="1" applyBorder="1"/>
    <xf numFmtId="0" fontId="0" fillId="0" borderId="0" xfId="0" applyBorder="1"/>
    <xf numFmtId="1" fontId="1" fillId="0" borderId="19" xfId="0" applyNumberFormat="1" applyFont="1" applyFill="1" applyBorder="1" applyAlignment="1">
      <alignment horizontal="right"/>
    </xf>
    <xf numFmtId="1" fontId="3" fillId="0" borderId="81" xfId="0" applyNumberFormat="1" applyFont="1" applyBorder="1" applyAlignment="1">
      <alignment horizontal="right"/>
    </xf>
    <xf numFmtId="0" fontId="1" fillId="0" borderId="61" xfId="0" applyFont="1" applyFill="1" applyBorder="1"/>
    <xf numFmtId="3" fontId="3" fillId="0" borderId="77" xfId="0" applyNumberFormat="1" applyFont="1" applyFill="1" applyBorder="1"/>
    <xf numFmtId="0" fontId="3" fillId="0" borderId="75" xfId="0" applyFont="1" applyFill="1" applyBorder="1"/>
    <xf numFmtId="1" fontId="3" fillId="0" borderId="84" xfId="0" applyNumberFormat="1" applyFont="1" applyFill="1" applyBorder="1" applyAlignment="1">
      <alignment horizontal="right"/>
    </xf>
    <xf numFmtId="1" fontId="3" fillId="0" borderId="85" xfId="0" applyNumberFormat="1" applyFont="1" applyBorder="1" applyAlignment="1">
      <alignment horizontal="right"/>
    </xf>
    <xf numFmtId="1" fontId="1" fillId="0" borderId="42" xfId="0" applyNumberFormat="1" applyFont="1" applyBorder="1" applyAlignment="1">
      <alignment horizontal="right"/>
    </xf>
    <xf numFmtId="0" fontId="3" fillId="0" borderId="53" xfId="0" applyFont="1" applyFill="1" applyBorder="1" applyAlignment="1">
      <alignment horizontal="center"/>
    </xf>
    <xf numFmtId="10" fontId="6" fillId="0" borderId="86" xfId="2" applyFont="1" applyFill="1" applyBorder="1" applyAlignment="1">
      <alignment horizontal="right"/>
    </xf>
    <xf numFmtId="10" fontId="1" fillId="0" borderId="43" xfId="2" applyFont="1" applyBorder="1" applyAlignment="1">
      <alignment horizontal="right"/>
    </xf>
    <xf numFmtId="10" fontId="3" fillId="0" borderId="54" xfId="2" applyFont="1" applyFill="1" applyBorder="1" applyAlignment="1">
      <alignment horizontal="center"/>
    </xf>
    <xf numFmtId="10" fontId="3" fillId="0" borderId="26" xfId="2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right"/>
    </xf>
    <xf numFmtId="1" fontId="1" fillId="3" borderId="18" xfId="0" applyNumberFormat="1" applyFont="1" applyFill="1" applyBorder="1" applyAlignment="1">
      <alignment horizontal="right"/>
    </xf>
    <xf numFmtId="1" fontId="1" fillId="3" borderId="9" xfId="0" applyNumberFormat="1" applyFont="1" applyFill="1" applyBorder="1" applyAlignment="1">
      <alignment horizontal="right"/>
    </xf>
    <xf numFmtId="1" fontId="1" fillId="3" borderId="17" xfId="0" applyNumberFormat="1" applyFont="1" applyFill="1" applyBorder="1" applyAlignment="1">
      <alignment horizontal="right"/>
    </xf>
    <xf numFmtId="3" fontId="6" fillId="3" borderId="43" xfId="6" applyNumberFormat="1" applyFont="1" applyFill="1" applyBorder="1" applyAlignment="1">
      <alignment horizontal="right"/>
    </xf>
    <xf numFmtId="3" fontId="6" fillId="3" borderId="47" xfId="6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1" fontId="1" fillId="3" borderId="20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right"/>
    </xf>
    <xf numFmtId="0" fontId="1" fillId="2" borderId="48" xfId="0" applyFont="1" applyFill="1" applyBorder="1"/>
    <xf numFmtId="0" fontId="1" fillId="2" borderId="46" xfId="0" applyFont="1" applyFill="1" applyBorder="1"/>
    <xf numFmtId="3" fontId="1" fillId="2" borderId="47" xfId="1" applyNumberFormat="1" applyFont="1" applyFill="1" applyBorder="1" applyAlignment="1">
      <alignment horizontal="right"/>
    </xf>
    <xf numFmtId="0" fontId="3" fillId="2" borderId="75" xfId="0" applyFont="1" applyFill="1" applyBorder="1"/>
    <xf numFmtId="3" fontId="3" fillId="2" borderId="75" xfId="0" applyNumberFormat="1" applyFont="1" applyFill="1" applyBorder="1"/>
    <xf numFmtId="0" fontId="3" fillId="2" borderId="76" xfId="0" applyFont="1" applyFill="1" applyBorder="1"/>
    <xf numFmtId="3" fontId="3" fillId="2" borderId="77" xfId="0" applyNumberFormat="1" applyFont="1" applyFill="1" applyBorder="1"/>
    <xf numFmtId="1" fontId="1" fillId="2" borderId="11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0" fontId="7" fillId="0" borderId="27" xfId="0" applyFont="1" applyFill="1" applyBorder="1"/>
    <xf numFmtId="0" fontId="1" fillId="0" borderId="1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2" xfId="0" applyFont="1" applyFill="1" applyBorder="1"/>
    <xf numFmtId="1" fontId="1" fillId="4" borderId="92" xfId="0" applyNumberFormat="1" applyFont="1" applyFill="1" applyBorder="1"/>
    <xf numFmtId="1" fontId="1" fillId="4" borderId="90" xfId="0" applyNumberFormat="1" applyFont="1" applyFill="1" applyBorder="1" applyAlignment="1">
      <alignment horizontal="right"/>
    </xf>
    <xf numFmtId="1" fontId="1" fillId="4" borderId="91" xfId="0" applyNumberFormat="1" applyFont="1" applyFill="1" applyBorder="1" applyAlignment="1">
      <alignment horizontal="right"/>
    </xf>
    <xf numFmtId="1" fontId="1" fillId="0" borderId="91" xfId="0" applyNumberFormat="1" applyFont="1" applyFill="1" applyBorder="1" applyAlignment="1">
      <alignment horizontal="right"/>
    </xf>
    <xf numFmtId="1" fontId="1" fillId="0" borderId="69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3" fontId="1" fillId="0" borderId="52" xfId="1" applyNumberFormat="1" applyFont="1" applyFill="1" applyBorder="1" applyAlignment="1">
      <alignment horizontal="right"/>
    </xf>
    <xf numFmtId="3" fontId="1" fillId="0" borderId="51" xfId="1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3" fontId="1" fillId="2" borderId="51" xfId="1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right"/>
    </xf>
    <xf numFmtId="3" fontId="1" fillId="4" borderId="61" xfId="1" applyNumberFormat="1" applyFont="1" applyFill="1" applyBorder="1" applyAlignment="1">
      <alignment horizontal="right"/>
    </xf>
    <xf numFmtId="3" fontId="1" fillId="4" borderId="60" xfId="1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3" fontId="1" fillId="0" borderId="60" xfId="1" applyNumberFormat="1" applyFont="1" applyFill="1" applyBorder="1" applyAlignment="1">
      <alignment horizontal="right"/>
    </xf>
    <xf numFmtId="3" fontId="1" fillId="2" borderId="60" xfId="1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3" fontId="1" fillId="4" borderId="48" xfId="1" applyNumberFormat="1" applyFont="1" applyFill="1" applyBorder="1" applyAlignment="1">
      <alignment horizontal="right"/>
    </xf>
    <xf numFmtId="1" fontId="3" fillId="0" borderId="95" xfId="0" applyNumberFormat="1" applyFont="1" applyBorder="1" applyAlignment="1">
      <alignment horizontal="right"/>
    </xf>
    <xf numFmtId="0" fontId="7" fillId="0" borderId="27" xfId="0" applyFont="1" applyFill="1" applyBorder="1" applyAlignment="1">
      <alignment wrapText="1"/>
    </xf>
    <xf numFmtId="3" fontId="1" fillId="5" borderId="47" xfId="1" applyNumberFormat="1" applyFont="1" applyFill="1" applyBorder="1" applyAlignment="1">
      <alignment horizontal="right"/>
    </xf>
    <xf numFmtId="3" fontId="1" fillId="4" borderId="47" xfId="1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3" fontId="1" fillId="5" borderId="9" xfId="1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3" fontId="1" fillId="5" borderId="48" xfId="1" applyNumberFormat="1" applyFont="1" applyFill="1" applyBorder="1" applyAlignment="1">
      <alignment horizontal="right"/>
    </xf>
    <xf numFmtId="1" fontId="1" fillId="5" borderId="47" xfId="1" applyNumberFormat="1" applyFont="1" applyFill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1" fillId="0" borderId="96" xfId="0" applyFont="1" applyFill="1" applyBorder="1" applyAlignment="1">
      <alignment horizontal="right"/>
    </xf>
    <xf numFmtId="3" fontId="1" fillId="0" borderId="97" xfId="1" applyNumberFormat="1" applyFont="1" applyFill="1" applyBorder="1" applyAlignment="1">
      <alignment horizontal="right"/>
    </xf>
    <xf numFmtId="3" fontId="1" fillId="0" borderId="98" xfId="1" applyNumberFormat="1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27" xfId="0" applyFont="1" applyFill="1" applyBorder="1" applyAlignment="1">
      <alignment horizontal="left" wrapText="1"/>
    </xf>
    <xf numFmtId="1" fontId="1" fillId="0" borderId="27" xfId="0" applyNumberFormat="1" applyFont="1" applyFill="1" applyBorder="1" applyAlignment="1">
      <alignment horizontal="right" wrapText="1"/>
    </xf>
    <xf numFmtId="1" fontId="1" fillId="0" borderId="30" xfId="0" applyNumberFormat="1" applyFont="1" applyFill="1" applyBorder="1" applyAlignment="1">
      <alignment horizontal="right" wrapText="1"/>
    </xf>
    <xf numFmtId="1" fontId="3" fillId="0" borderId="84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right"/>
    </xf>
    <xf numFmtId="1" fontId="3" fillId="2" borderId="81" xfId="0" applyNumberFormat="1" applyFont="1" applyFill="1" applyBorder="1" applyAlignment="1">
      <alignment horizontal="right"/>
    </xf>
    <xf numFmtId="1" fontId="3" fillId="5" borderId="81" xfId="0" applyNumberFormat="1" applyFont="1" applyFill="1" applyBorder="1" applyAlignment="1">
      <alignment horizontal="right"/>
    </xf>
    <xf numFmtId="1" fontId="3" fillId="5" borderId="85" xfId="0" applyNumberFormat="1" applyFont="1" applyFill="1" applyBorder="1" applyAlignment="1">
      <alignment horizontal="right"/>
    </xf>
    <xf numFmtId="1" fontId="1" fillId="5" borderId="8" xfId="0" applyNumberFormat="1" applyFont="1" applyFill="1" applyBorder="1" applyAlignment="1">
      <alignment horizontal="right"/>
    </xf>
    <xf numFmtId="1" fontId="1" fillId="5" borderId="10" xfId="0" applyNumberFormat="1" applyFont="1" applyFill="1" applyBorder="1" applyAlignment="1">
      <alignment horizontal="right"/>
    </xf>
    <xf numFmtId="1" fontId="1" fillId="5" borderId="11" xfId="0" applyNumberFormat="1" applyFont="1" applyFill="1" applyBorder="1" applyAlignment="1">
      <alignment horizontal="right"/>
    </xf>
    <xf numFmtId="1" fontId="1" fillId="5" borderId="9" xfId="0" applyNumberFormat="1" applyFont="1" applyFill="1" applyBorder="1" applyAlignment="1">
      <alignment horizontal="right"/>
    </xf>
    <xf numFmtId="1" fontId="1" fillId="5" borderId="16" xfId="0" applyNumberFormat="1" applyFont="1" applyFill="1" applyBorder="1" applyAlignment="1">
      <alignment horizontal="right"/>
    </xf>
    <xf numFmtId="1" fontId="1" fillId="5" borderId="18" xfId="0" applyNumberFormat="1" applyFont="1" applyFill="1" applyBorder="1" applyAlignment="1">
      <alignment horizontal="right"/>
    </xf>
    <xf numFmtId="1" fontId="1" fillId="5" borderId="19" xfId="0" applyNumberFormat="1" applyFont="1" applyFill="1" applyBorder="1" applyAlignment="1">
      <alignment horizontal="right"/>
    </xf>
    <xf numFmtId="1" fontId="1" fillId="5" borderId="17" xfId="0" applyNumberFormat="1" applyFont="1" applyFill="1" applyBorder="1" applyAlignment="1">
      <alignment horizontal="right"/>
    </xf>
    <xf numFmtId="1" fontId="1" fillId="5" borderId="12" xfId="0" applyNumberFormat="1" applyFont="1" applyFill="1" applyBorder="1" applyAlignment="1">
      <alignment horizontal="right"/>
    </xf>
    <xf numFmtId="1" fontId="1" fillId="5" borderId="20" xfId="0" applyNumberFormat="1" applyFont="1" applyFill="1" applyBorder="1" applyAlignment="1">
      <alignment horizontal="right"/>
    </xf>
    <xf numFmtId="3" fontId="1" fillId="2" borderId="12" xfId="1" applyNumberFormat="1" applyFont="1" applyFill="1" applyBorder="1" applyAlignment="1">
      <alignment horizontal="right"/>
    </xf>
    <xf numFmtId="1" fontId="3" fillId="2" borderId="95" xfId="0" applyNumberFormat="1" applyFont="1" applyFill="1" applyBorder="1" applyAlignment="1">
      <alignment horizontal="right"/>
    </xf>
    <xf numFmtId="1" fontId="1" fillId="0" borderId="55" xfId="0" applyNumberFormat="1" applyFont="1" applyBorder="1"/>
    <xf numFmtId="1" fontId="1" fillId="0" borderId="45" xfId="0" applyNumberFormat="1" applyFont="1" applyFill="1" applyBorder="1"/>
    <xf numFmtId="10" fontId="3" fillId="0" borderId="53" xfId="2" applyFont="1" applyFill="1" applyBorder="1" applyAlignment="1">
      <alignment horizontal="center"/>
    </xf>
    <xf numFmtId="10" fontId="0" fillId="0" borderId="0" xfId="2" applyFont="1"/>
    <xf numFmtId="10" fontId="3" fillId="0" borderId="13" xfId="2" applyFont="1" applyBorder="1" applyAlignment="1">
      <alignment horizontal="center"/>
    </xf>
    <xf numFmtId="1" fontId="1" fillId="0" borderId="37" xfId="0" applyNumberFormat="1" applyFont="1" applyBorder="1"/>
    <xf numFmtId="1" fontId="1" fillId="0" borderId="38" xfId="0" applyNumberFormat="1" applyFont="1" applyFill="1" applyBorder="1"/>
    <xf numFmtId="0" fontId="0" fillId="2" borderId="0" xfId="0" applyFill="1"/>
    <xf numFmtId="0" fontId="3" fillId="2" borderId="15" xfId="0" applyFont="1" applyFill="1" applyBorder="1" applyAlignment="1">
      <alignment horizontal="left"/>
    </xf>
    <xf numFmtId="3" fontId="3" fillId="2" borderId="71" xfId="1" applyNumberFormat="1" applyFont="1" applyFill="1" applyBorder="1" applyAlignment="1">
      <alignment horizontal="center"/>
    </xf>
    <xf numFmtId="164" fontId="3" fillId="2" borderId="72" xfId="2" applyNumberFormat="1" applyFont="1" applyFill="1" applyBorder="1" applyAlignment="1">
      <alignment horizontal="center"/>
    </xf>
    <xf numFmtId="164" fontId="3" fillId="2" borderId="82" xfId="2" applyNumberFormat="1" applyFont="1" applyFill="1" applyBorder="1" applyAlignment="1">
      <alignment horizontal="center"/>
    </xf>
    <xf numFmtId="0" fontId="2" fillId="2" borderId="0" xfId="0" applyFont="1" applyFill="1"/>
    <xf numFmtId="164" fontId="3" fillId="2" borderId="14" xfId="2" applyNumberFormat="1" applyFont="1" applyFill="1" applyBorder="1" applyAlignment="1">
      <alignment horizontal="center"/>
    </xf>
    <xf numFmtId="1" fontId="1" fillId="2" borderId="24" xfId="2" applyNumberFormat="1" applyFont="1" applyFill="1" applyBorder="1" applyAlignment="1">
      <alignment horizontal="center"/>
    </xf>
    <xf numFmtId="10" fontId="1" fillId="2" borderId="23" xfId="2" applyFont="1" applyFill="1" applyBorder="1" applyAlignment="1">
      <alignment horizontal="center"/>
    </xf>
    <xf numFmtId="1" fontId="1" fillId="2" borderId="67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" fontId="1" fillId="2" borderId="35" xfId="2" applyNumberFormat="1" applyFont="1" applyFill="1" applyBorder="1" applyAlignment="1">
      <alignment horizontal="center"/>
    </xf>
    <xf numFmtId="10" fontId="1" fillId="2" borderId="33" xfId="2" applyFont="1" applyFill="1" applyBorder="1" applyAlignment="1">
      <alignment horizontal="center"/>
    </xf>
    <xf numFmtId="10" fontId="1" fillId="2" borderId="36" xfId="2" applyFont="1" applyFill="1" applyBorder="1" applyAlignment="1">
      <alignment horizontal="center"/>
    </xf>
    <xf numFmtId="1" fontId="1" fillId="2" borderId="80" xfId="0" applyNumberFormat="1" applyFont="1" applyFill="1" applyBorder="1" applyAlignment="1">
      <alignment horizontal="center"/>
    </xf>
    <xf numFmtId="165" fontId="1" fillId="2" borderId="36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3" fillId="2" borderId="39" xfId="3" applyFont="1" applyFill="1" applyBorder="1"/>
    <xf numFmtId="0" fontId="0" fillId="2" borderId="13" xfId="0" applyFill="1" applyBorder="1" applyAlignment="1">
      <alignment horizontal="center"/>
    </xf>
    <xf numFmtId="164" fontId="1" fillId="2" borderId="53" xfId="4" applyNumberFormat="1" applyFont="1" applyFill="1" applyBorder="1"/>
    <xf numFmtId="164" fontId="1" fillId="2" borderId="54" xfId="4" applyNumberFormat="1" applyFont="1" applyFill="1" applyBorder="1"/>
    <xf numFmtId="164" fontId="1" fillId="2" borderId="42" xfId="4" applyNumberFormat="1" applyFont="1" applyFill="1" applyBorder="1"/>
    <xf numFmtId="164" fontId="1" fillId="2" borderId="43" xfId="4" applyNumberFormat="1" applyFont="1" applyFill="1" applyBorder="1"/>
    <xf numFmtId="164" fontId="1" fillId="2" borderId="44" xfId="4" applyNumberFormat="1" applyFont="1" applyFill="1" applyBorder="1"/>
    <xf numFmtId="164" fontId="1" fillId="2" borderId="45" xfId="4" applyNumberFormat="1" applyFont="1" applyFill="1" applyBorder="1"/>
    <xf numFmtId="164" fontId="1" fillId="2" borderId="13" xfId="3" applyNumberFormat="1" applyFont="1" applyFill="1" applyBorder="1"/>
    <xf numFmtId="1" fontId="1" fillId="2" borderId="49" xfId="0" applyNumberFormat="1" applyFont="1" applyFill="1" applyBorder="1"/>
    <xf numFmtId="164" fontId="1" fillId="2" borderId="45" xfId="0" applyNumberFormat="1" applyFont="1" applyFill="1" applyBorder="1"/>
    <xf numFmtId="164" fontId="1" fillId="2" borderId="46" xfId="4" applyNumberFormat="1" applyFont="1" applyFill="1" applyBorder="1"/>
    <xf numFmtId="164" fontId="1" fillId="2" borderId="47" xfId="4" applyNumberFormat="1" applyFont="1" applyFill="1" applyBorder="1"/>
    <xf numFmtId="164" fontId="1" fillId="2" borderId="48" xfId="4" applyNumberFormat="1" applyFont="1" applyFill="1" applyBorder="1"/>
    <xf numFmtId="164" fontId="1" fillId="2" borderId="29" xfId="4" applyNumberFormat="1" applyFont="1" applyFill="1" applyBorder="1"/>
    <xf numFmtId="1" fontId="1" fillId="2" borderId="55" xfId="0" applyNumberFormat="1" applyFont="1" applyFill="1" applyBorder="1"/>
    <xf numFmtId="164" fontId="1" fillId="2" borderId="56" xfId="0" applyNumberFormat="1" applyFont="1" applyFill="1" applyBorder="1"/>
    <xf numFmtId="0" fontId="1" fillId="2" borderId="0" xfId="0" applyFont="1" applyFill="1"/>
    <xf numFmtId="0" fontId="1" fillId="2" borderId="27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164" fontId="1" fillId="2" borderId="10" xfId="2" applyNumberFormat="1" applyFont="1" applyFill="1" applyBorder="1" applyAlignment="1">
      <alignment horizontal="right"/>
    </xf>
    <xf numFmtId="164" fontId="1" fillId="2" borderId="9" xfId="2" applyNumberFormat="1" applyFont="1" applyFill="1" applyBorder="1" applyAlignment="1">
      <alignment horizontal="right"/>
    </xf>
    <xf numFmtId="0" fontId="1" fillId="2" borderId="48" xfId="0" applyFont="1" applyFill="1" applyBorder="1" applyAlignment="1">
      <alignment horizontal="right"/>
    </xf>
    <xf numFmtId="164" fontId="1" fillId="2" borderId="12" xfId="2" applyNumberFormat="1" applyFont="1" applyFill="1" applyBorder="1" applyAlignment="1">
      <alignment horizontal="right"/>
    </xf>
    <xf numFmtId="0" fontId="1" fillId="2" borderId="57" xfId="0" applyFont="1" applyFill="1" applyBorder="1"/>
    <xf numFmtId="164" fontId="1" fillId="2" borderId="12" xfId="0" applyNumberFormat="1" applyFont="1" applyFill="1" applyBorder="1"/>
    <xf numFmtId="0" fontId="1" fillId="2" borderId="30" xfId="0" applyFont="1" applyFill="1" applyBorder="1" applyAlignment="1">
      <alignment horizontal="right"/>
    </xf>
    <xf numFmtId="0" fontId="1" fillId="2" borderId="59" xfId="0" applyFont="1" applyFill="1" applyBorder="1" applyAlignment="1">
      <alignment horizontal="right"/>
    </xf>
    <xf numFmtId="0" fontId="1" fillId="2" borderId="61" xfId="0" applyFont="1" applyFill="1" applyBorder="1" applyAlignment="1">
      <alignment horizontal="right"/>
    </xf>
    <xf numFmtId="3" fontId="1" fillId="2" borderId="46" xfId="1" applyNumberFormat="1" applyFont="1" applyFill="1" applyBorder="1" applyAlignment="1">
      <alignment horizontal="right"/>
    </xf>
    <xf numFmtId="3" fontId="1" fillId="2" borderId="48" xfId="1" applyNumberFormat="1" applyFont="1" applyFill="1" applyBorder="1" applyAlignment="1">
      <alignment horizontal="right"/>
    </xf>
    <xf numFmtId="3" fontId="1" fillId="2" borderId="11" xfId="1" applyNumberFormat="1" applyFont="1" applyFill="1" applyBorder="1" applyAlignment="1">
      <alignment horizontal="right"/>
    </xf>
    <xf numFmtId="3" fontId="1" fillId="2" borderId="8" xfId="1" applyNumberFormat="1" applyFont="1" applyFill="1" applyBorder="1" applyAlignment="1">
      <alignment horizontal="right"/>
    </xf>
    <xf numFmtId="0" fontId="1" fillId="2" borderId="68" xfId="0" applyFont="1" applyFill="1" applyBorder="1" applyAlignment="1">
      <alignment horizontal="right"/>
    </xf>
    <xf numFmtId="3" fontId="1" fillId="2" borderId="35" xfId="1" applyNumberFormat="1" applyFont="1" applyFill="1" applyBorder="1" applyAlignment="1">
      <alignment horizontal="right"/>
    </xf>
    <xf numFmtId="164" fontId="1" fillId="2" borderId="34" xfId="2" applyNumberFormat="1" applyFont="1" applyFill="1" applyBorder="1" applyAlignment="1">
      <alignment horizontal="right"/>
    </xf>
    <xf numFmtId="164" fontId="1" fillId="2" borderId="33" xfId="2" applyNumberFormat="1" applyFont="1" applyFill="1" applyBorder="1" applyAlignment="1">
      <alignment horizontal="right"/>
    </xf>
    <xf numFmtId="3" fontId="1" fillId="2" borderId="32" xfId="1" applyNumberFormat="1" applyFont="1" applyFill="1" applyBorder="1" applyAlignment="1">
      <alignment horizontal="right"/>
    </xf>
    <xf numFmtId="164" fontId="1" fillId="2" borderId="36" xfId="2" applyNumberFormat="1" applyFont="1" applyFill="1" applyBorder="1" applyAlignment="1">
      <alignment horizontal="right"/>
    </xf>
    <xf numFmtId="164" fontId="1" fillId="2" borderId="36" xfId="0" applyNumberFormat="1" applyFont="1" applyFill="1" applyBorder="1"/>
    <xf numFmtId="10" fontId="1" fillId="0" borderId="42" xfId="2" applyFont="1" applyBorder="1" applyAlignment="1">
      <alignment horizontal="right"/>
    </xf>
    <xf numFmtId="10" fontId="1" fillId="0" borderId="42" xfId="2" applyFont="1" applyFill="1" applyBorder="1" applyAlignment="1">
      <alignment horizontal="center"/>
    </xf>
    <xf numFmtId="1" fontId="1" fillId="2" borderId="0" xfId="2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left"/>
    </xf>
    <xf numFmtId="0" fontId="3" fillId="2" borderId="53" xfId="0" applyFont="1" applyFill="1" applyBorder="1" applyAlignment="1">
      <alignment horizontal="center"/>
    </xf>
    <xf numFmtId="10" fontId="3" fillId="2" borderId="54" xfId="2" applyFont="1" applyFill="1" applyBorder="1" applyAlignment="1">
      <alignment horizontal="center"/>
    </xf>
    <xf numFmtId="10" fontId="3" fillId="2" borderId="53" xfId="2" applyFont="1" applyFill="1" applyBorder="1" applyAlignment="1">
      <alignment horizontal="center"/>
    </xf>
    <xf numFmtId="10" fontId="3" fillId="2" borderId="26" xfId="2" applyFont="1" applyFill="1" applyBorder="1" applyAlignment="1">
      <alignment horizontal="center"/>
    </xf>
    <xf numFmtId="10" fontId="0" fillId="2" borderId="0" xfId="2" applyFont="1" applyFill="1"/>
    <xf numFmtId="10" fontId="1" fillId="2" borderId="12" xfId="2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0" fontId="1" fillId="2" borderId="44" xfId="2" applyFont="1" applyFill="1" applyBorder="1" applyAlignment="1">
      <alignment horizontal="right"/>
    </xf>
    <xf numFmtId="10" fontId="1" fillId="2" borderId="42" xfId="2" applyFont="1" applyFill="1" applyBorder="1" applyAlignment="1">
      <alignment horizontal="right"/>
    </xf>
    <xf numFmtId="10" fontId="3" fillId="2" borderId="42" xfId="2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right"/>
    </xf>
    <xf numFmtId="10" fontId="1" fillId="2" borderId="43" xfId="2" applyFont="1" applyFill="1" applyBorder="1" applyAlignment="1">
      <alignment horizontal="right"/>
    </xf>
    <xf numFmtId="1" fontId="1" fillId="2" borderId="46" xfId="0" applyNumberFormat="1" applyFont="1" applyFill="1" applyBorder="1" applyAlignment="1">
      <alignment horizontal="right"/>
    </xf>
    <xf numFmtId="10" fontId="1" fillId="2" borderId="46" xfId="2" applyFont="1" applyFill="1" applyBorder="1" applyAlignment="1">
      <alignment horizontal="right"/>
    </xf>
    <xf numFmtId="10" fontId="1" fillId="2" borderId="47" xfId="2" applyFont="1" applyFill="1" applyBorder="1" applyAlignment="1">
      <alignment horizontal="right"/>
    </xf>
    <xf numFmtId="0" fontId="1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101" xfId="0" applyFont="1" applyFill="1" applyBorder="1" applyAlignment="1">
      <alignment horizontal="right"/>
    </xf>
    <xf numFmtId="0" fontId="1" fillId="2" borderId="107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0" fontId="3" fillId="2" borderId="39" xfId="0" applyFont="1" applyFill="1" applyBorder="1"/>
    <xf numFmtId="0" fontId="1" fillId="2" borderId="49" xfId="0" applyFont="1" applyFill="1" applyBorder="1"/>
    <xf numFmtId="0" fontId="1" fillId="2" borderId="28" xfId="0" applyFont="1" applyFill="1" applyBorder="1"/>
    <xf numFmtId="0" fontId="1" fillId="2" borderId="5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3" fontId="3" fillId="2" borderId="79" xfId="0" applyNumberFormat="1" applyFont="1" applyFill="1" applyBorder="1"/>
    <xf numFmtId="0" fontId="0" fillId="2" borderId="0" xfId="0" applyFill="1" applyBorder="1"/>
    <xf numFmtId="0" fontId="1" fillId="2" borderId="79" xfId="0" applyFont="1" applyFill="1" applyBorder="1"/>
    <xf numFmtId="3" fontId="1" fillId="2" borderId="48" xfId="0" applyNumberFormat="1" applyFont="1" applyFill="1" applyBorder="1"/>
    <xf numFmtId="3" fontId="1" fillId="2" borderId="29" xfId="0" applyNumberFormat="1" applyFont="1" applyFill="1" applyBorder="1"/>
    <xf numFmtId="1" fontId="3" fillId="0" borderId="100" xfId="0" applyNumberFormat="1" applyFont="1" applyBorder="1"/>
    <xf numFmtId="1" fontId="3" fillId="0" borderId="82" xfId="0" applyNumberFormat="1" applyFont="1" applyFill="1" applyBorder="1"/>
    <xf numFmtId="1" fontId="1" fillId="5" borderId="29" xfId="0" applyNumberFormat="1" applyFont="1" applyFill="1" applyBorder="1"/>
    <xf numFmtId="1" fontId="1" fillId="5" borderId="56" xfId="0" applyNumberFormat="1" applyFont="1" applyFill="1" applyBorder="1"/>
    <xf numFmtId="0" fontId="1" fillId="2" borderId="73" xfId="0" applyFont="1" applyFill="1" applyBorder="1"/>
    <xf numFmtId="3" fontId="1" fillId="2" borderId="98" xfId="1" applyNumberFormat="1" applyFont="1" applyFill="1" applyBorder="1" applyAlignment="1">
      <alignment horizontal="right"/>
    </xf>
    <xf numFmtId="1" fontId="3" fillId="2" borderId="39" xfId="0" applyNumberFormat="1" applyFont="1" applyFill="1" applyBorder="1" applyAlignment="1">
      <alignment horizontal="left" wrapText="1"/>
    </xf>
    <xf numFmtId="9" fontId="5" fillId="2" borderId="104" xfId="2" applyNumberFormat="1" applyFill="1" applyBorder="1" applyAlignment="1">
      <alignment horizontal="right"/>
    </xf>
    <xf numFmtId="9" fontId="5" fillId="2" borderId="105" xfId="2" applyNumberFormat="1" applyFill="1" applyBorder="1" applyAlignment="1">
      <alignment horizontal="right"/>
    </xf>
    <xf numFmtId="0" fontId="3" fillId="2" borderId="39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0" fontId="1" fillId="2" borderId="102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3" fillId="2" borderId="39" xfId="0" applyFont="1" applyFill="1" applyBorder="1" applyAlignment="1">
      <alignment wrapText="1"/>
    </xf>
    <xf numFmtId="3" fontId="1" fillId="0" borderId="14" xfId="0" applyNumberFormat="1" applyFont="1" applyBorder="1"/>
    <xf numFmtId="0" fontId="1" fillId="0" borderId="73" xfId="0" applyFont="1" applyBorder="1"/>
    <xf numFmtId="3" fontId="3" fillId="0" borderId="78" xfId="0" applyNumberFormat="1" applyFont="1" applyBorder="1"/>
    <xf numFmtId="10" fontId="1" fillId="2" borderId="28" xfId="2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0" fontId="3" fillId="2" borderId="109" xfId="2" applyFont="1" applyFill="1" applyBorder="1" applyAlignment="1">
      <alignment horizontal="center"/>
    </xf>
    <xf numFmtId="10" fontId="3" fillId="2" borderId="28" xfId="2" applyFont="1" applyFill="1" applyBorder="1" applyAlignment="1">
      <alignment horizontal="center"/>
    </xf>
    <xf numFmtId="10" fontId="5" fillId="2" borderId="47" xfId="2" applyFill="1" applyBorder="1" applyAlignment="1">
      <alignment horizontal="right"/>
    </xf>
    <xf numFmtId="9" fontId="5" fillId="2" borderId="47" xfId="2" applyNumberFormat="1" applyFill="1" applyBorder="1" applyAlignment="1">
      <alignment horizontal="right"/>
    </xf>
    <xf numFmtId="10" fontId="1" fillId="0" borderId="43" xfId="2" applyFont="1" applyFill="1" applyBorder="1" applyAlignment="1">
      <alignment horizontal="right"/>
    </xf>
    <xf numFmtId="0" fontId="3" fillId="2" borderId="109" xfId="0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3" fontId="3" fillId="2" borderId="37" xfId="1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0" fontId="3" fillId="2" borderId="110" xfId="0" applyFont="1" applyFill="1" applyBorder="1" applyAlignment="1">
      <alignment horizontal="center"/>
    </xf>
    <xf numFmtId="3" fontId="3" fillId="2" borderId="80" xfId="1" applyNumberFormat="1" applyFont="1" applyFill="1" applyBorder="1" applyAlignment="1">
      <alignment horizontal="center"/>
    </xf>
    <xf numFmtId="10" fontId="3" fillId="2" borderId="110" xfId="2" applyFont="1" applyFill="1" applyBorder="1" applyAlignment="1">
      <alignment horizontal="center"/>
    </xf>
    <xf numFmtId="3" fontId="3" fillId="2" borderId="67" xfId="1" applyNumberFormat="1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right"/>
    </xf>
    <xf numFmtId="1" fontId="1" fillId="0" borderId="50" xfId="0" applyNumberFormat="1" applyFont="1" applyBorder="1" applyAlignment="1">
      <alignment horizontal="right"/>
    </xf>
    <xf numFmtId="10" fontId="1" fillId="0" borderId="51" xfId="2" applyFont="1" applyBorder="1" applyAlignment="1">
      <alignment horizontal="right"/>
    </xf>
    <xf numFmtId="10" fontId="6" fillId="0" borderId="111" xfId="2" applyFont="1" applyFill="1" applyBorder="1" applyAlignment="1">
      <alignment horizontal="right"/>
    </xf>
    <xf numFmtId="1" fontId="1" fillId="2" borderId="87" xfId="2" applyNumberFormat="1" applyFont="1" applyFill="1" applyBorder="1" applyAlignment="1">
      <alignment horizontal="center"/>
    </xf>
    <xf numFmtId="10" fontId="1" fillId="2" borderId="88" xfId="2" applyFont="1" applyFill="1" applyBorder="1" applyAlignment="1">
      <alignment horizontal="center"/>
    </xf>
    <xf numFmtId="10" fontId="1" fillId="2" borderId="50" xfId="2" applyFont="1" applyFill="1" applyBorder="1" applyAlignment="1">
      <alignment horizontal="right"/>
    </xf>
    <xf numFmtId="10" fontId="1" fillId="2" borderId="51" xfId="2" applyFont="1" applyFill="1" applyBorder="1" applyAlignment="1">
      <alignment horizontal="right"/>
    </xf>
    <xf numFmtId="10" fontId="1" fillId="0" borderId="50" xfId="2" applyFont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11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right"/>
    </xf>
    <xf numFmtId="0" fontId="1" fillId="0" borderId="9" xfId="0" applyFont="1" applyFill="1" applyBorder="1"/>
    <xf numFmtId="3" fontId="1" fillId="0" borderId="1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1" fillId="0" borderId="9" xfId="1" applyNumberFormat="1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98" xfId="1" applyNumberFormat="1" applyFont="1" applyBorder="1" applyAlignment="1">
      <alignment horizontal="center"/>
    </xf>
    <xf numFmtId="0" fontId="1" fillId="0" borderId="35" xfId="0" applyFont="1" applyFill="1" applyBorder="1"/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51" xfId="0" applyFont="1" applyFill="1" applyBorder="1" applyAlignment="1">
      <alignment horizontal="center"/>
    </xf>
    <xf numFmtId="1" fontId="1" fillId="0" borderId="118" xfId="0" applyNumberFormat="1" applyFont="1" applyBorder="1"/>
    <xf numFmtId="1" fontId="1" fillId="0" borderId="45" xfId="0" applyNumberFormat="1" applyFont="1" applyBorder="1"/>
    <xf numFmtId="1" fontId="1" fillId="0" borderId="67" xfId="0" applyNumberFormat="1" applyFont="1" applyBorder="1"/>
    <xf numFmtId="1" fontId="1" fillId="0" borderId="29" xfId="0" applyNumberFormat="1" applyFont="1" applyBorder="1"/>
    <xf numFmtId="1" fontId="1" fillId="0" borderId="29" xfId="0" applyNumberFormat="1" applyFont="1" applyBorder="1" applyAlignment="1">
      <alignment horizontal="center"/>
    </xf>
    <xf numFmtId="1" fontId="1" fillId="0" borderId="116" xfId="0" applyNumberFormat="1" applyFont="1" applyBorder="1"/>
    <xf numFmtId="0" fontId="1" fillId="0" borderId="53" xfId="0" applyFont="1" applyFill="1" applyBorder="1"/>
    <xf numFmtId="0" fontId="1" fillId="0" borderId="121" xfId="0" applyFont="1" applyFill="1" applyBorder="1"/>
    <xf numFmtId="0" fontId="1" fillId="0" borderId="54" xfId="0" applyFont="1" applyFill="1" applyBorder="1"/>
    <xf numFmtId="0" fontId="1" fillId="0" borderId="122" xfId="0" applyFont="1" applyBorder="1"/>
    <xf numFmtId="0" fontId="1" fillId="0" borderId="117" xfId="0" applyFont="1" applyBorder="1"/>
    <xf numFmtId="0" fontId="1" fillId="0" borderId="28" xfId="0" applyFont="1" applyFill="1" applyBorder="1"/>
    <xf numFmtId="0" fontId="0" fillId="0" borderId="0" xfId="0" applyBorder="1" applyAlignment="1">
      <alignment horizontal="center"/>
    </xf>
    <xf numFmtId="164" fontId="1" fillId="0" borderId="54" xfId="4" applyNumberFormat="1" applyFont="1" applyBorder="1"/>
    <xf numFmtId="164" fontId="1" fillId="0" borderId="42" xfId="4" applyNumberFormat="1" applyFont="1" applyBorder="1"/>
    <xf numFmtId="164" fontId="1" fillId="0" borderId="43" xfId="4" applyNumberFormat="1" applyFont="1" applyFill="1" applyBorder="1"/>
    <xf numFmtId="164" fontId="1" fillId="0" borderId="44" xfId="4" applyNumberFormat="1" applyFont="1" applyBorder="1"/>
    <xf numFmtId="164" fontId="1" fillId="0" borderId="0" xfId="3" applyNumberFormat="1" applyFont="1" applyBorder="1"/>
    <xf numFmtId="164" fontId="1" fillId="0" borderId="49" xfId="4" applyNumberFormat="1" applyFont="1" applyFill="1" applyBorder="1"/>
    <xf numFmtId="164" fontId="1" fillId="0" borderId="45" xfId="3" applyNumberFormat="1" applyFont="1" applyBorder="1"/>
    <xf numFmtId="164" fontId="1" fillId="0" borderId="46" xfId="4" applyNumberFormat="1" applyFont="1" applyBorder="1"/>
    <xf numFmtId="164" fontId="1" fillId="0" borderId="47" xfId="4" applyNumberFormat="1" applyFont="1" applyBorder="1"/>
    <xf numFmtId="164" fontId="1" fillId="0" borderId="47" xfId="4" applyNumberFormat="1" applyFont="1" applyFill="1" applyBorder="1"/>
    <xf numFmtId="164" fontId="1" fillId="0" borderId="48" xfId="4" applyNumberFormat="1" applyFont="1" applyBorder="1"/>
    <xf numFmtId="164" fontId="1" fillId="0" borderId="28" xfId="4" applyNumberFormat="1" applyFont="1" applyFill="1" applyBorder="1"/>
    <xf numFmtId="164" fontId="1" fillId="0" borderId="29" xfId="3" applyNumberFormat="1" applyFont="1" applyBorder="1"/>
    <xf numFmtId="164" fontId="1" fillId="0" borderId="50" xfId="4" applyNumberFormat="1" applyFont="1" applyBorder="1"/>
    <xf numFmtId="164" fontId="1" fillId="0" borderId="51" xfId="4" applyNumberFormat="1" applyFont="1" applyBorder="1"/>
    <xf numFmtId="164" fontId="1" fillId="0" borderId="52" xfId="4" applyNumberFormat="1" applyFont="1" applyBorder="1"/>
    <xf numFmtId="164" fontId="1" fillId="0" borderId="37" xfId="4" applyNumberFormat="1" applyFont="1" applyFill="1" applyBorder="1"/>
    <xf numFmtId="164" fontId="1" fillId="0" borderId="38" xfId="3" applyNumberFormat="1" applyFont="1" applyBorder="1"/>
    <xf numFmtId="0" fontId="1" fillId="0" borderId="48" xfId="0" applyFont="1" applyFill="1" applyBorder="1" applyAlignment="1">
      <alignment horizontal="right"/>
    </xf>
    <xf numFmtId="164" fontId="1" fillId="0" borderId="10" xfId="2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164" fontId="1" fillId="0" borderId="9" xfId="2" applyNumberFormat="1" applyFont="1" applyFill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3" fontId="1" fillId="0" borderId="46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0" borderId="11" xfId="1" applyNumberFormat="1" applyFont="1" applyFill="1" applyBorder="1" applyAlignment="1">
      <alignment horizontal="right"/>
    </xf>
    <xf numFmtId="3" fontId="1" fillId="0" borderId="32" xfId="1" applyNumberFormat="1" applyFont="1" applyFill="1" applyBorder="1" applyAlignment="1">
      <alignment horizontal="right"/>
    </xf>
    <xf numFmtId="164" fontId="1" fillId="0" borderId="34" xfId="2" applyNumberFormat="1" applyFont="1" applyFill="1" applyBorder="1" applyAlignment="1">
      <alignment horizontal="right"/>
    </xf>
    <xf numFmtId="3" fontId="1" fillId="0" borderId="35" xfId="1" applyNumberFormat="1" applyFont="1" applyFill="1" applyBorder="1" applyAlignment="1">
      <alignment horizontal="right"/>
    </xf>
    <xf numFmtId="164" fontId="1" fillId="0" borderId="33" xfId="2" applyNumberFormat="1" applyFont="1" applyFill="1" applyBorder="1" applyAlignment="1">
      <alignment horizontal="right"/>
    </xf>
    <xf numFmtId="164" fontId="1" fillId="0" borderId="12" xfId="2" applyNumberFormat="1" applyFont="1" applyFill="1" applyBorder="1" applyAlignment="1">
      <alignment horizontal="right"/>
    </xf>
    <xf numFmtId="0" fontId="1" fillId="0" borderId="26" xfId="0" applyFont="1" applyFill="1" applyBorder="1"/>
    <xf numFmtId="164" fontId="1" fillId="0" borderId="45" xfId="4" applyNumberFormat="1" applyFont="1" applyFill="1" applyBorder="1"/>
    <xf numFmtId="164" fontId="1" fillId="0" borderId="29" xfId="4" applyNumberFormat="1" applyFont="1" applyFill="1" applyBorder="1"/>
    <xf numFmtId="164" fontId="1" fillId="0" borderId="38" xfId="4" applyNumberFormat="1" applyFont="1" applyBorder="1"/>
    <xf numFmtId="0" fontId="1" fillId="0" borderId="12" xfId="0" applyFont="1" applyBorder="1"/>
    <xf numFmtId="1" fontId="1" fillId="0" borderId="35" xfId="0" applyNumberFormat="1" applyFont="1" applyFill="1" applyBorder="1"/>
    <xf numFmtId="1" fontId="1" fillId="0" borderId="34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/>
    </xf>
    <xf numFmtId="1" fontId="1" fillId="0" borderId="32" xfId="0" applyNumberFormat="1" applyFont="1" applyFill="1" applyBorder="1"/>
    <xf numFmtId="1" fontId="1" fillId="2" borderId="9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0" borderId="16" xfId="0" applyFont="1" applyBorder="1"/>
    <xf numFmtId="0" fontId="3" fillId="0" borderId="85" xfId="0" applyFont="1" applyBorder="1"/>
    <xf numFmtId="0" fontId="3" fillId="0" borderId="81" xfId="0" applyFont="1" applyBorder="1"/>
    <xf numFmtId="1" fontId="3" fillId="0" borderId="128" xfId="0" applyNumberFormat="1" applyFont="1" applyBorder="1"/>
    <xf numFmtId="1" fontId="3" fillId="0" borderId="82" xfId="0" applyNumberFormat="1" applyFont="1" applyBorder="1"/>
    <xf numFmtId="0" fontId="3" fillId="2" borderId="126" xfId="0" applyFont="1" applyFill="1" applyBorder="1"/>
    <xf numFmtId="10" fontId="1" fillId="0" borderId="46" xfId="2" applyFont="1" applyBorder="1" applyAlignment="1">
      <alignment horizontal="right"/>
    </xf>
    <xf numFmtId="10" fontId="1" fillId="0" borderId="47" xfId="2" applyFont="1" applyBorder="1" applyAlignment="1">
      <alignment horizontal="right"/>
    </xf>
    <xf numFmtId="10" fontId="1" fillId="0" borderId="116" xfId="2" applyFont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165" fontId="1" fillId="2" borderId="78" xfId="0" applyNumberFormat="1" applyFont="1" applyFill="1" applyBorder="1" applyAlignment="1">
      <alignment horizontal="center"/>
    </xf>
    <xf numFmtId="1" fontId="1" fillId="0" borderId="110" xfId="0" applyNumberFormat="1" applyFont="1" applyBorder="1"/>
    <xf numFmtId="1" fontId="1" fillId="0" borderId="26" xfId="0" applyNumberFormat="1" applyFont="1" applyBorder="1"/>
    <xf numFmtId="1" fontId="1" fillId="0" borderId="38" xfId="0" applyNumberFormat="1" applyFont="1" applyBorder="1" applyAlignment="1">
      <alignment horizontal="center"/>
    </xf>
    <xf numFmtId="1" fontId="1" fillId="0" borderId="80" xfId="0" applyNumberFormat="1" applyFont="1" applyBorder="1"/>
    <xf numFmtId="3" fontId="1" fillId="0" borderId="61" xfId="0" applyNumberFormat="1" applyFont="1" applyFill="1" applyBorder="1"/>
    <xf numFmtId="3" fontId="1" fillId="0" borderId="60" xfId="0" applyNumberFormat="1" applyFont="1" applyFill="1" applyBorder="1"/>
    <xf numFmtId="3" fontId="1" fillId="0" borderId="111" xfId="1" applyNumberFormat="1" applyFont="1" applyFill="1" applyBorder="1" applyAlignment="1">
      <alignment horizontal="right"/>
    </xf>
    <xf numFmtId="164" fontId="1" fillId="0" borderId="36" xfId="2" applyNumberFormat="1" applyFont="1" applyFill="1" applyBorder="1" applyAlignment="1">
      <alignment horizontal="right"/>
    </xf>
    <xf numFmtId="10" fontId="1" fillId="2" borderId="92" xfId="2" applyFont="1" applyFill="1" applyBorder="1" applyAlignment="1">
      <alignment horizontal="right"/>
    </xf>
    <xf numFmtId="10" fontId="1" fillId="2" borderId="129" xfId="2" applyFont="1" applyFill="1" applyBorder="1" applyAlignment="1">
      <alignment horizontal="right"/>
    </xf>
    <xf numFmtId="10" fontId="1" fillId="2" borderId="54" xfId="2" applyFont="1" applyFill="1" applyBorder="1" applyAlignment="1">
      <alignment horizontal="right"/>
    </xf>
    <xf numFmtId="10" fontId="1" fillId="2" borderId="53" xfId="2" applyFont="1" applyFill="1" applyBorder="1" applyAlignment="1">
      <alignment horizontal="right"/>
    </xf>
    <xf numFmtId="10" fontId="1" fillId="2" borderId="26" xfId="2" applyFont="1" applyFill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1" fontId="1" fillId="2" borderId="33" xfId="0" applyNumberFormat="1" applyFont="1" applyFill="1" applyBorder="1" applyAlignment="1">
      <alignment horizontal="right"/>
    </xf>
    <xf numFmtId="0" fontId="3" fillId="0" borderId="126" xfId="0" applyFont="1" applyFill="1" applyBorder="1"/>
    <xf numFmtId="0" fontId="3" fillId="0" borderId="127" xfId="0" applyFont="1" applyFill="1" applyBorder="1"/>
    <xf numFmtId="0" fontId="3" fillId="0" borderId="85" xfId="0" applyFont="1" applyFill="1" applyBorder="1"/>
    <xf numFmtId="1" fontId="3" fillId="0" borderId="81" xfId="0" applyNumberFormat="1" applyFont="1" applyFill="1" applyBorder="1" applyAlignment="1">
      <alignment horizontal="right"/>
    </xf>
    <xf numFmtId="1" fontId="3" fillId="0" borderId="85" xfId="0" applyNumberFormat="1" applyFont="1" applyFill="1" applyBorder="1" applyAlignment="1">
      <alignment horizontal="right"/>
    </xf>
    <xf numFmtId="1" fontId="3" fillId="2" borderId="85" xfId="0" applyNumberFormat="1" applyFont="1" applyFill="1" applyBorder="1" applyAlignment="1">
      <alignment horizontal="right"/>
    </xf>
    <xf numFmtId="1" fontId="1" fillId="0" borderId="89" xfId="0" applyNumberFormat="1" applyFont="1" applyBorder="1" applyAlignment="1">
      <alignment horizontal="right"/>
    </xf>
    <xf numFmtId="1" fontId="1" fillId="2" borderId="69" xfId="0" applyNumberFormat="1" applyFont="1" applyFill="1" applyBorder="1" applyAlignment="1">
      <alignment horizontal="right"/>
    </xf>
    <xf numFmtId="1" fontId="1" fillId="2" borderId="96" xfId="2" applyNumberFormat="1" applyFont="1" applyFill="1" applyBorder="1" applyAlignment="1">
      <alignment horizontal="center"/>
    </xf>
    <xf numFmtId="10" fontId="1" fillId="2" borderId="98" xfId="2" applyFont="1" applyFill="1" applyBorder="1" applyAlignment="1">
      <alignment horizontal="center"/>
    </xf>
    <xf numFmtId="10" fontId="1" fillId="2" borderId="25" xfId="2" applyFont="1" applyFill="1" applyBorder="1" applyAlignment="1">
      <alignment horizontal="center"/>
    </xf>
    <xf numFmtId="1" fontId="1" fillId="2" borderId="130" xfId="2" applyNumberFormat="1" applyFont="1" applyFill="1" applyBorder="1" applyAlignment="1">
      <alignment horizontal="center"/>
    </xf>
    <xf numFmtId="1" fontId="1" fillId="2" borderId="116" xfId="0" applyNumberFormat="1" applyFont="1" applyFill="1" applyBorder="1" applyAlignment="1">
      <alignment horizontal="center"/>
    </xf>
    <xf numFmtId="0" fontId="1" fillId="2" borderId="47" xfId="4" applyNumberFormat="1" applyFont="1" applyFill="1" applyBorder="1"/>
    <xf numFmtId="0" fontId="3" fillId="2" borderId="46" xfId="0" applyFont="1" applyFill="1" applyBorder="1"/>
    <xf numFmtId="0" fontId="1" fillId="2" borderId="29" xfId="4" applyNumberFormat="1" applyFont="1" applyFill="1" applyBorder="1"/>
    <xf numFmtId="10" fontId="1" fillId="5" borderId="45" xfId="2" applyFont="1" applyFill="1" applyBorder="1" applyAlignment="1">
      <alignment horizontal="right"/>
    </xf>
    <xf numFmtId="10" fontId="1" fillId="5" borderId="38" xfId="2" applyFont="1" applyFill="1" applyBorder="1" applyAlignment="1">
      <alignment horizontal="right"/>
    </xf>
    <xf numFmtId="165" fontId="1" fillId="2" borderId="54" xfId="0" applyNumberFormat="1" applyFont="1" applyFill="1" applyBorder="1" applyAlignment="1">
      <alignment horizontal="center"/>
    </xf>
    <xf numFmtId="0" fontId="1" fillId="3" borderId="61" xfId="0" applyFont="1" applyFill="1" applyBorder="1" applyAlignment="1">
      <alignment horizontal="right"/>
    </xf>
    <xf numFmtId="164" fontId="1" fillId="3" borderId="10" xfId="2" applyNumberFormat="1" applyFont="1" applyFill="1" applyBorder="1" applyAlignment="1">
      <alignment horizontal="right"/>
    </xf>
    <xf numFmtId="0" fontId="1" fillId="3" borderId="59" xfId="0" applyFont="1" applyFill="1" applyBorder="1" applyAlignment="1">
      <alignment horizontal="right"/>
    </xf>
    <xf numFmtId="164" fontId="1" fillId="3" borderId="9" xfId="2" applyNumberFormat="1" applyFont="1" applyFill="1" applyBorder="1" applyAlignment="1">
      <alignment horizontal="right"/>
    </xf>
    <xf numFmtId="10" fontId="1" fillId="3" borderId="45" xfId="2" applyFont="1" applyFill="1" applyBorder="1" applyAlignment="1">
      <alignment horizontal="center"/>
    </xf>
    <xf numFmtId="10" fontId="1" fillId="3" borderId="29" xfId="2" applyFont="1" applyFill="1" applyBorder="1" applyAlignment="1">
      <alignment horizontal="right"/>
    </xf>
    <xf numFmtId="10" fontId="1" fillId="5" borderId="45" xfId="2" applyFont="1" applyFill="1" applyBorder="1" applyAlignment="1">
      <alignment horizontal="center"/>
    </xf>
    <xf numFmtId="0" fontId="0" fillId="0" borderId="0" xfId="0" applyFill="1"/>
    <xf numFmtId="1" fontId="1" fillId="0" borderId="28" xfId="0" applyNumberFormat="1" applyFont="1" applyFill="1" applyBorder="1"/>
    <xf numFmtId="0" fontId="1" fillId="0" borderId="25" xfId="0" applyFont="1" applyFill="1" applyBorder="1"/>
    <xf numFmtId="1" fontId="1" fillId="0" borderId="49" xfId="0" applyNumberFormat="1" applyFont="1" applyFill="1" applyBorder="1"/>
    <xf numFmtId="0" fontId="1" fillId="0" borderId="10" xfId="0" applyFont="1" applyFill="1" applyBorder="1"/>
    <xf numFmtId="10" fontId="1" fillId="5" borderId="14" xfId="2" applyFont="1" applyFill="1" applyBorder="1" applyAlignment="1">
      <alignment horizontal="right"/>
    </xf>
    <xf numFmtId="1" fontId="2" fillId="0" borderId="0" xfId="0" applyNumberFormat="1" applyFont="1" applyFill="1"/>
    <xf numFmtId="10" fontId="3" fillId="5" borderId="45" xfId="2" applyFont="1" applyFill="1" applyBorder="1" applyAlignment="1">
      <alignment horizontal="center"/>
    </xf>
    <xf numFmtId="10" fontId="1" fillId="5" borderId="29" xfId="2" applyFont="1" applyFill="1" applyBorder="1" applyAlignment="1">
      <alignment horizontal="right"/>
    </xf>
    <xf numFmtId="0" fontId="1" fillId="0" borderId="99" xfId="0" applyFont="1" applyFill="1" applyBorder="1"/>
    <xf numFmtId="0" fontId="1" fillId="0" borderId="14" xfId="0" applyFont="1" applyFill="1" applyBorder="1"/>
    <xf numFmtId="3" fontId="1" fillId="0" borderId="12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1" fontId="1" fillId="3" borderId="29" xfId="0" applyNumberFormat="1" applyFont="1" applyFill="1" applyBorder="1"/>
    <xf numFmtId="1" fontId="1" fillId="3" borderId="56" xfId="0" applyNumberFormat="1" applyFont="1" applyFill="1" applyBorder="1"/>
    <xf numFmtId="1" fontId="3" fillId="2" borderId="132" xfId="0" applyNumberFormat="1" applyFont="1" applyFill="1" applyBorder="1" applyAlignment="1">
      <alignment horizontal="right"/>
    </xf>
    <xf numFmtId="1" fontId="3" fillId="2" borderId="126" xfId="0" applyNumberFormat="1" applyFont="1" applyFill="1" applyBorder="1" applyAlignment="1">
      <alignment horizontal="right"/>
    </xf>
    <xf numFmtId="3" fontId="1" fillId="3" borderId="12" xfId="1" applyNumberFormat="1" applyFont="1" applyFill="1" applyBorder="1" applyAlignment="1">
      <alignment horizontal="right"/>
    </xf>
    <xf numFmtId="0" fontId="1" fillId="3" borderId="45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1" fontId="1" fillId="0" borderId="42" xfId="0" applyNumberFormat="1" applyFont="1" applyFill="1" applyBorder="1" applyAlignment="1">
      <alignment horizontal="right"/>
    </xf>
    <xf numFmtId="1" fontId="1" fillId="0" borderId="46" xfId="0" applyNumberFormat="1" applyFont="1" applyFill="1" applyBorder="1" applyAlignment="1">
      <alignment horizontal="right"/>
    </xf>
    <xf numFmtId="0" fontId="1" fillId="3" borderId="33" xfId="0" applyFont="1" applyFill="1" applyBorder="1" applyAlignment="1">
      <alignment horizontal="center"/>
    </xf>
    <xf numFmtId="1" fontId="1" fillId="0" borderId="62" xfId="0" applyNumberFormat="1" applyFont="1" applyFill="1" applyBorder="1"/>
    <xf numFmtId="0" fontId="9" fillId="0" borderId="0" xfId="0" applyFont="1" applyFill="1" applyAlignment="1" applyProtection="1"/>
    <xf numFmtId="0" fontId="9" fillId="0" borderId="0" xfId="0" applyFont="1"/>
    <xf numFmtId="0" fontId="2" fillId="0" borderId="0" xfId="0" applyFont="1" applyBorder="1"/>
    <xf numFmtId="0" fontId="2" fillId="0" borderId="0" xfId="0" applyFont="1" applyFill="1" applyAlignment="1" applyProtection="1">
      <alignment horizontal="center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left" indent="2"/>
    </xf>
    <xf numFmtId="0" fontId="1" fillId="2" borderId="68" xfId="0" applyFont="1" applyFill="1" applyBorder="1" applyAlignment="1">
      <alignment horizontal="left" indent="2"/>
    </xf>
    <xf numFmtId="0" fontId="3" fillId="0" borderId="39" xfId="3" applyFont="1" applyBorder="1"/>
    <xf numFmtId="3" fontId="1" fillId="0" borderId="44" xfId="1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164" fontId="1" fillId="0" borderId="63" xfId="2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164" fontId="1" fillId="0" borderId="65" xfId="2" applyNumberFormat="1" applyFont="1" applyFill="1" applyBorder="1" applyAlignment="1">
      <alignment horizontal="right"/>
    </xf>
    <xf numFmtId="164" fontId="1" fillId="0" borderId="66" xfId="2" applyNumberFormat="1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164" fontId="3" fillId="0" borderId="65" xfId="2" applyNumberFormat="1" applyFont="1" applyFill="1" applyBorder="1" applyAlignment="1">
      <alignment horizontal="right"/>
    </xf>
    <xf numFmtId="164" fontId="1" fillId="0" borderId="62" xfId="0" applyNumberFormat="1" applyFont="1" applyFill="1" applyBorder="1" applyAlignment="1">
      <alignment horizontal="right"/>
    </xf>
    <xf numFmtId="164" fontId="1" fillId="0" borderId="64" xfId="0" applyNumberFormat="1" applyFont="1" applyFill="1" applyBorder="1" applyAlignment="1">
      <alignment horizontal="right"/>
    </xf>
    <xf numFmtId="0" fontId="1" fillId="0" borderId="138" xfId="0" applyFont="1" applyFill="1" applyBorder="1" applyAlignment="1">
      <alignment horizontal="right"/>
    </xf>
    <xf numFmtId="164" fontId="1" fillId="0" borderId="113" xfId="2" applyNumberFormat="1" applyFont="1" applyFill="1" applyBorder="1" applyAlignment="1">
      <alignment horizontal="right"/>
    </xf>
    <xf numFmtId="0" fontId="1" fillId="0" borderId="139" xfId="0" applyFont="1" applyFill="1" applyBorder="1" applyAlignment="1">
      <alignment horizontal="right"/>
    </xf>
    <xf numFmtId="164" fontId="1" fillId="0" borderId="115" xfId="2" applyNumberFormat="1" applyFont="1" applyFill="1" applyBorder="1" applyAlignment="1">
      <alignment horizontal="right"/>
    </xf>
    <xf numFmtId="164" fontId="1" fillId="0" borderId="124" xfId="2" applyNumberFormat="1" applyFont="1" applyFill="1" applyBorder="1" applyAlignment="1">
      <alignment horizontal="right"/>
    </xf>
    <xf numFmtId="3" fontId="1" fillId="0" borderId="112" xfId="1" applyNumberFormat="1" applyFont="1" applyFill="1" applyBorder="1" applyAlignment="1">
      <alignment horizontal="right"/>
    </xf>
    <xf numFmtId="3" fontId="1" fillId="0" borderId="114" xfId="1" applyNumberFormat="1" applyFont="1" applyFill="1" applyBorder="1" applyAlignment="1">
      <alignment horizontal="right"/>
    </xf>
    <xf numFmtId="0" fontId="4" fillId="0" borderId="0" xfId="0" applyFont="1"/>
    <xf numFmtId="10" fontId="1" fillId="2" borderId="0" xfId="2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wrapText="1" indent="2"/>
    </xf>
    <xf numFmtId="0" fontId="1" fillId="2" borderId="22" xfId="0" applyFont="1" applyFill="1" applyBorder="1" applyAlignment="1">
      <alignment horizontal="left" wrapText="1" indent="2"/>
    </xf>
    <xf numFmtId="0" fontId="1" fillId="2" borderId="31" xfId="0" applyFont="1" applyFill="1" applyBorder="1" applyAlignment="1">
      <alignment horizontal="left" indent="2"/>
    </xf>
    <xf numFmtId="0" fontId="1" fillId="2" borderId="27" xfId="0" applyFont="1" applyFill="1" applyBorder="1" applyAlignment="1">
      <alignment horizontal="left" indent="2"/>
    </xf>
    <xf numFmtId="1" fontId="1" fillId="2" borderId="7" xfId="0" applyNumberFormat="1" applyFont="1" applyFill="1" applyBorder="1" applyAlignment="1">
      <alignment horizontal="left" indent="2"/>
    </xf>
    <xf numFmtId="0" fontId="1" fillId="2" borderId="22" xfId="0" applyFont="1" applyFill="1" applyBorder="1" applyAlignment="1">
      <alignment horizontal="left" indent="2"/>
    </xf>
    <xf numFmtId="0" fontId="1" fillId="2" borderId="58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0" fontId="1" fillId="2" borderId="0" xfId="0" applyFont="1" applyFill="1" applyBorder="1"/>
    <xf numFmtId="0" fontId="5" fillId="0" borderId="0" xfId="0" applyFont="1" applyBorder="1"/>
    <xf numFmtId="0" fontId="3" fillId="2" borderId="58" xfId="3" applyFont="1" applyFill="1" applyBorder="1" applyAlignment="1">
      <alignment horizontal="left" wrapText="1" indent="1"/>
    </xf>
    <xf numFmtId="0" fontId="1" fillId="2" borderId="57" xfId="0" applyFont="1" applyFill="1" applyBorder="1" applyAlignment="1"/>
    <xf numFmtId="0" fontId="3" fillId="2" borderId="53" xfId="3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" fontId="1" fillId="0" borderId="47" xfId="0" applyNumberFormat="1" applyFont="1" applyFill="1" applyBorder="1"/>
    <xf numFmtId="3" fontId="1" fillId="2" borderId="44" xfId="1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164" fontId="1" fillId="2" borderId="63" xfId="2" applyNumberFormat="1" applyFont="1" applyFill="1" applyBorder="1" applyAlignment="1">
      <alignment horizontal="right"/>
    </xf>
    <xf numFmtId="164" fontId="1" fillId="2" borderId="65" xfId="2" applyNumberFormat="1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164" fontId="1" fillId="2" borderId="66" xfId="2" applyNumberFormat="1" applyFont="1" applyFill="1" applyBorder="1" applyAlignment="1">
      <alignment horizontal="right"/>
    </xf>
    <xf numFmtId="0" fontId="3" fillId="2" borderId="64" xfId="0" applyFont="1" applyFill="1" applyBorder="1" applyAlignment="1">
      <alignment horizontal="right"/>
    </xf>
    <xf numFmtId="164" fontId="3" fillId="2" borderId="63" xfId="2" applyNumberFormat="1" applyFont="1" applyFill="1" applyBorder="1" applyAlignment="1">
      <alignment horizontal="right"/>
    </xf>
    <xf numFmtId="164" fontId="3" fillId="2" borderId="65" xfId="2" applyNumberFormat="1" applyFont="1" applyFill="1" applyBorder="1" applyAlignment="1">
      <alignment horizontal="right"/>
    </xf>
    <xf numFmtId="0" fontId="3" fillId="2" borderId="62" xfId="0" applyFont="1" applyFill="1" applyBorder="1" applyAlignment="1">
      <alignment horizontal="right"/>
    </xf>
    <xf numFmtId="164" fontId="3" fillId="2" borderId="66" xfId="2" applyNumberFormat="1" applyFont="1" applyFill="1" applyBorder="1" applyAlignment="1">
      <alignment horizontal="right"/>
    </xf>
    <xf numFmtId="164" fontId="1" fillId="2" borderId="64" xfId="0" applyNumberFormat="1" applyFont="1" applyFill="1" applyBorder="1" applyAlignment="1">
      <alignment horizontal="right"/>
    </xf>
    <xf numFmtId="164" fontId="1" fillId="2" borderId="62" xfId="0" applyNumberFormat="1" applyFont="1" applyFill="1" applyBorder="1" applyAlignment="1">
      <alignment horizontal="right"/>
    </xf>
    <xf numFmtId="0" fontId="1" fillId="2" borderId="137" xfId="0" applyFont="1" applyFill="1" applyBorder="1" applyAlignment="1">
      <alignment horizontal="right"/>
    </xf>
    <xf numFmtId="0" fontId="1" fillId="2" borderId="139" xfId="0" applyFont="1" applyFill="1" applyBorder="1" applyAlignment="1">
      <alignment horizontal="right"/>
    </xf>
    <xf numFmtId="164" fontId="1" fillId="2" borderId="113" xfId="2" applyNumberFormat="1" applyFont="1" applyFill="1" applyBorder="1" applyAlignment="1">
      <alignment horizontal="right"/>
    </xf>
    <xf numFmtId="164" fontId="1" fillId="2" borderId="115" xfId="2" applyNumberFormat="1" applyFont="1" applyFill="1" applyBorder="1" applyAlignment="1">
      <alignment horizontal="right"/>
    </xf>
    <xf numFmtId="0" fontId="1" fillId="2" borderId="138" xfId="0" applyFont="1" applyFill="1" applyBorder="1" applyAlignment="1">
      <alignment horizontal="right"/>
    </xf>
    <xf numFmtId="164" fontId="1" fillId="2" borderId="124" xfId="2" applyNumberFormat="1" applyFont="1" applyFill="1" applyBorder="1" applyAlignment="1">
      <alignment horizontal="right"/>
    </xf>
    <xf numFmtId="3" fontId="1" fillId="2" borderId="114" xfId="1" applyNumberFormat="1" applyFont="1" applyFill="1" applyBorder="1" applyAlignment="1">
      <alignment horizontal="right"/>
    </xf>
    <xf numFmtId="3" fontId="1" fillId="2" borderId="112" xfId="1" applyNumberFormat="1" applyFont="1" applyFill="1" applyBorder="1" applyAlignment="1">
      <alignment horizontal="right"/>
    </xf>
    <xf numFmtId="1" fontId="1" fillId="2" borderId="140" xfId="0" applyNumberFormat="1" applyFont="1" applyFill="1" applyBorder="1" applyAlignment="1">
      <alignment horizontal="center"/>
    </xf>
    <xf numFmtId="10" fontId="1" fillId="0" borderId="47" xfId="2" applyFont="1" applyFill="1" applyBorder="1" applyAlignment="1">
      <alignment horizontal="right"/>
    </xf>
    <xf numFmtId="10" fontId="1" fillId="2" borderId="12" xfId="0" applyNumberFormat="1" applyFont="1" applyFill="1" applyBorder="1" applyAlignment="1">
      <alignment horizontal="center"/>
    </xf>
    <xf numFmtId="10" fontId="1" fillId="2" borderId="36" xfId="0" applyNumberFormat="1" applyFont="1" applyFill="1" applyBorder="1" applyAlignment="1">
      <alignment horizontal="center"/>
    </xf>
    <xf numFmtId="3" fontId="1" fillId="5" borderId="48" xfId="1" applyNumberFormat="1" applyFont="1" applyFill="1" applyBorder="1" applyAlignment="1">
      <alignment horizontal="center"/>
    </xf>
    <xf numFmtId="10" fontId="1" fillId="0" borderId="51" xfId="2" applyFont="1" applyFill="1" applyBorder="1" applyAlignment="1">
      <alignment horizontal="right"/>
    </xf>
    <xf numFmtId="10" fontId="1" fillId="0" borderId="129" xfId="2" applyFont="1" applyFill="1" applyBorder="1" applyAlignment="1">
      <alignment horizontal="right"/>
    </xf>
    <xf numFmtId="1" fontId="3" fillId="0" borderId="132" xfId="0" applyNumberFormat="1" applyFont="1" applyBorder="1" applyAlignment="1">
      <alignment horizontal="right"/>
    </xf>
    <xf numFmtId="1" fontId="3" fillId="0" borderId="126" xfId="0" applyNumberFormat="1" applyFont="1" applyBorder="1" applyAlignment="1">
      <alignment horizontal="right"/>
    </xf>
    <xf numFmtId="1" fontId="1" fillId="0" borderId="67" xfId="0" applyNumberFormat="1" applyFont="1" applyFill="1" applyBorder="1"/>
    <xf numFmtId="1" fontId="1" fillId="0" borderId="118" xfId="0" applyNumberFormat="1" applyFont="1" applyFill="1" applyBorder="1"/>
    <xf numFmtId="10" fontId="1" fillId="2" borderId="93" xfId="2" applyFont="1" applyFill="1" applyBorder="1" applyAlignment="1">
      <alignment horizontal="center"/>
    </xf>
    <xf numFmtId="9" fontId="1" fillId="0" borderId="43" xfId="0" applyNumberFormat="1" applyFont="1" applyFill="1" applyBorder="1" applyAlignment="1">
      <alignment horizontal="right"/>
    </xf>
    <xf numFmtId="9" fontId="1" fillId="0" borderId="47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0" fontId="1" fillId="2" borderId="20" xfId="0" applyNumberFormat="1" applyFont="1" applyFill="1" applyBorder="1" applyAlignment="1">
      <alignment horizontal="center"/>
    </xf>
    <xf numFmtId="10" fontId="1" fillId="2" borderId="83" xfId="0" applyNumberFormat="1" applyFont="1" applyFill="1" applyBorder="1" applyAlignment="1">
      <alignment horizontal="center"/>
    </xf>
    <xf numFmtId="10" fontId="1" fillId="2" borderId="83" xfId="2" applyFont="1" applyFill="1" applyBorder="1" applyAlignment="1">
      <alignment horizontal="center"/>
    </xf>
    <xf numFmtId="0" fontId="3" fillId="0" borderId="136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3" fontId="3" fillId="0" borderId="143" xfId="0" applyNumberFormat="1" applyFont="1" applyFill="1" applyBorder="1" applyAlignment="1">
      <alignment horizontal="right"/>
    </xf>
    <xf numFmtId="0" fontId="3" fillId="2" borderId="70" xfId="0" applyFont="1" applyFill="1" applyBorder="1" applyAlignment="1">
      <alignment horizontal="center"/>
    </xf>
    <xf numFmtId="0" fontId="3" fillId="2" borderId="141" xfId="0" applyFont="1" applyFill="1" applyBorder="1" applyAlignment="1">
      <alignment horizontal="center"/>
    </xf>
    <xf numFmtId="0" fontId="3" fillId="2" borderId="135" xfId="0" applyFont="1" applyFill="1" applyBorder="1" applyAlignment="1">
      <alignment horizontal="center"/>
    </xf>
    <xf numFmtId="0" fontId="3" fillId="2" borderId="136" xfId="0" applyFont="1" applyFill="1" applyBorder="1" applyAlignment="1">
      <alignment horizontal="center"/>
    </xf>
    <xf numFmtId="0" fontId="3" fillId="2" borderId="133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164" fontId="1" fillId="2" borderId="145" xfId="4" applyNumberFormat="1" applyFont="1" applyFill="1" applyBorder="1"/>
    <xf numFmtId="0" fontId="1" fillId="2" borderId="146" xfId="4" applyNumberFormat="1" applyFont="1" applyFill="1" applyBorder="1"/>
    <xf numFmtId="0" fontId="3" fillId="2" borderId="147" xfId="0" applyFont="1" applyFill="1" applyBorder="1"/>
    <xf numFmtId="166" fontId="1" fillId="2" borderId="148" xfId="0" applyNumberFormat="1" applyFont="1" applyFill="1" applyBorder="1"/>
    <xf numFmtId="0" fontId="3" fillId="2" borderId="131" xfId="0" applyFont="1" applyFill="1" applyBorder="1" applyAlignment="1">
      <alignment horizontal="center"/>
    </xf>
    <xf numFmtId="0" fontId="3" fillId="2" borderId="144" xfId="0" applyFont="1" applyFill="1" applyBorder="1" applyAlignment="1">
      <alignment horizontal="center"/>
    </xf>
    <xf numFmtId="0" fontId="1" fillId="2" borderId="148" xfId="4" applyNumberFormat="1" applyFont="1" applyFill="1" applyBorder="1"/>
    <xf numFmtId="0" fontId="3" fillId="2" borderId="142" xfId="0" applyFont="1" applyFill="1" applyBorder="1" applyAlignment="1">
      <alignment horizontal="center"/>
    </xf>
    <xf numFmtId="0" fontId="3" fillId="2" borderId="143" xfId="0" applyFont="1" applyFill="1" applyBorder="1" applyAlignment="1">
      <alignment horizontal="right"/>
    </xf>
    <xf numFmtId="3" fontId="3" fillId="2" borderId="143" xfId="0" applyNumberFormat="1" applyFont="1" applyFill="1" applyBorder="1" applyAlignment="1">
      <alignment horizontal="right"/>
    </xf>
    <xf numFmtId="4" fontId="1" fillId="2" borderId="148" xfId="0" applyNumberFormat="1" applyFont="1" applyFill="1" applyBorder="1"/>
    <xf numFmtId="164" fontId="1" fillId="2" borderId="149" xfId="4" applyNumberFormat="1" applyFont="1" applyFill="1" applyBorder="1"/>
    <xf numFmtId="0" fontId="1" fillId="2" borderId="150" xfId="4" applyNumberFormat="1" applyFont="1" applyFill="1" applyBorder="1"/>
    <xf numFmtId="0" fontId="3" fillId="2" borderId="151" xfId="0" applyFont="1" applyFill="1" applyBorder="1"/>
    <xf numFmtId="4" fontId="1" fillId="2" borderId="152" xfId="0" applyNumberFormat="1" applyFont="1" applyFill="1" applyBorder="1"/>
    <xf numFmtId="0" fontId="3" fillId="2" borderId="153" xfId="0" applyFont="1" applyFill="1" applyBorder="1" applyAlignment="1">
      <alignment horizontal="left" indent="1"/>
    </xf>
    <xf numFmtId="0" fontId="3" fillId="2" borderId="92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1" fontId="8" fillId="2" borderId="0" xfId="0" applyNumberFormat="1" applyFont="1" applyFill="1" applyBorder="1"/>
    <xf numFmtId="0" fontId="3" fillId="0" borderId="121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1" fillId="0" borderId="62" xfId="0" applyFont="1" applyFill="1" applyBorder="1"/>
    <xf numFmtId="3" fontId="1" fillId="0" borderId="66" xfId="1" applyNumberFormat="1" applyFont="1" applyFill="1" applyBorder="1" applyAlignment="1">
      <alignment horizontal="right"/>
    </xf>
    <xf numFmtId="165" fontId="1" fillId="0" borderId="8" xfId="0" applyNumberFormat="1" applyFont="1" applyFill="1" applyBorder="1"/>
    <xf numFmtId="3" fontId="1" fillId="0" borderId="12" xfId="0" applyNumberFormat="1" applyFont="1" applyFill="1" applyBorder="1"/>
    <xf numFmtId="0" fontId="1" fillId="0" borderId="112" xfId="0" applyFont="1" applyFill="1" applyBorder="1"/>
    <xf numFmtId="3" fontId="1" fillId="0" borderId="124" xfId="0" applyNumberFormat="1" applyFont="1" applyFill="1" applyBorder="1"/>
    <xf numFmtId="165" fontId="3" fillId="0" borderId="156" xfId="0" applyNumberFormat="1" applyFont="1" applyFill="1" applyBorder="1" applyAlignment="1">
      <alignment horizontal="right"/>
    </xf>
    <xf numFmtId="3" fontId="3" fillId="0" borderId="155" xfId="0" applyNumberFormat="1" applyFont="1" applyFill="1" applyBorder="1" applyAlignment="1">
      <alignment horizontal="right"/>
    </xf>
    <xf numFmtId="0" fontId="3" fillId="0" borderId="126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1" fillId="0" borderId="64" xfId="0" applyFont="1" applyFill="1" applyBorder="1"/>
    <xf numFmtId="3" fontId="1" fillId="0" borderId="65" xfId="1" applyNumberFormat="1" applyFont="1" applyFill="1" applyBorder="1" applyAlignment="1">
      <alignment horizontal="right"/>
    </xf>
    <xf numFmtId="165" fontId="1" fillId="0" borderId="11" xfId="0" applyNumberFormat="1" applyFont="1" applyFill="1" applyBorder="1"/>
    <xf numFmtId="3" fontId="1" fillId="0" borderId="9" xfId="0" applyNumberFormat="1" applyFont="1" applyFill="1" applyBorder="1"/>
    <xf numFmtId="0" fontId="1" fillId="0" borderId="19" xfId="0" applyFont="1" applyFill="1" applyBorder="1"/>
    <xf numFmtId="3" fontId="1" fillId="0" borderId="17" xfId="0" applyNumberFormat="1" applyFont="1" applyFill="1" applyBorder="1"/>
    <xf numFmtId="165" fontId="3" fillId="0" borderId="157" xfId="0" applyNumberFormat="1" applyFont="1" applyFill="1" applyBorder="1" applyAlignment="1">
      <alignment horizontal="right"/>
    </xf>
    <xf numFmtId="3" fontId="3" fillId="0" borderId="158" xfId="0" applyNumberFormat="1" applyFont="1" applyFill="1" applyBorder="1" applyAlignment="1">
      <alignment horizontal="right"/>
    </xf>
    <xf numFmtId="0" fontId="1" fillId="0" borderId="55" xfId="0" applyFont="1" applyFill="1" applyBorder="1"/>
    <xf numFmtId="0" fontId="1" fillId="0" borderId="59" xfId="0" applyFont="1" applyFill="1" applyBorder="1"/>
    <xf numFmtId="0" fontId="1" fillId="0" borderId="73" xfId="0" applyFont="1" applyFill="1" applyBorder="1"/>
    <xf numFmtId="0" fontId="3" fillId="0" borderId="74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3" fontId="1" fillId="0" borderId="61" xfId="1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 horizontal="left" indent="2"/>
    </xf>
    <xf numFmtId="3" fontId="1" fillId="2" borderId="61" xfId="1" applyNumberFormat="1" applyFont="1" applyFill="1" applyBorder="1" applyAlignment="1">
      <alignment horizontal="right"/>
    </xf>
    <xf numFmtId="0" fontId="1" fillId="2" borderId="59" xfId="0" applyFont="1" applyFill="1" applyBorder="1"/>
    <xf numFmtId="0" fontId="3" fillId="2" borderId="7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wrapText="1" indent="2"/>
    </xf>
    <xf numFmtId="0" fontId="3" fillId="2" borderId="74" xfId="0" applyFont="1" applyFill="1" applyBorder="1" applyAlignment="1">
      <alignment horizontal="center" wrapText="1"/>
    </xf>
    <xf numFmtId="0" fontId="3" fillId="0" borderId="159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0" borderId="157" xfId="0" applyFont="1" applyFill="1" applyBorder="1" applyAlignment="1">
      <alignment horizontal="right"/>
    </xf>
    <xf numFmtId="0" fontId="1" fillId="0" borderId="24" xfId="0" applyFont="1" applyFill="1" applyBorder="1"/>
    <xf numFmtId="3" fontId="1" fillId="0" borderId="23" xfId="1" applyNumberFormat="1" applyFont="1" applyFill="1" applyBorder="1" applyAlignment="1">
      <alignment horizontal="right"/>
    </xf>
    <xf numFmtId="0" fontId="1" fillId="0" borderId="114" xfId="0" applyFont="1" applyFill="1" applyBorder="1"/>
    <xf numFmtId="3" fontId="1" fillId="0" borderId="115" xfId="0" applyNumberFormat="1" applyFont="1" applyFill="1" applyBorder="1"/>
    <xf numFmtId="0" fontId="3" fillId="0" borderId="161" xfId="0" applyFont="1" applyFill="1" applyBorder="1" applyAlignment="1">
      <alignment horizontal="center"/>
    </xf>
    <xf numFmtId="165" fontId="1" fillId="0" borderId="19" xfId="0" applyNumberFormat="1" applyFont="1" applyFill="1" applyBorder="1"/>
    <xf numFmtId="3" fontId="1" fillId="0" borderId="20" xfId="0" applyNumberFormat="1" applyFont="1" applyFill="1" applyBorder="1"/>
    <xf numFmtId="0" fontId="3" fillId="2" borderId="1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21" xfId="0" applyFont="1" applyFill="1" applyBorder="1" applyAlignment="1">
      <alignment horizontal="center"/>
    </xf>
    <xf numFmtId="1" fontId="2" fillId="0" borderId="0" xfId="0" applyNumberFormat="1" applyFont="1" applyBorder="1"/>
    <xf numFmtId="1" fontId="1" fillId="0" borderId="12" xfId="0" applyNumberFormat="1" applyFont="1" applyFill="1" applyBorder="1"/>
    <xf numFmtId="1" fontId="1" fillId="5" borderId="12" xfId="0" applyNumberFormat="1" applyFont="1" applyFill="1" applyBorder="1"/>
    <xf numFmtId="1" fontId="1" fillId="5" borderId="20" xfId="0" applyNumberFormat="1" applyFont="1" applyFill="1" applyBorder="1"/>
    <xf numFmtId="1" fontId="3" fillId="0" borderId="95" xfId="0" applyNumberFormat="1" applyFont="1" applyFill="1" applyBorder="1"/>
    <xf numFmtId="1" fontId="1" fillId="0" borderId="66" xfId="0" applyNumberFormat="1" applyFont="1" applyFill="1" applyBorder="1"/>
    <xf numFmtId="1" fontId="3" fillId="0" borderId="140" xfId="0" applyNumberFormat="1" applyFont="1" applyBorder="1"/>
    <xf numFmtId="10" fontId="3" fillId="0" borderId="109" xfId="2" applyFont="1" applyBorder="1" applyAlignment="1">
      <alignment horizontal="center"/>
    </xf>
    <xf numFmtId="10" fontId="3" fillId="0" borderId="28" xfId="2" applyFont="1" applyBorder="1" applyAlignment="1">
      <alignment horizontal="center"/>
    </xf>
    <xf numFmtId="10" fontId="1" fillId="0" borderId="37" xfId="2" applyFont="1" applyBorder="1" applyAlignment="1">
      <alignment horizontal="center"/>
    </xf>
    <xf numFmtId="10" fontId="1" fillId="2" borderId="109" xfId="2" applyFont="1" applyFill="1" applyBorder="1" applyAlignment="1">
      <alignment horizontal="center"/>
    </xf>
    <xf numFmtId="10" fontId="1" fillId="2" borderId="55" xfId="2" applyFont="1" applyFill="1" applyBorder="1" applyAlignment="1">
      <alignment horizontal="center"/>
    </xf>
    <xf numFmtId="10" fontId="1" fillId="2" borderId="37" xfId="2" applyFont="1" applyFill="1" applyBorder="1" applyAlignment="1">
      <alignment horizontal="center"/>
    </xf>
    <xf numFmtId="1" fontId="1" fillId="2" borderId="101" xfId="2" applyNumberFormat="1" applyFont="1" applyFill="1" applyBorder="1" applyAlignment="1">
      <alignment horizontal="center"/>
    </xf>
    <xf numFmtId="10" fontId="1" fillId="2" borderId="94" xfId="2" applyFont="1" applyFill="1" applyBorder="1" applyAlignment="1">
      <alignment horizontal="center"/>
    </xf>
    <xf numFmtId="0" fontId="3" fillId="2" borderId="159" xfId="0" applyFont="1" applyFill="1" applyBorder="1" applyAlignment="1">
      <alignment horizontal="center"/>
    </xf>
    <xf numFmtId="0" fontId="3" fillId="2" borderId="160" xfId="0" applyFont="1" applyFill="1" applyBorder="1" applyAlignment="1">
      <alignment horizontal="center"/>
    </xf>
    <xf numFmtId="0" fontId="1" fillId="2" borderId="64" xfId="0" applyFont="1" applyFill="1" applyBorder="1"/>
    <xf numFmtId="3" fontId="1" fillId="2" borderId="65" xfId="1" applyNumberFormat="1" applyFont="1" applyFill="1" applyBorder="1" applyAlignment="1">
      <alignment horizontal="right"/>
    </xf>
    <xf numFmtId="3" fontId="1" fillId="2" borderId="9" xfId="1" applyNumberFormat="1" applyFont="1" applyFill="1" applyBorder="1" applyAlignment="1">
      <alignment horizontal="right"/>
    </xf>
    <xf numFmtId="0" fontId="1" fillId="2" borderId="11" xfId="0" applyFont="1" applyFill="1" applyBorder="1"/>
    <xf numFmtId="3" fontId="1" fillId="2" borderId="9" xfId="0" applyNumberFormat="1" applyFont="1" applyFill="1" applyBorder="1"/>
    <xf numFmtId="3" fontId="3" fillId="2" borderId="158" xfId="0" applyNumberFormat="1" applyFont="1" applyFill="1" applyBorder="1" applyAlignment="1">
      <alignment horizontal="right"/>
    </xf>
    <xf numFmtId="165" fontId="1" fillId="2" borderId="11" xfId="0" applyNumberFormat="1" applyFont="1" applyFill="1" applyBorder="1"/>
    <xf numFmtId="165" fontId="3" fillId="2" borderId="157" xfId="0" applyNumberFormat="1" applyFont="1" applyFill="1" applyBorder="1" applyAlignment="1">
      <alignment horizontal="right"/>
    </xf>
    <xf numFmtId="0" fontId="3" fillId="2" borderId="161" xfId="0" applyFont="1" applyFill="1" applyBorder="1" applyAlignment="1">
      <alignment horizontal="center"/>
    </xf>
    <xf numFmtId="3" fontId="1" fillId="2" borderId="66" xfId="1" applyNumberFormat="1" applyFont="1" applyFill="1" applyBorder="1" applyAlignment="1">
      <alignment horizontal="right"/>
    </xf>
    <xf numFmtId="3" fontId="1" fillId="2" borderId="12" xfId="0" applyNumberFormat="1" applyFont="1" applyFill="1" applyBorder="1"/>
    <xf numFmtId="165" fontId="1" fillId="2" borderId="19" xfId="0" applyNumberFormat="1" applyFont="1" applyFill="1" applyBorder="1"/>
    <xf numFmtId="3" fontId="1" fillId="2" borderId="20" xfId="0" applyNumberFormat="1" applyFont="1" applyFill="1" applyBorder="1"/>
    <xf numFmtId="3" fontId="3" fillId="2" borderId="155" xfId="0" applyNumberFormat="1" applyFont="1" applyFill="1" applyBorder="1" applyAlignment="1">
      <alignment horizontal="right"/>
    </xf>
    <xf numFmtId="0" fontId="1" fillId="2" borderId="118" xfId="0" applyFont="1" applyFill="1" applyBorder="1"/>
    <xf numFmtId="165" fontId="1" fillId="2" borderId="10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3" fillId="2" borderId="162" xfId="0" applyFont="1" applyFill="1" applyBorder="1" applyAlignment="1">
      <alignment horizontal="center"/>
    </xf>
    <xf numFmtId="0" fontId="3" fillId="2" borderId="164" xfId="0" applyFont="1" applyFill="1" applyBorder="1" applyAlignment="1">
      <alignment horizontal="center"/>
    </xf>
    <xf numFmtId="0" fontId="1" fillId="2" borderId="62" xfId="0" applyFont="1" applyFill="1" applyBorder="1"/>
    <xf numFmtId="0" fontId="1" fillId="2" borderId="8" xfId="0" applyFont="1" applyFill="1" applyBorder="1"/>
    <xf numFmtId="165" fontId="1" fillId="2" borderId="8" xfId="0" applyNumberFormat="1" applyFont="1" applyFill="1" applyBorder="1"/>
    <xf numFmtId="165" fontId="3" fillId="2" borderId="156" xfId="0" applyNumberFormat="1" applyFont="1" applyFill="1" applyBorder="1" applyAlignment="1">
      <alignment horizontal="right"/>
    </xf>
    <xf numFmtId="165" fontId="1" fillId="2" borderId="16" xfId="0" applyNumberFormat="1" applyFont="1" applyFill="1" applyBorder="1"/>
    <xf numFmtId="1" fontId="1" fillId="2" borderId="64" xfId="2" applyNumberFormat="1" applyFont="1" applyFill="1" applyBorder="1" applyAlignment="1">
      <alignment horizontal="center"/>
    </xf>
    <xf numFmtId="10" fontId="1" fillId="2" borderId="65" xfId="2" applyFont="1" applyFill="1" applyBorder="1" applyAlignment="1">
      <alignment horizontal="center"/>
    </xf>
    <xf numFmtId="10" fontId="1" fillId="2" borderId="66" xfId="2" applyFont="1" applyFill="1" applyBorder="1" applyAlignment="1">
      <alignment horizontal="center"/>
    </xf>
    <xf numFmtId="0" fontId="3" fillId="0" borderId="164" xfId="0" applyFont="1" applyFill="1" applyBorder="1" applyAlignment="1">
      <alignment horizontal="center"/>
    </xf>
    <xf numFmtId="165" fontId="1" fillId="0" borderId="16" xfId="0" applyNumberFormat="1" applyFont="1" applyFill="1" applyBorder="1"/>
    <xf numFmtId="3" fontId="1" fillId="3" borderId="36" xfId="1" applyNumberFormat="1" applyFont="1" applyFill="1" applyBorder="1" applyAlignment="1">
      <alignment horizontal="right"/>
    </xf>
    <xf numFmtId="1" fontId="1" fillId="2" borderId="44" xfId="0" applyNumberFormat="1" applyFont="1" applyFill="1" applyBorder="1" applyAlignment="1">
      <alignment horizontal="right"/>
    </xf>
    <xf numFmtId="1" fontId="1" fillId="2" borderId="48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right"/>
    </xf>
    <xf numFmtId="0" fontId="3" fillId="2" borderId="10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166" xfId="0" applyFont="1" applyFill="1" applyBorder="1" applyAlignment="1">
      <alignment horizontal="right"/>
    </xf>
    <xf numFmtId="164" fontId="1" fillId="2" borderId="121" xfId="4" applyNumberFormat="1" applyFont="1" applyFill="1" applyBorder="1"/>
    <xf numFmtId="0" fontId="3" fillId="2" borderId="121" xfId="3" applyFont="1" applyFill="1" applyBorder="1" applyAlignment="1">
      <alignment horizontal="center"/>
    </xf>
    <xf numFmtId="0" fontId="3" fillId="2" borderId="48" xfId="0" applyFont="1" applyFill="1" applyBorder="1"/>
    <xf numFmtId="0" fontId="3" fillId="2" borderId="129" xfId="0" applyFont="1" applyFill="1" applyBorder="1" applyAlignment="1">
      <alignment horizontal="center" wrapText="1"/>
    </xf>
    <xf numFmtId="0" fontId="3" fillId="2" borderId="166" xfId="0" applyFont="1" applyFill="1" applyBorder="1" applyAlignment="1">
      <alignment horizontal="center"/>
    </xf>
    <xf numFmtId="0" fontId="3" fillId="0" borderId="81" xfId="0" applyFont="1" applyFill="1" applyBorder="1"/>
    <xf numFmtId="0" fontId="1" fillId="0" borderId="8" xfId="0" applyFont="1" applyBorder="1" applyAlignment="1">
      <alignment horizontal="right"/>
    </xf>
    <xf numFmtId="0" fontId="1" fillId="0" borderId="32" xfId="0" applyFont="1" applyBorder="1"/>
    <xf numFmtId="10" fontId="1" fillId="0" borderId="44" xfId="2" applyFont="1" applyFill="1" applyBorder="1" applyAlignment="1">
      <alignment horizontal="center"/>
    </xf>
    <xf numFmtId="10" fontId="1" fillId="0" borderId="48" xfId="2" applyFont="1" applyBorder="1" applyAlignment="1">
      <alignment horizontal="right"/>
    </xf>
    <xf numFmtId="164" fontId="1" fillId="0" borderId="121" xfId="4" applyNumberFormat="1" applyFont="1" applyBorder="1"/>
    <xf numFmtId="0" fontId="3" fillId="0" borderId="22" xfId="0" applyFont="1" applyBorder="1"/>
    <xf numFmtId="0" fontId="1" fillId="2" borderId="74" xfId="0" applyFont="1" applyFill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 indent="2"/>
    </xf>
    <xf numFmtId="0" fontId="1" fillId="2" borderId="58" xfId="0" applyFont="1" applyFill="1" applyBorder="1" applyAlignment="1">
      <alignment horizontal="left" wrapText="1" indent="2"/>
    </xf>
    <xf numFmtId="0" fontId="2" fillId="0" borderId="0" xfId="0" applyFont="1" applyBorder="1" applyAlignment="1">
      <alignment wrapText="1"/>
    </xf>
    <xf numFmtId="1" fontId="1" fillId="4" borderId="0" xfId="0" applyNumberFormat="1" applyFont="1" applyFill="1" applyBorder="1"/>
    <xf numFmtId="1" fontId="1" fillId="0" borderId="44" xfId="0" applyNumberFormat="1" applyFont="1" applyBorder="1" applyAlignment="1">
      <alignment horizontal="right"/>
    </xf>
    <xf numFmtId="1" fontId="1" fillId="0" borderId="52" xfId="0" applyNumberFormat="1" applyFont="1" applyBorder="1" applyAlignment="1">
      <alignment horizontal="right"/>
    </xf>
    <xf numFmtId="0" fontId="1" fillId="2" borderId="121" xfId="0" applyFont="1" applyFill="1" applyBorder="1" applyAlignment="1">
      <alignment horizontal="right"/>
    </xf>
    <xf numFmtId="1" fontId="7" fillId="0" borderId="58" xfId="0" applyNumberFormat="1" applyFont="1" applyFill="1" applyBorder="1"/>
    <xf numFmtId="0" fontId="3" fillId="0" borderId="129" xfId="0" applyFont="1" applyBorder="1" applyAlignment="1">
      <alignment horizontal="center"/>
    </xf>
    <xf numFmtId="1" fontId="8" fillId="2" borderId="144" xfId="0" applyNumberFormat="1" applyFont="1" applyFill="1" applyBorder="1"/>
    <xf numFmtId="0" fontId="3" fillId="0" borderId="134" xfId="0" applyFont="1" applyBorder="1" applyAlignment="1">
      <alignment horizontal="center" wrapText="1"/>
    </xf>
    <xf numFmtId="0" fontId="3" fillId="0" borderId="168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1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95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left"/>
    </xf>
    <xf numFmtId="0" fontId="1" fillId="0" borderId="22" xfId="3" applyFont="1" applyBorder="1" applyAlignment="1">
      <alignment horizontal="left" indent="2"/>
    </xf>
    <xf numFmtId="0" fontId="1" fillId="0" borderId="27" xfId="3" applyFont="1" applyBorder="1" applyAlignment="1">
      <alignment horizontal="left" indent="2"/>
    </xf>
    <xf numFmtId="0" fontId="1" fillId="0" borderId="31" xfId="3" applyFont="1" applyBorder="1" applyAlignment="1">
      <alignment horizontal="left" indent="2"/>
    </xf>
    <xf numFmtId="0" fontId="1" fillId="2" borderId="74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 wrapText="1" indent="2"/>
    </xf>
    <xf numFmtId="0" fontId="1" fillId="2" borderId="31" xfId="0" applyFont="1" applyFill="1" applyBorder="1" applyAlignment="1">
      <alignment horizontal="left" wrapText="1" indent="2"/>
    </xf>
    <xf numFmtId="2" fontId="1" fillId="0" borderId="30" xfId="0" applyNumberFormat="1" applyFont="1" applyBorder="1" applyAlignment="1">
      <alignment horizontal="left" wrapText="1" indent="2"/>
    </xf>
    <xf numFmtId="0" fontId="3" fillId="2" borderId="22" xfId="0" applyFont="1" applyFill="1" applyBorder="1" applyAlignment="1">
      <alignment horizontal="left" indent="2"/>
    </xf>
    <xf numFmtId="0" fontId="1" fillId="2" borderId="27" xfId="0" applyFont="1" applyFill="1" applyBorder="1" applyAlignment="1">
      <alignment horizontal="left" indent="3"/>
    </xf>
    <xf numFmtId="0" fontId="3" fillId="2" borderId="27" xfId="0" applyFont="1" applyFill="1" applyBorder="1" applyAlignment="1">
      <alignment horizontal="left" indent="2"/>
    </xf>
    <xf numFmtId="0" fontId="1" fillId="2" borderId="15" xfId="0" applyFont="1" applyFill="1" applyBorder="1" applyAlignment="1">
      <alignment horizontal="left" indent="3"/>
    </xf>
    <xf numFmtId="164" fontId="3" fillId="2" borderId="85" xfId="2" applyNumberFormat="1" applyFont="1" applyFill="1" applyBorder="1" applyAlignment="1">
      <alignment horizontal="center"/>
    </xf>
    <xf numFmtId="3" fontId="3" fillId="2" borderId="126" xfId="1" applyNumberFormat="1" applyFont="1" applyFill="1" applyBorder="1" applyAlignment="1">
      <alignment horizontal="center"/>
    </xf>
    <xf numFmtId="3" fontId="3" fillId="2" borderId="163" xfId="1" applyNumberFormat="1" applyFont="1" applyFill="1" applyBorder="1" applyAlignment="1">
      <alignment horizontal="center"/>
    </xf>
    <xf numFmtId="0" fontId="1" fillId="3" borderId="64" xfId="0" applyFont="1" applyFill="1" applyBorder="1"/>
    <xf numFmtId="165" fontId="1" fillId="3" borderId="11" xfId="0" applyNumberFormat="1" applyFont="1" applyFill="1" applyBorder="1"/>
    <xf numFmtId="0" fontId="1" fillId="3" borderId="11" xfId="0" applyFont="1" applyFill="1" applyBorder="1"/>
    <xf numFmtId="0" fontId="1" fillId="3" borderId="19" xfId="0" applyFont="1" applyFill="1" applyBorder="1"/>
    <xf numFmtId="165" fontId="3" fillId="3" borderId="157" xfId="0" applyNumberFormat="1" applyFont="1" applyFill="1" applyBorder="1" applyAlignment="1">
      <alignment horizontal="right"/>
    </xf>
    <xf numFmtId="3" fontId="3" fillId="0" borderId="75" xfId="0" applyNumberFormat="1" applyFont="1" applyFill="1" applyBorder="1"/>
    <xf numFmtId="3" fontId="3" fillId="0" borderId="75" xfId="0" applyNumberFormat="1" applyFont="1" applyFill="1" applyBorder="1" applyAlignment="1">
      <alignment horizontal="right"/>
    </xf>
    <xf numFmtId="3" fontId="3" fillId="0" borderId="76" xfId="0" applyNumberFormat="1" applyFont="1" applyFill="1" applyBorder="1"/>
    <xf numFmtId="3" fontId="3" fillId="0" borderId="77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2" borderId="75" xfId="0" applyNumberFormat="1" applyFont="1" applyFill="1" applyBorder="1" applyAlignment="1">
      <alignment horizontal="center"/>
    </xf>
    <xf numFmtId="165" fontId="1" fillId="2" borderId="77" xfId="0" applyNumberFormat="1" applyFont="1" applyFill="1" applyBorder="1" applyAlignment="1">
      <alignment horizontal="center"/>
    </xf>
    <xf numFmtId="165" fontId="1" fillId="2" borderId="76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8" xfId="0" applyFont="1" applyFill="1" applyBorder="1"/>
    <xf numFmtId="0" fontId="1" fillId="3" borderId="9" xfId="0" applyFont="1" applyFill="1" applyBorder="1"/>
    <xf numFmtId="0" fontId="1" fillId="3" borderId="17" xfId="0" applyFont="1" applyFill="1" applyBorder="1"/>
    <xf numFmtId="0" fontId="1" fillId="3" borderId="12" xfId="0" applyFont="1" applyFill="1" applyBorder="1"/>
    <xf numFmtId="0" fontId="1" fillId="3" borderId="20" xfId="0" applyFont="1" applyFill="1" applyBorder="1"/>
    <xf numFmtId="0" fontId="3" fillId="0" borderId="79" xfId="0" applyFont="1" applyBorder="1" applyAlignment="1">
      <alignment horizontal="center"/>
    </xf>
    <xf numFmtId="3" fontId="1" fillId="2" borderId="140" xfId="1" applyNumberFormat="1" applyFont="1" applyFill="1" applyBorder="1" applyAlignment="1">
      <alignment horizontal="center"/>
    </xf>
    <xf numFmtId="10" fontId="1" fillId="2" borderId="83" xfId="2" applyNumberFormat="1" applyFont="1" applyFill="1" applyBorder="1" applyAlignment="1">
      <alignment horizontal="center"/>
    </xf>
    <xf numFmtId="1" fontId="3" fillId="3" borderId="106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1" fontId="3" fillId="3" borderId="95" xfId="0" applyNumberFormat="1" applyFont="1" applyFill="1" applyBorder="1" applyAlignment="1">
      <alignment horizontal="right"/>
    </xf>
    <xf numFmtId="1" fontId="3" fillId="3" borderId="83" xfId="0" applyNumberFormat="1" applyFont="1" applyFill="1" applyBorder="1" applyAlignment="1">
      <alignment horizontal="right"/>
    </xf>
    <xf numFmtId="0" fontId="3" fillId="5" borderId="157" xfId="0" applyFont="1" applyFill="1" applyBorder="1" applyAlignment="1">
      <alignment horizontal="right"/>
    </xf>
    <xf numFmtId="165" fontId="1" fillId="0" borderId="114" xfId="0" applyNumberFormat="1" applyFont="1" applyFill="1" applyBorder="1"/>
    <xf numFmtId="0" fontId="1" fillId="2" borderId="68" xfId="0" applyFont="1" applyFill="1" applyBorder="1" applyAlignment="1">
      <alignment horizontal="left" wrapText="1" indent="2"/>
    </xf>
    <xf numFmtId="1" fontId="1" fillId="5" borderId="24" xfId="2" applyNumberFormat="1" applyFont="1" applyFill="1" applyBorder="1" applyAlignment="1">
      <alignment horizontal="center"/>
    </xf>
    <xf numFmtId="10" fontId="1" fillId="5" borderId="23" xfId="2" applyFont="1" applyFill="1" applyBorder="1" applyAlignment="1">
      <alignment horizontal="center"/>
    </xf>
    <xf numFmtId="1" fontId="1" fillId="0" borderId="25" xfId="0" applyNumberFormat="1" applyFont="1" applyFill="1" applyBorder="1"/>
    <xf numFmtId="1" fontId="1" fillId="0" borderId="36" xfId="0" applyNumberFormat="1" applyFont="1" applyFill="1" applyBorder="1"/>
    <xf numFmtId="1" fontId="1" fillId="5" borderId="94" xfId="0" applyNumberFormat="1" applyFont="1" applyFill="1" applyBorder="1" applyAlignment="1">
      <alignment horizontal="right"/>
    </xf>
    <xf numFmtId="1" fontId="1" fillId="2" borderId="110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left"/>
    </xf>
    <xf numFmtId="1" fontId="1" fillId="5" borderId="35" xfId="2" applyNumberFormat="1" applyFont="1" applyFill="1" applyBorder="1" applyAlignment="1">
      <alignment horizontal="center"/>
    </xf>
    <xf numFmtId="10" fontId="1" fillId="5" borderId="33" xfId="2" applyFont="1" applyFill="1" applyBorder="1" applyAlignment="1">
      <alignment horizontal="center"/>
    </xf>
    <xf numFmtId="1" fontId="1" fillId="5" borderId="96" xfId="2" applyNumberFormat="1" applyFont="1" applyFill="1" applyBorder="1" applyAlignment="1">
      <alignment horizontal="center"/>
    </xf>
    <xf numFmtId="10" fontId="1" fillId="5" borderId="98" xfId="2" applyFont="1" applyFill="1" applyBorder="1" applyAlignment="1">
      <alignment horizontal="center"/>
    </xf>
    <xf numFmtId="1" fontId="1" fillId="5" borderId="87" xfId="2" applyNumberFormat="1" applyFont="1" applyFill="1" applyBorder="1" applyAlignment="1">
      <alignment horizontal="center"/>
    </xf>
    <xf numFmtId="10" fontId="1" fillId="5" borderId="88" xfId="2" applyFont="1" applyFill="1" applyBorder="1" applyAlignment="1">
      <alignment horizontal="center"/>
    </xf>
    <xf numFmtId="1" fontId="1" fillId="5" borderId="103" xfId="2" applyNumberFormat="1" applyFont="1" applyFill="1" applyBorder="1" applyAlignment="1">
      <alignment horizontal="center"/>
    </xf>
    <xf numFmtId="1" fontId="1" fillId="5" borderId="32" xfId="2" applyNumberFormat="1" applyFont="1" applyFill="1" applyBorder="1" applyAlignment="1">
      <alignment horizontal="center"/>
    </xf>
    <xf numFmtId="1" fontId="1" fillId="5" borderId="62" xfId="2" applyNumberFormat="1" applyFont="1" applyFill="1" applyBorder="1" applyAlignment="1">
      <alignment horizontal="center"/>
    </xf>
    <xf numFmtId="10" fontId="1" fillId="5" borderId="65" xfId="2" applyFont="1" applyFill="1" applyBorder="1" applyAlignment="1">
      <alignment horizontal="center"/>
    </xf>
    <xf numFmtId="1" fontId="1" fillId="5" borderId="64" xfId="2" applyNumberFormat="1" applyFont="1" applyFill="1" applyBorder="1" applyAlignment="1">
      <alignment horizontal="center"/>
    </xf>
    <xf numFmtId="1" fontId="1" fillId="5" borderId="89" xfId="2" applyNumberFormat="1" applyFont="1" applyFill="1" applyBorder="1" applyAlignment="1">
      <alignment horizontal="center"/>
    </xf>
    <xf numFmtId="10" fontId="1" fillId="5" borderId="91" xfId="2" applyFont="1" applyFill="1" applyBorder="1" applyAlignment="1">
      <alignment horizontal="center"/>
    </xf>
    <xf numFmtId="1" fontId="1" fillId="5" borderId="130" xfId="2" applyNumberFormat="1" applyFont="1" applyFill="1" applyBorder="1" applyAlignment="1">
      <alignment horizontal="center"/>
    </xf>
    <xf numFmtId="1" fontId="1" fillId="5" borderId="167" xfId="2" applyNumberFormat="1" applyFont="1" applyFill="1" applyBorder="1" applyAlignment="1">
      <alignment horizontal="center"/>
    </xf>
    <xf numFmtId="0" fontId="1" fillId="5" borderId="61" xfId="0" applyFont="1" applyFill="1" applyBorder="1" applyAlignment="1">
      <alignment horizontal="right"/>
    </xf>
    <xf numFmtId="0" fontId="1" fillId="5" borderId="59" xfId="0" applyFont="1" applyFill="1" applyBorder="1" applyAlignment="1">
      <alignment horizontal="right"/>
    </xf>
    <xf numFmtId="0" fontId="10" fillId="0" borderId="0" xfId="0" applyFont="1"/>
    <xf numFmtId="1" fontId="3" fillId="5" borderId="66" xfId="0" applyNumberFormat="1" applyFont="1" applyFill="1" applyBorder="1" applyAlignment="1">
      <alignment horizontal="right"/>
    </xf>
    <xf numFmtId="1" fontId="3" fillId="5" borderId="94" xfId="0" applyNumberFormat="1" applyFont="1" applyFill="1" applyBorder="1" applyAlignment="1">
      <alignment horizontal="right"/>
    </xf>
    <xf numFmtId="3" fontId="3" fillId="0" borderId="28" xfId="1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1" fontId="8" fillId="6" borderId="7" xfId="0" applyNumberFormat="1" applyFont="1" applyFill="1" applyBorder="1" applyAlignment="1">
      <alignment horizontal="right"/>
    </xf>
    <xf numFmtId="1" fontId="8" fillId="6" borderId="103" xfId="0" applyNumberFormat="1" applyFont="1" applyFill="1" applyBorder="1"/>
    <xf numFmtId="1" fontId="8" fillId="6" borderId="125" xfId="0" applyNumberFormat="1" applyFont="1" applyFill="1" applyBorder="1" applyAlignment="1">
      <alignment horizontal="right"/>
    </xf>
    <xf numFmtId="1" fontId="8" fillId="6" borderId="24" xfId="0" applyNumberFormat="1" applyFont="1" applyFill="1" applyBorder="1"/>
    <xf numFmtId="1" fontId="8" fillId="6" borderId="23" xfId="0" applyNumberFormat="1" applyFont="1" applyFill="1" applyBorder="1" applyAlignment="1">
      <alignment horizontal="right"/>
    </xf>
    <xf numFmtId="1" fontId="7" fillId="6" borderId="25" xfId="0" applyNumberFormat="1" applyFont="1" applyFill="1" applyBorder="1" applyAlignment="1">
      <alignment horizontal="right"/>
    </xf>
    <xf numFmtId="1" fontId="8" fillId="6" borderId="28" xfId="0" applyNumberFormat="1" applyFont="1" applyFill="1" applyBorder="1"/>
    <xf numFmtId="1" fontId="8" fillId="6" borderId="12" xfId="0" applyNumberFormat="1" applyFont="1" applyFill="1" applyBorder="1"/>
    <xf numFmtId="1" fontId="1" fillId="0" borderId="22" xfId="0" applyNumberFormat="1" applyFont="1" applyFill="1" applyBorder="1" applyAlignment="1">
      <alignment horizontal="right"/>
    </xf>
    <xf numFmtId="0" fontId="1" fillId="0" borderId="64" xfId="0" applyFont="1" applyFill="1" applyBorder="1" applyAlignment="1">
      <alignment horizontal="right"/>
    </xf>
    <xf numFmtId="3" fontId="1" fillId="0" borderId="43" xfId="1" applyNumberFormat="1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3" fontId="1" fillId="2" borderId="43" xfId="1" applyNumberFormat="1" applyFont="1" applyFill="1" applyBorder="1" applyAlignment="1">
      <alignment horizontal="right"/>
    </xf>
    <xf numFmtId="1" fontId="1" fillId="0" borderId="64" xfId="0" applyNumberFormat="1" applyFont="1" applyBorder="1" applyAlignment="1">
      <alignment horizontal="right"/>
    </xf>
    <xf numFmtId="1" fontId="8" fillId="6" borderId="58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right"/>
    </xf>
    <xf numFmtId="0" fontId="8" fillId="6" borderId="125" xfId="0" applyFont="1" applyFill="1" applyBorder="1" applyAlignment="1">
      <alignment horizontal="right"/>
    </xf>
    <xf numFmtId="0" fontId="8" fillId="6" borderId="23" xfId="0" applyFont="1" applyFill="1" applyBorder="1" applyAlignment="1">
      <alignment horizontal="right"/>
    </xf>
    <xf numFmtId="0" fontId="8" fillId="6" borderId="103" xfId="0" applyFont="1" applyFill="1" applyBorder="1" applyAlignment="1">
      <alignment horizontal="right"/>
    </xf>
    <xf numFmtId="1" fontId="8" fillId="6" borderId="25" xfId="0" applyNumberFormat="1" applyFont="1" applyFill="1" applyBorder="1" applyAlignment="1">
      <alignment horizontal="right"/>
    </xf>
    <xf numFmtId="1" fontId="8" fillId="6" borderId="12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2"/>
    </xf>
    <xf numFmtId="1" fontId="1" fillId="5" borderId="0" xfId="2" applyNumberFormat="1" applyFont="1" applyFill="1" applyBorder="1" applyAlignment="1">
      <alignment horizontal="center"/>
    </xf>
    <xf numFmtId="10" fontId="1" fillId="5" borderId="0" xfId="2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0" fontId="1" fillId="0" borderId="0" xfId="2" applyFont="1" applyFill="1" applyBorder="1" applyAlignment="1">
      <alignment horizontal="center"/>
    </xf>
    <xf numFmtId="1" fontId="1" fillId="5" borderId="19" xfId="2" applyNumberFormat="1" applyFont="1" applyFill="1" applyBorder="1" applyAlignment="1">
      <alignment horizontal="center"/>
    </xf>
    <xf numFmtId="10" fontId="1" fillId="5" borderId="17" xfId="2" applyFont="1" applyFill="1" applyBorder="1" applyAlignment="1">
      <alignment horizontal="center"/>
    </xf>
    <xf numFmtId="1" fontId="1" fillId="2" borderId="19" xfId="2" applyNumberFormat="1" applyFont="1" applyFill="1" applyBorder="1" applyAlignment="1">
      <alignment horizontal="center"/>
    </xf>
    <xf numFmtId="10" fontId="1" fillId="2" borderId="17" xfId="2" applyFont="1" applyFill="1" applyBorder="1" applyAlignment="1">
      <alignment horizontal="center"/>
    </xf>
    <xf numFmtId="10" fontId="1" fillId="2" borderId="20" xfId="2" applyFont="1" applyFill="1" applyBorder="1" applyAlignment="1">
      <alignment horizontal="center"/>
    </xf>
    <xf numFmtId="1" fontId="1" fillId="2" borderId="5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0" fontId="7" fillId="0" borderId="58" xfId="0" applyFont="1" applyFill="1" applyBorder="1" applyAlignment="1">
      <alignment horizontal="left"/>
    </xf>
    <xf numFmtId="1" fontId="3" fillId="0" borderId="103" xfId="0" applyNumberFormat="1" applyFont="1" applyFill="1" applyBorder="1" applyAlignment="1">
      <alignment horizontal="right"/>
    </xf>
    <xf numFmtId="1" fontId="3" fillId="0" borderId="125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right"/>
    </xf>
    <xf numFmtId="1" fontId="1" fillId="0" borderId="20" xfId="0" applyNumberFormat="1" applyFont="1" applyFill="1" applyBorder="1"/>
    <xf numFmtId="1" fontId="1" fillId="0" borderId="109" xfId="0" applyNumberFormat="1" applyFont="1" applyFill="1" applyBorder="1"/>
    <xf numFmtId="10" fontId="1" fillId="2" borderId="166" xfId="2" applyFont="1" applyFill="1" applyBorder="1" applyAlignment="1">
      <alignment horizontal="center"/>
    </xf>
    <xf numFmtId="3" fontId="1" fillId="2" borderId="166" xfId="1" applyNumberFormat="1" applyFont="1" applyFill="1" applyBorder="1" applyAlignment="1">
      <alignment horizontal="center"/>
    </xf>
    <xf numFmtId="0" fontId="2" fillId="2" borderId="0" xfId="0" applyFont="1" applyFill="1" applyBorder="1"/>
    <xf numFmtId="0" fontId="1" fillId="0" borderId="166" xfId="0" applyFont="1" applyFill="1" applyBorder="1" applyAlignment="1">
      <alignment horizontal="left" indent="2"/>
    </xf>
    <xf numFmtId="1" fontId="1" fillId="0" borderId="166" xfId="2" applyNumberFormat="1" applyFont="1" applyFill="1" applyBorder="1" applyAlignment="1">
      <alignment horizontal="center"/>
    </xf>
    <xf numFmtId="10" fontId="1" fillId="0" borderId="166" xfId="2" applyFont="1" applyFill="1" applyBorder="1" applyAlignment="1">
      <alignment horizontal="center"/>
    </xf>
    <xf numFmtId="1" fontId="11" fillId="0" borderId="0" xfId="0" applyNumberFormat="1" applyFont="1" applyFill="1"/>
    <xf numFmtId="0" fontId="0" fillId="0" borderId="0" xfId="0" applyAlignment="1">
      <alignment horizontal="center"/>
    </xf>
    <xf numFmtId="0" fontId="3" fillId="0" borderId="135" xfId="0" applyFont="1" applyBorder="1" applyAlignment="1">
      <alignment horizontal="center" wrapText="1"/>
    </xf>
    <xf numFmtId="0" fontId="3" fillId="0" borderId="1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58" xfId="0" applyBorder="1" applyAlignment="1">
      <alignment horizontal="left" indent="1"/>
    </xf>
    <xf numFmtId="1" fontId="0" fillId="0" borderId="23" xfId="0" applyNumberFormat="1" applyBorder="1"/>
    <xf numFmtId="0" fontId="0" fillId="0" borderId="27" xfId="0" applyBorder="1" applyAlignment="1">
      <alignment horizontal="left" indent="1"/>
    </xf>
    <xf numFmtId="1" fontId="0" fillId="0" borderId="65" xfId="0" applyNumberFormat="1" applyBorder="1"/>
    <xf numFmtId="0" fontId="0" fillId="0" borderId="31" xfId="0" applyBorder="1" applyAlignment="1">
      <alignment horizontal="left" indent="1"/>
    </xf>
    <xf numFmtId="0" fontId="0" fillId="0" borderId="40" xfId="0" applyBorder="1"/>
    <xf numFmtId="0" fontId="0" fillId="0" borderId="41" xfId="0" applyBorder="1"/>
    <xf numFmtId="0" fontId="0" fillId="0" borderId="6" xfId="0" applyBorder="1"/>
    <xf numFmtId="1" fontId="1" fillId="0" borderId="58" xfId="0" applyNumberFormat="1" applyFont="1" applyFill="1" applyBorder="1" applyAlignment="1">
      <alignment horizontal="left" indent="2"/>
    </xf>
    <xf numFmtId="10" fontId="0" fillId="0" borderId="53" xfId="0" applyNumberFormat="1" applyBorder="1"/>
    <xf numFmtId="10" fontId="0" fillId="0" borderId="54" xfId="0" applyNumberFormat="1" applyBorder="1"/>
    <xf numFmtId="10" fontId="0" fillId="0" borderId="26" xfId="0" applyNumberFormat="1" applyBorder="1"/>
    <xf numFmtId="0" fontId="1" fillId="0" borderId="22" xfId="0" applyFont="1" applyBorder="1" applyAlignment="1">
      <alignment horizontal="left" indent="2"/>
    </xf>
    <xf numFmtId="0" fontId="0" fillId="0" borderId="46" xfId="0" applyBorder="1"/>
    <xf numFmtId="10" fontId="0" fillId="0" borderId="47" xfId="0" applyNumberFormat="1" applyBorder="1"/>
    <xf numFmtId="0" fontId="0" fillId="0" borderId="29" xfId="0" applyBorder="1"/>
    <xf numFmtId="10" fontId="0" fillId="0" borderId="47" xfId="2" applyFont="1" applyBorder="1"/>
    <xf numFmtId="0" fontId="1" fillId="0" borderId="31" xfId="0" applyFont="1" applyBorder="1" applyAlignment="1">
      <alignment horizontal="left" indent="2"/>
    </xf>
    <xf numFmtId="0" fontId="0" fillId="0" borderId="50" xfId="0" applyBorder="1"/>
    <xf numFmtId="0" fontId="0" fillId="0" borderId="51" xfId="0" applyBorder="1"/>
    <xf numFmtId="0" fontId="0" fillId="0" borderId="38" xfId="0" applyBorder="1"/>
    <xf numFmtId="0" fontId="1" fillId="0" borderId="27" xfId="0" applyFont="1" applyBorder="1" applyAlignment="1">
      <alignment horizontal="left" indent="1"/>
    </xf>
    <xf numFmtId="0" fontId="0" fillId="0" borderId="53" xfId="0" applyBorder="1"/>
    <xf numFmtId="3" fontId="0" fillId="0" borderId="54" xfId="0" applyNumberFormat="1" applyBorder="1"/>
    <xf numFmtId="3" fontId="0" fillId="0" borderId="63" xfId="0" applyNumberFormat="1" applyBorder="1"/>
    <xf numFmtId="0" fontId="0" fillId="0" borderId="62" xfId="0" applyBorder="1"/>
    <xf numFmtId="3" fontId="0" fillId="0" borderId="24" xfId="0" applyNumberFormat="1" applyBorder="1"/>
    <xf numFmtId="0" fontId="0" fillId="0" borderId="8" xfId="0" applyBorder="1"/>
    <xf numFmtId="0" fontId="1" fillId="0" borderId="30" xfId="0" applyFont="1" applyBorder="1" applyAlignment="1">
      <alignment horizontal="left" indent="1"/>
    </xf>
    <xf numFmtId="0" fontId="1" fillId="0" borderId="74" xfId="0" applyFont="1" applyBorder="1" applyAlignment="1">
      <alignment horizontal="center"/>
    </xf>
    <xf numFmtId="0" fontId="5" fillId="0" borderId="76" xfId="0" applyFont="1" applyBorder="1"/>
    <xf numFmtId="3" fontId="5" fillId="0" borderId="77" xfId="0" applyNumberFormat="1" applyFont="1" applyBorder="1"/>
    <xf numFmtId="3" fontId="3" fillId="2" borderId="169" xfId="1" applyNumberFormat="1" applyFont="1" applyFill="1" applyBorder="1" applyAlignment="1">
      <alignment horizontal="center"/>
    </xf>
    <xf numFmtId="164" fontId="3" fillId="2" borderId="41" xfId="2" applyNumberFormat="1" applyFont="1" applyFill="1" applyBorder="1" applyAlignment="1">
      <alignment horizontal="center"/>
    </xf>
    <xf numFmtId="3" fontId="3" fillId="2" borderId="40" xfId="1" applyNumberFormat="1" applyFont="1" applyFill="1" applyBorder="1" applyAlignment="1">
      <alignment horizontal="center"/>
    </xf>
    <xf numFmtId="164" fontId="3" fillId="2" borderId="170" xfId="2" applyNumberFormat="1" applyFont="1" applyFill="1" applyBorder="1" applyAlignment="1">
      <alignment horizontal="center"/>
    </xf>
    <xf numFmtId="164" fontId="3" fillId="2" borderId="171" xfId="2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left" indent="1"/>
    </xf>
    <xf numFmtId="10" fontId="0" fillId="0" borderId="23" xfId="2" applyNumberFormat="1" applyFont="1" applyBorder="1"/>
    <xf numFmtId="10" fontId="0" fillId="0" borderId="25" xfId="2" applyFont="1" applyBorder="1"/>
    <xf numFmtId="0" fontId="1" fillId="2" borderId="31" xfId="0" applyFont="1" applyFill="1" applyBorder="1" applyAlignment="1">
      <alignment horizontal="left" indent="1"/>
    </xf>
    <xf numFmtId="0" fontId="0" fillId="0" borderId="35" xfId="0" applyBorder="1"/>
    <xf numFmtId="10" fontId="0" fillId="0" borderId="33" xfId="2" applyFont="1" applyBorder="1"/>
    <xf numFmtId="1" fontId="0" fillId="0" borderId="35" xfId="0" applyNumberFormat="1" applyBorder="1"/>
    <xf numFmtId="10" fontId="0" fillId="0" borderId="38" xfId="2" applyFont="1" applyBorder="1"/>
    <xf numFmtId="0" fontId="3" fillId="2" borderId="1" xfId="0" applyFont="1" applyFill="1" applyBorder="1"/>
    <xf numFmtId="0" fontId="0" fillId="0" borderId="54" xfId="0" applyBorder="1"/>
    <xf numFmtId="0" fontId="0" fillId="0" borderId="121" xfId="0" applyBorder="1"/>
    <xf numFmtId="0" fontId="0" fillId="0" borderId="26" xfId="0" applyBorder="1"/>
    <xf numFmtId="0" fontId="1" fillId="0" borderId="7" xfId="0" applyFont="1" applyBorder="1" applyAlignment="1">
      <alignment horizontal="left" wrapText="1" indent="3"/>
    </xf>
    <xf numFmtId="0" fontId="0" fillId="0" borderId="47" xfId="0" applyBorder="1"/>
    <xf numFmtId="0" fontId="1" fillId="0" borderId="27" xfId="0" applyFont="1" applyBorder="1" applyAlignment="1">
      <alignment horizontal="left" wrapText="1" indent="3"/>
    </xf>
    <xf numFmtId="2" fontId="1" fillId="0" borderId="7" xfId="0" applyNumberFormat="1" applyFont="1" applyBorder="1" applyAlignment="1">
      <alignment horizontal="left" wrapText="1" indent="3"/>
    </xf>
    <xf numFmtId="0" fontId="0" fillId="0" borderId="147" xfId="0" applyBorder="1"/>
    <xf numFmtId="0" fontId="3" fillId="0" borderId="153" xfId="0" applyFont="1" applyBorder="1" applyAlignment="1">
      <alignment horizontal="left" indent="1"/>
    </xf>
    <xf numFmtId="0" fontId="3" fillId="2" borderId="58" xfId="0" applyFont="1" applyFill="1" applyBorder="1" applyAlignment="1">
      <alignment horizontal="left" indent="3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" fillId="2" borderId="27" xfId="0" applyFont="1" applyFill="1" applyBorder="1" applyAlignment="1">
      <alignment horizontal="left" indent="5"/>
    </xf>
    <xf numFmtId="0" fontId="0" fillId="0" borderId="11" xfId="0" applyBorder="1"/>
    <xf numFmtId="0" fontId="3" fillId="2" borderId="27" xfId="0" applyFont="1" applyFill="1" applyBorder="1" applyAlignment="1">
      <alignment horizontal="left" indent="3"/>
    </xf>
    <xf numFmtId="0" fontId="1" fillId="2" borderId="7" xfId="0" applyFont="1" applyFill="1" applyBorder="1" applyAlignment="1">
      <alignment horizontal="left" indent="5"/>
    </xf>
    <xf numFmtId="0" fontId="0" fillId="0" borderId="19" xfId="0" applyBorder="1"/>
    <xf numFmtId="0" fontId="3" fillId="2" borderId="172" xfId="0" applyFont="1" applyFill="1" applyBorder="1" applyAlignment="1">
      <alignment horizontal="center"/>
    </xf>
    <xf numFmtId="0" fontId="2" fillId="0" borderId="157" xfId="0" applyFont="1" applyBorder="1"/>
    <xf numFmtId="0" fontId="2" fillId="0" borderId="158" xfId="0" applyFont="1" applyBorder="1"/>
    <xf numFmtId="0" fontId="3" fillId="2" borderId="172" xfId="0" applyFont="1" applyFill="1" applyBorder="1" applyAlignment="1">
      <alignment horizontal="left" indent="3"/>
    </xf>
    <xf numFmtId="10" fontId="0" fillId="0" borderId="9" xfId="2" applyFont="1" applyBorder="1"/>
    <xf numFmtId="10" fontId="0" fillId="0" borderId="12" xfId="2" applyFont="1" applyBorder="1"/>
    <xf numFmtId="10" fontId="0" fillId="0" borderId="17" xfId="2" applyFont="1" applyBorder="1"/>
    <xf numFmtId="10" fontId="0" fillId="0" borderId="20" xfId="2" applyFont="1" applyBorder="1"/>
    <xf numFmtId="0" fontId="0" fillId="0" borderId="24" xfId="0" applyBorder="1"/>
    <xf numFmtId="10" fontId="0" fillId="0" borderId="23" xfId="2" applyFont="1" applyBorder="1"/>
    <xf numFmtId="10" fontId="0" fillId="0" borderId="36" xfId="2" applyFont="1" applyBorder="1"/>
    <xf numFmtId="165" fontId="2" fillId="0" borderId="157" xfId="0" applyNumberFormat="1" applyFont="1" applyBorder="1"/>
    <xf numFmtId="1" fontId="0" fillId="0" borderId="24" xfId="0" applyNumberFormat="1" applyBorder="1"/>
    <xf numFmtId="1" fontId="0" fillId="0" borderId="64" xfId="0" applyNumberFormat="1" applyBorder="1"/>
    <xf numFmtId="1" fontId="0" fillId="0" borderId="96" xfId="0" applyNumberFormat="1" applyBorder="1"/>
    <xf numFmtId="1" fontId="0" fillId="0" borderId="98" xfId="0" applyNumberFormat="1" applyBorder="1"/>
    <xf numFmtId="3" fontId="0" fillId="0" borderId="47" xfId="0" applyNumberFormat="1" applyBorder="1"/>
    <xf numFmtId="0" fontId="0" fillId="0" borderId="139" xfId="0" applyBorder="1"/>
    <xf numFmtId="3" fontId="0" fillId="0" borderId="173" xfId="0" applyNumberFormat="1" applyBorder="1"/>
    <xf numFmtId="0" fontId="0" fillId="0" borderId="79" xfId="0" applyBorder="1"/>
    <xf numFmtId="0" fontId="0" fillId="0" borderId="114" xfId="0" applyBorder="1"/>
    <xf numFmtId="0" fontId="2" fillId="0" borderId="155" xfId="0" applyFont="1" applyBorder="1"/>
    <xf numFmtId="1" fontId="0" fillId="0" borderId="64" xfId="0" applyNumberFormat="1" applyFill="1" applyBorder="1"/>
    <xf numFmtId="1" fontId="0" fillId="0" borderId="96" xfId="0" applyNumberFormat="1" applyFill="1" applyBorder="1"/>
    <xf numFmtId="1" fontId="1" fillId="2" borderId="24" xfId="0" applyNumberFormat="1" applyFont="1" applyFill="1" applyBorder="1" applyAlignment="1">
      <alignment horizontal="right"/>
    </xf>
    <xf numFmtId="1" fontId="3" fillId="5" borderId="25" xfId="0" applyNumberFormat="1" applyFont="1" applyFill="1" applyBorder="1" applyAlignment="1">
      <alignment horizontal="right"/>
    </xf>
    <xf numFmtId="1" fontId="0" fillId="0" borderId="24" xfId="0" applyNumberFormat="1" applyFill="1" applyBorder="1"/>
    <xf numFmtId="0" fontId="0" fillId="3" borderId="62" xfId="0" applyFill="1" applyBorder="1"/>
    <xf numFmtId="3" fontId="0" fillId="3" borderId="65" xfId="0" applyNumberFormat="1" applyFill="1" applyBorder="1"/>
    <xf numFmtId="3" fontId="0" fillId="3" borderId="63" xfId="0" applyNumberFormat="1" applyFill="1" applyBorder="1"/>
    <xf numFmtId="3" fontId="0" fillId="3" borderId="23" xfId="0" applyNumberFormat="1" applyFill="1" applyBorder="1"/>
    <xf numFmtId="0" fontId="0" fillId="3" borderId="35" xfId="0" applyFill="1" applyBorder="1"/>
    <xf numFmtId="10" fontId="0" fillId="3" borderId="33" xfId="2" applyFont="1" applyFill="1" applyBorder="1"/>
    <xf numFmtId="0" fontId="3" fillId="0" borderId="0" xfId="0" applyFont="1" applyBorder="1" applyAlignment="1"/>
    <xf numFmtId="0" fontId="1" fillId="2" borderId="45" xfId="0" applyFont="1" applyFill="1" applyBorder="1"/>
    <xf numFmtId="165" fontId="1" fillId="2" borderId="67" xfId="0" applyNumberFormat="1" applyFont="1" applyFill="1" applyBorder="1" applyAlignment="1">
      <alignment horizontal="right"/>
    </xf>
    <xf numFmtId="1" fontId="1" fillId="2" borderId="45" xfId="0" applyNumberFormat="1" applyFont="1" applyFill="1" applyBorder="1" applyAlignment="1">
      <alignment horizontal="right"/>
    </xf>
    <xf numFmtId="165" fontId="3" fillId="2" borderId="154" xfId="0" applyNumberFormat="1" applyFont="1" applyFill="1" applyBorder="1" applyAlignment="1">
      <alignment horizontal="right"/>
    </xf>
    <xf numFmtId="1" fontId="3" fillId="2" borderId="174" xfId="0" applyNumberFormat="1" applyFont="1" applyFill="1" applyBorder="1" applyAlignment="1">
      <alignment horizontal="right"/>
    </xf>
    <xf numFmtId="0" fontId="3" fillId="2" borderId="17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165" fontId="1" fillId="2" borderId="80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1" fillId="2" borderId="28" xfId="0" applyNumberFormat="1" applyFont="1" applyFill="1" applyBorder="1"/>
    <xf numFmtId="165" fontId="1" fillId="2" borderId="28" xfId="3" applyNumberFormat="1" applyFont="1" applyFill="1" applyBorder="1" applyAlignment="1"/>
    <xf numFmtId="1" fontId="1" fillId="2" borderId="29" xfId="0" applyNumberFormat="1" applyFont="1" applyFill="1" applyBorder="1"/>
    <xf numFmtId="2" fontId="1" fillId="2" borderId="55" xfId="0" applyNumberFormat="1" applyFont="1" applyFill="1" applyBorder="1"/>
    <xf numFmtId="2" fontId="1" fillId="2" borderId="56" xfId="0" applyNumberFormat="1" applyFont="1" applyFill="1" applyBorder="1"/>
    <xf numFmtId="0" fontId="3" fillId="2" borderId="176" xfId="0" applyFont="1" applyFill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7" fillId="2" borderId="27" xfId="0" applyFont="1" applyFill="1" applyBorder="1" applyAlignment="1">
      <alignment horizontal="left" wrapText="1"/>
    </xf>
    <xf numFmtId="3" fontId="1" fillId="3" borderId="29" xfId="0" applyNumberFormat="1" applyFont="1" applyFill="1" applyBorder="1"/>
    <xf numFmtId="3" fontId="1" fillId="3" borderId="29" xfId="0" applyNumberFormat="1" applyFont="1" applyFill="1" applyBorder="1" applyAlignment="1">
      <alignment horizontal="right"/>
    </xf>
    <xf numFmtId="3" fontId="1" fillId="3" borderId="56" xfId="0" applyNumberFormat="1" applyFont="1" applyFill="1" applyBorder="1"/>
    <xf numFmtId="3" fontId="3" fillId="3" borderId="78" xfId="0" applyNumberFormat="1" applyFont="1" applyFill="1" applyBorder="1" applyAlignment="1">
      <alignment horizontal="right"/>
    </xf>
    <xf numFmtId="0" fontId="3" fillId="3" borderId="95" xfId="0" applyFont="1" applyFill="1" applyBorder="1"/>
    <xf numFmtId="3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3" fontId="1" fillId="0" borderId="29" xfId="0" applyNumberFormat="1" applyFont="1" applyBorder="1"/>
    <xf numFmtId="10" fontId="3" fillId="0" borderId="67" xfId="2" applyFont="1" applyBorder="1" applyAlignment="1">
      <alignment horizontal="center"/>
    </xf>
    <xf numFmtId="0" fontId="3" fillId="0" borderId="133" xfId="0" applyFont="1" applyBorder="1" applyAlignment="1">
      <alignment horizontal="center" wrapText="1"/>
    </xf>
    <xf numFmtId="1" fontId="3" fillId="0" borderId="87" xfId="0" applyNumberFormat="1" applyFont="1" applyBorder="1" applyAlignment="1">
      <alignment horizontal="right"/>
    </xf>
    <xf numFmtId="3" fontId="1" fillId="3" borderId="29" xfId="1" applyNumberFormat="1" applyFont="1" applyFill="1" applyBorder="1" applyAlignment="1">
      <alignment horizontal="right"/>
    </xf>
    <xf numFmtId="3" fontId="3" fillId="3" borderId="78" xfId="0" applyNumberFormat="1" applyFont="1" applyFill="1" applyBorder="1"/>
    <xf numFmtId="0" fontId="1" fillId="2" borderId="121" xfId="0" applyFont="1" applyFill="1" applyBorder="1" applyAlignment="1">
      <alignment horizontal="center"/>
    </xf>
    <xf numFmtId="10" fontId="3" fillId="2" borderId="121" xfId="2" applyFont="1" applyFill="1" applyBorder="1" applyAlignment="1">
      <alignment horizontal="center"/>
    </xf>
    <xf numFmtId="10" fontId="3" fillId="2" borderId="44" xfId="2" applyFont="1" applyFill="1" applyBorder="1" applyAlignment="1">
      <alignment horizontal="center"/>
    </xf>
    <xf numFmtId="10" fontId="1" fillId="2" borderId="48" xfId="2" applyFont="1" applyFill="1" applyBorder="1" applyAlignment="1">
      <alignment horizontal="right"/>
    </xf>
    <xf numFmtId="1" fontId="1" fillId="0" borderId="62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3" fillId="0" borderId="115" xfId="0" applyFont="1" applyBorder="1" applyAlignment="1">
      <alignment horizontal="center" wrapText="1"/>
    </xf>
    <xf numFmtId="0" fontId="1" fillId="0" borderId="23" xfId="0" applyFont="1" applyFill="1" applyBorder="1"/>
    <xf numFmtId="3" fontId="3" fillId="2" borderId="81" xfId="1" applyNumberFormat="1" applyFont="1" applyFill="1" applyBorder="1" applyAlignment="1">
      <alignment horizontal="center"/>
    </xf>
    <xf numFmtId="1" fontId="1" fillId="2" borderId="103" xfId="2" applyNumberFormat="1" applyFont="1" applyFill="1" applyBorder="1" applyAlignment="1">
      <alignment horizontal="center"/>
    </xf>
    <xf numFmtId="1" fontId="1" fillId="2" borderId="16" xfId="2" applyNumberFormat="1" applyFont="1" applyFill="1" applyBorder="1" applyAlignment="1">
      <alignment horizontal="center"/>
    </xf>
    <xf numFmtId="1" fontId="1" fillId="2" borderId="52" xfId="2" applyNumberFormat="1" applyFont="1" applyFill="1" applyBorder="1" applyAlignment="1">
      <alignment horizontal="center"/>
    </xf>
    <xf numFmtId="0" fontId="3" fillId="2" borderId="145" xfId="0" applyFont="1" applyFill="1" applyBorder="1"/>
    <xf numFmtId="0" fontId="1" fillId="2" borderId="16" xfId="0" applyFont="1" applyFill="1" applyBorder="1"/>
    <xf numFmtId="3" fontId="1" fillId="2" borderId="47" xfId="0" applyNumberFormat="1" applyFont="1" applyFill="1" applyBorder="1"/>
    <xf numFmtId="4" fontId="1" fillId="2" borderId="146" xfId="0" applyNumberFormat="1" applyFont="1" applyFill="1" applyBorder="1"/>
    <xf numFmtId="3" fontId="1" fillId="2" borderId="17" xfId="0" applyNumberFormat="1" applyFont="1" applyFill="1" applyBorder="1"/>
    <xf numFmtId="164" fontId="1" fillId="2" borderId="23" xfId="2" applyNumberFormat="1" applyFont="1" applyFill="1" applyBorder="1" applyAlignment="1">
      <alignment horizontal="right"/>
    </xf>
    <xf numFmtId="1" fontId="1" fillId="0" borderId="65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3" fillId="3" borderId="66" xfId="0" applyNumberFormat="1" applyFont="1" applyFill="1" applyBorder="1" applyAlignment="1">
      <alignment horizontal="right"/>
    </xf>
    <xf numFmtId="1" fontId="3" fillId="3" borderId="20" xfId="0" applyNumberFormat="1" applyFont="1" applyFill="1" applyBorder="1" applyAlignment="1">
      <alignment horizontal="right"/>
    </xf>
    <xf numFmtId="1" fontId="1" fillId="0" borderId="130" xfId="2" applyNumberFormat="1" applyFont="1" applyFill="1" applyBorder="1" applyAlignment="1">
      <alignment horizontal="center"/>
    </xf>
    <xf numFmtId="10" fontId="1" fillId="0" borderId="91" xfId="2" applyFont="1" applyFill="1" applyBorder="1" applyAlignment="1">
      <alignment horizontal="center"/>
    </xf>
    <xf numFmtId="1" fontId="1" fillId="0" borderId="35" xfId="2" applyNumberFormat="1" applyFont="1" applyFill="1" applyBorder="1" applyAlignment="1">
      <alignment horizontal="center"/>
    </xf>
    <xf numFmtId="10" fontId="1" fillId="0" borderId="33" xfId="2" applyFont="1" applyFill="1" applyBorder="1" applyAlignment="1">
      <alignment horizontal="center"/>
    </xf>
    <xf numFmtId="10" fontId="0" fillId="3" borderId="47" xfId="0" applyNumberFormat="1" applyFill="1" applyBorder="1"/>
    <xf numFmtId="10" fontId="0" fillId="3" borderId="47" xfId="2" applyFont="1" applyFill="1" applyBorder="1"/>
    <xf numFmtId="0" fontId="0" fillId="3" borderId="11" xfId="0" applyFill="1" applyBorder="1"/>
    <xf numFmtId="0" fontId="0" fillId="3" borderId="114" xfId="0" applyFill="1" applyBorder="1"/>
    <xf numFmtId="1" fontId="0" fillId="3" borderId="25" xfId="0" applyNumberFormat="1" applyFill="1" applyBorder="1"/>
    <xf numFmtId="1" fontId="0" fillId="3" borderId="66" xfId="0" applyNumberFormat="1" applyFill="1" applyBorder="1"/>
    <xf numFmtId="1" fontId="0" fillId="3" borderId="94" xfId="0" applyNumberFormat="1" applyFill="1" applyBorder="1"/>
    <xf numFmtId="3" fontId="0" fillId="3" borderId="26" xfId="0" applyNumberFormat="1" applyFill="1" applyBorder="1"/>
    <xf numFmtId="3" fontId="0" fillId="3" borderId="29" xfId="0" applyNumberFormat="1" applyFill="1" applyBorder="1"/>
    <xf numFmtId="3" fontId="0" fillId="3" borderId="165" xfId="0" applyNumberFormat="1" applyFill="1" applyBorder="1"/>
    <xf numFmtId="3" fontId="5" fillId="3" borderId="78" xfId="0" applyNumberFormat="1" applyFont="1" applyFill="1" applyBorder="1"/>
    <xf numFmtId="0" fontId="0" fillId="3" borderId="29" xfId="0" applyFill="1" applyBorder="1"/>
    <xf numFmtId="1" fontId="0" fillId="0" borderId="65" xfId="0" applyNumberFormat="1" applyBorder="1" applyAlignment="1">
      <alignment horizontal="center"/>
    </xf>
    <xf numFmtId="1" fontId="0" fillId="3" borderId="66" xfId="0" applyNumberFormat="1" applyFill="1" applyBorder="1" applyAlignment="1">
      <alignment horizontal="center"/>
    </xf>
    <xf numFmtId="10" fontId="1" fillId="3" borderId="43" xfId="2" applyFont="1" applyFill="1" applyBorder="1" applyAlignment="1">
      <alignment horizontal="right"/>
    </xf>
    <xf numFmtId="10" fontId="1" fillId="3" borderId="47" xfId="2" applyFont="1" applyFill="1" applyBorder="1" applyAlignment="1">
      <alignment horizontal="right"/>
    </xf>
    <xf numFmtId="10" fontId="1" fillId="3" borderId="129" xfId="2" applyFont="1" applyFill="1" applyBorder="1" applyAlignment="1">
      <alignment horizontal="right"/>
    </xf>
    <xf numFmtId="10" fontId="1" fillId="3" borderId="51" xfId="2" applyFont="1" applyFill="1" applyBorder="1" applyAlignment="1">
      <alignment horizontal="right"/>
    </xf>
    <xf numFmtId="10" fontId="3" fillId="3" borderId="43" xfId="2" applyFont="1" applyFill="1" applyBorder="1" applyAlignment="1">
      <alignment horizontal="center"/>
    </xf>
    <xf numFmtId="1" fontId="1" fillId="0" borderId="0" xfId="0" applyNumberFormat="1" applyFont="1"/>
    <xf numFmtId="9" fontId="1" fillId="3" borderId="43" xfId="0" applyNumberFormat="1" applyFont="1" applyFill="1" applyBorder="1" applyAlignment="1">
      <alignment horizontal="right"/>
    </xf>
    <xf numFmtId="9" fontId="1" fillId="3" borderId="47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3" fillId="0" borderId="123" xfId="3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0" xfId="3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23" xfId="3" applyFont="1" applyFill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0" xfId="3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2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164" fontId="1" fillId="2" borderId="52" xfId="3" applyNumberFormat="1" applyFont="1" applyFill="1" applyBorder="1" applyAlignment="1"/>
    <xf numFmtId="164" fontId="1" fillId="2" borderId="51" xfId="3" applyNumberFormat="1" applyFont="1" applyFill="1" applyBorder="1" applyAlignment="1"/>
    <xf numFmtId="164" fontId="1" fillId="2" borderId="37" xfId="3" applyNumberFormat="1" applyFont="1" applyFill="1" applyBorder="1" applyAlignment="1"/>
    <xf numFmtId="164" fontId="1" fillId="2" borderId="38" xfId="3" applyNumberFormat="1" applyFont="1" applyFill="1" applyBorder="1" applyAlignment="1"/>
    <xf numFmtId="164" fontId="1" fillId="2" borderId="50" xfId="3" applyNumberFormat="1" applyFont="1" applyFill="1" applyBorder="1" applyAlignment="1"/>
    <xf numFmtId="0" fontId="3" fillId="0" borderId="178" xfId="0" applyFont="1" applyFill="1" applyBorder="1" applyAlignment="1">
      <alignment horizontal="center"/>
    </xf>
    <xf numFmtId="0" fontId="3" fillId="2" borderId="123" xfId="3" applyFont="1" applyFill="1" applyBorder="1" applyAlignment="1">
      <alignment horizontal="center"/>
    </xf>
  </cellXfs>
  <cellStyles count="7">
    <cellStyle name="Comma" xfId="1" builtinId="3"/>
    <cellStyle name="Comma 3" xfId="6"/>
    <cellStyle name="Normal" xfId="0" builtinId="0"/>
    <cellStyle name="Normal 4" xfId="5"/>
    <cellStyle name="Normal_Accounting" xfId="3"/>
    <cellStyle name="Percent" xfId="2" builtinId="5"/>
    <cellStyle name="Percent_Accounti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zoomScaleNormal="100" zoomScaleSheetLayoutView="98" workbookViewId="0">
      <pane xSplit="1" topLeftCell="O1" activePane="topRight" state="frozen"/>
      <selection activeCell="T35" sqref="T35:U35"/>
      <selection pane="topRight" activeCell="T35" sqref="T35:U35"/>
    </sheetView>
  </sheetViews>
  <sheetFormatPr defaultRowHeight="12.75" x14ac:dyDescent="0.2"/>
  <cols>
    <col min="1" max="1" width="35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7109375" customWidth="1"/>
    <col min="23" max="23" width="6.7109375" customWidth="1"/>
    <col min="24" max="24" width="10.7109375" customWidth="1"/>
  </cols>
  <sheetData>
    <row r="1" spans="1:24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24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24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24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</row>
    <row r="5" spans="1:24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24" s="1" customFormat="1" ht="25.5" x14ac:dyDescent="0.2">
      <c r="A6" s="701" t="s">
        <v>123</v>
      </c>
      <c r="F6" s="2"/>
      <c r="G6" s="2"/>
      <c r="H6" s="2"/>
      <c r="I6" s="2"/>
    </row>
    <row r="7" spans="1:24" s="1" customFormat="1" x14ac:dyDescent="0.2">
      <c r="A7" s="461"/>
      <c r="F7" s="2"/>
      <c r="G7" s="2"/>
      <c r="H7" s="2"/>
      <c r="I7" s="2"/>
    </row>
    <row r="8" spans="1:24" s="1" customFormat="1" ht="6" customHeight="1" thickBot="1" x14ac:dyDescent="0.25">
      <c r="A8" s="462"/>
      <c r="B8" s="463"/>
      <c r="C8" s="463"/>
      <c r="D8" s="463"/>
      <c r="E8" s="463"/>
      <c r="F8" s="464"/>
      <c r="G8" s="464"/>
      <c r="H8" s="464"/>
      <c r="I8" s="464"/>
    </row>
    <row r="9" spans="1:24" ht="18" customHeight="1" thickTop="1" x14ac:dyDescent="0.2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W9" s="1036" t="s">
        <v>9</v>
      </c>
      <c r="X9" s="1037"/>
    </row>
    <row r="10" spans="1:24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710" t="s">
        <v>166</v>
      </c>
      <c r="T10" s="709" t="s">
        <v>165</v>
      </c>
      <c r="U10" s="712" t="s">
        <v>166</v>
      </c>
      <c r="W10" s="713" t="s">
        <v>165</v>
      </c>
      <c r="X10" s="974" t="s">
        <v>166</v>
      </c>
    </row>
    <row r="11" spans="1:24" ht="15" customHeight="1" x14ac:dyDescent="0.2">
      <c r="A11" s="79" t="s">
        <v>124</v>
      </c>
      <c r="B11" s="310"/>
      <c r="C11" s="308"/>
      <c r="D11" s="307"/>
      <c r="E11" s="309"/>
      <c r="F11" s="310"/>
      <c r="G11" s="309"/>
      <c r="H11" s="310"/>
      <c r="I11" s="309"/>
      <c r="J11" s="310"/>
      <c r="K11" s="309"/>
      <c r="L11" s="310"/>
      <c r="M11" s="309"/>
      <c r="N11" s="310"/>
      <c r="O11" s="309"/>
      <c r="P11" s="310"/>
      <c r="Q11" s="309"/>
      <c r="R11" s="310"/>
      <c r="S11" s="309"/>
      <c r="T11" s="310"/>
      <c r="U11" s="374"/>
      <c r="W11" s="392"/>
      <c r="X11" s="393"/>
    </row>
    <row r="12" spans="1:24" ht="15" customHeight="1" x14ac:dyDescent="0.2">
      <c r="A12" s="10" t="s">
        <v>10</v>
      </c>
      <c r="B12" s="310">
        <v>21</v>
      </c>
      <c r="C12" s="745"/>
      <c r="D12" s="307">
        <v>31</v>
      </c>
      <c r="E12" s="747"/>
      <c r="F12" s="310">
        <v>29</v>
      </c>
      <c r="G12" s="747"/>
      <c r="H12" s="310">
        <v>30</v>
      </c>
      <c r="I12" s="747"/>
      <c r="J12" s="310">
        <v>28</v>
      </c>
      <c r="K12" s="747"/>
      <c r="L12" s="310">
        <v>20</v>
      </c>
      <c r="M12" s="747"/>
      <c r="N12" s="310">
        <v>23</v>
      </c>
      <c r="O12" s="747"/>
      <c r="P12" s="310">
        <v>26</v>
      </c>
      <c r="Q12" s="747"/>
      <c r="R12" s="310">
        <f>16+7+8+11</f>
        <v>42</v>
      </c>
      <c r="S12" s="747"/>
      <c r="T12" s="310">
        <v>29</v>
      </c>
      <c r="U12" s="749"/>
      <c r="W12" s="327">
        <f t="shared" ref="W12:W19" si="0">AVERAGE(R12,P12,N12,T12,J12,)</f>
        <v>24.666666666666668</v>
      </c>
      <c r="X12" s="447"/>
    </row>
    <row r="13" spans="1:24" ht="15" customHeight="1" thickBot="1" x14ac:dyDescent="0.25">
      <c r="A13" s="15" t="s">
        <v>11</v>
      </c>
      <c r="B13" s="381">
        <v>41</v>
      </c>
      <c r="C13" s="746"/>
      <c r="D13" s="380">
        <v>38</v>
      </c>
      <c r="E13" s="747"/>
      <c r="F13" s="381">
        <v>63</v>
      </c>
      <c r="G13" s="748"/>
      <c r="H13" s="381">
        <v>77</v>
      </c>
      <c r="I13" s="748"/>
      <c r="J13" s="381">
        <v>68</v>
      </c>
      <c r="K13" s="748"/>
      <c r="L13" s="381">
        <v>58</v>
      </c>
      <c r="M13" s="748"/>
      <c r="N13" s="381">
        <v>54</v>
      </c>
      <c r="O13" s="748"/>
      <c r="P13" s="381">
        <v>51</v>
      </c>
      <c r="Q13" s="748"/>
      <c r="R13" s="381">
        <f>19+23+7+16</f>
        <v>65</v>
      </c>
      <c r="S13" s="748"/>
      <c r="T13" s="381">
        <f>39+26</f>
        <v>65</v>
      </c>
      <c r="U13" s="750"/>
      <c r="W13" s="327">
        <f t="shared" si="0"/>
        <v>50.5</v>
      </c>
      <c r="X13" s="448"/>
    </row>
    <row r="14" spans="1:24" ht="15" customHeight="1" thickBot="1" x14ac:dyDescent="0.25">
      <c r="A14" s="52" t="s">
        <v>12</v>
      </c>
      <c r="B14" s="689">
        <f>SUM(B12,B13)</f>
        <v>62</v>
      </c>
      <c r="C14" s="408">
        <v>16</v>
      </c>
      <c r="D14" s="407">
        <f>SUM(D12,D13)</f>
        <v>69</v>
      </c>
      <c r="E14" s="409">
        <v>19</v>
      </c>
      <c r="F14" s="386">
        <f>SUM(F12,F13)</f>
        <v>92</v>
      </c>
      <c r="G14" s="382">
        <v>15</v>
      </c>
      <c r="H14" s="386">
        <f>SUM(H12,H13)</f>
        <v>107</v>
      </c>
      <c r="I14" s="382">
        <v>29</v>
      </c>
      <c r="J14" s="386">
        <f>SUM(J12,J13)</f>
        <v>96</v>
      </c>
      <c r="K14" s="382">
        <v>13</v>
      </c>
      <c r="L14" s="386">
        <f>SUM(L12,L13)</f>
        <v>78</v>
      </c>
      <c r="M14" s="382">
        <v>15</v>
      </c>
      <c r="N14" s="386">
        <f>SUM(N12,N13)</f>
        <v>77</v>
      </c>
      <c r="O14" s="382">
        <v>6</v>
      </c>
      <c r="P14" s="386">
        <f>SUM(P12,P13)</f>
        <v>77</v>
      </c>
      <c r="Q14" s="382">
        <v>7</v>
      </c>
      <c r="R14" s="386">
        <f>SUM(R12:R13)</f>
        <v>107</v>
      </c>
      <c r="S14" s="382">
        <v>13</v>
      </c>
      <c r="T14" s="383">
        <f>SUM(T12:T13)</f>
        <v>94</v>
      </c>
      <c r="U14" s="968"/>
      <c r="W14" s="384">
        <f t="shared" si="0"/>
        <v>75.166666666666671</v>
      </c>
      <c r="X14" s="385">
        <f>AVERAGE(S14,Q14,O14,M14,K14,)</f>
        <v>9</v>
      </c>
    </row>
    <row r="15" spans="1:24" ht="15" customHeight="1" x14ac:dyDescent="0.2">
      <c r="A15" s="103" t="s">
        <v>125</v>
      </c>
      <c r="B15" s="690">
        <v>61</v>
      </c>
      <c r="C15" s="311">
        <v>14</v>
      </c>
      <c r="D15" s="80">
        <v>61</v>
      </c>
      <c r="E15" s="312">
        <v>10</v>
      </c>
      <c r="F15" s="81">
        <v>71</v>
      </c>
      <c r="G15" s="312">
        <v>9</v>
      </c>
      <c r="H15" s="81">
        <v>75</v>
      </c>
      <c r="I15" s="312">
        <v>8</v>
      </c>
      <c r="J15" s="81">
        <v>89</v>
      </c>
      <c r="K15" s="312">
        <v>19</v>
      </c>
      <c r="L15" s="81">
        <v>84</v>
      </c>
      <c r="M15" s="312">
        <v>11</v>
      </c>
      <c r="N15" s="81">
        <v>96</v>
      </c>
      <c r="O15" s="312">
        <v>17</v>
      </c>
      <c r="P15" s="81">
        <v>93</v>
      </c>
      <c r="Q15" s="312">
        <v>25</v>
      </c>
      <c r="R15" s="81">
        <v>99</v>
      </c>
      <c r="S15" s="312">
        <v>13</v>
      </c>
      <c r="T15" s="81">
        <v>60</v>
      </c>
      <c r="U15" s="749"/>
      <c r="W15" s="327">
        <f t="shared" si="0"/>
        <v>72.833333333333329</v>
      </c>
      <c r="X15" s="326">
        <f t="shared" ref="X15:X19" si="1">AVERAGE(S15,Q15,O15,M15,K15,)</f>
        <v>14.166666666666666</v>
      </c>
    </row>
    <row r="16" spans="1:24" ht="15" customHeight="1" x14ac:dyDescent="0.2">
      <c r="A16" s="715" t="s">
        <v>126</v>
      </c>
      <c r="B16" s="690"/>
      <c r="C16" s="311"/>
      <c r="D16" s="80"/>
      <c r="E16" s="312"/>
      <c r="F16" s="81"/>
      <c r="G16" s="312"/>
      <c r="H16" s="81"/>
      <c r="I16" s="312"/>
      <c r="J16" s="81"/>
      <c r="K16" s="312"/>
      <c r="L16" s="81"/>
      <c r="M16" s="312"/>
      <c r="N16" s="81"/>
      <c r="O16" s="312"/>
      <c r="P16" s="81"/>
      <c r="Q16" s="312"/>
      <c r="R16" s="81"/>
      <c r="S16" s="312"/>
      <c r="T16" s="81"/>
      <c r="U16" s="749"/>
      <c r="W16" s="327">
        <f t="shared" si="0"/>
        <v>0</v>
      </c>
      <c r="X16" s="326">
        <f t="shared" si="1"/>
        <v>0</v>
      </c>
    </row>
    <row r="17" spans="1:24" ht="15" customHeight="1" x14ac:dyDescent="0.2">
      <c r="A17" s="103" t="s">
        <v>127</v>
      </c>
      <c r="B17" s="690">
        <v>41</v>
      </c>
      <c r="C17" s="313" t="s">
        <v>132</v>
      </c>
      <c r="D17" s="80">
        <v>48</v>
      </c>
      <c r="E17" s="314" t="s">
        <v>132</v>
      </c>
      <c r="F17" s="81">
        <v>95</v>
      </c>
      <c r="G17" s="315">
        <v>35</v>
      </c>
      <c r="H17" s="81">
        <v>122</v>
      </c>
      <c r="I17" s="315">
        <v>53</v>
      </c>
      <c r="J17" s="81">
        <v>125</v>
      </c>
      <c r="K17" s="315">
        <v>61</v>
      </c>
      <c r="L17" s="81">
        <v>114</v>
      </c>
      <c r="M17" s="315">
        <v>46</v>
      </c>
      <c r="N17" s="81">
        <v>112</v>
      </c>
      <c r="O17" s="315">
        <v>50</v>
      </c>
      <c r="P17" s="81">
        <v>137</v>
      </c>
      <c r="Q17" s="315">
        <v>54</v>
      </c>
      <c r="R17" s="81">
        <v>158</v>
      </c>
      <c r="S17" s="315">
        <v>63</v>
      </c>
      <c r="T17" s="81">
        <v>168</v>
      </c>
      <c r="U17" s="969"/>
      <c r="W17" s="327">
        <f t="shared" si="0"/>
        <v>116.66666666666667</v>
      </c>
      <c r="X17" s="326">
        <f t="shared" si="1"/>
        <v>45.666666666666664</v>
      </c>
    </row>
    <row r="18" spans="1:24" ht="15" customHeight="1" x14ac:dyDescent="0.2">
      <c r="A18" s="305" t="s">
        <v>128</v>
      </c>
      <c r="B18" s="690">
        <v>0</v>
      </c>
      <c r="C18" s="311">
        <v>0</v>
      </c>
      <c r="D18" s="80">
        <v>0</v>
      </c>
      <c r="E18" s="312">
        <v>0</v>
      </c>
      <c r="F18" s="81">
        <v>0</v>
      </c>
      <c r="G18" s="312">
        <v>0</v>
      </c>
      <c r="H18" s="81">
        <v>0</v>
      </c>
      <c r="I18" s="312">
        <v>0</v>
      </c>
      <c r="J18" s="81">
        <v>2</v>
      </c>
      <c r="K18" s="312">
        <v>0</v>
      </c>
      <c r="L18" s="81">
        <v>1</v>
      </c>
      <c r="M18" s="312">
        <v>1</v>
      </c>
      <c r="N18" s="81">
        <v>1</v>
      </c>
      <c r="O18" s="312">
        <v>1</v>
      </c>
      <c r="P18" s="81">
        <v>2</v>
      </c>
      <c r="Q18" s="312">
        <v>0</v>
      </c>
      <c r="R18" s="81">
        <v>3</v>
      </c>
      <c r="S18" s="312">
        <v>3</v>
      </c>
      <c r="T18" s="81">
        <v>1</v>
      </c>
      <c r="U18" s="749"/>
      <c r="W18" s="327">
        <f t="shared" si="0"/>
        <v>1.5</v>
      </c>
      <c r="X18" s="326">
        <f t="shared" si="1"/>
        <v>0.83333333333333337</v>
      </c>
    </row>
    <row r="19" spans="1:24" ht="15" customHeight="1" x14ac:dyDescent="0.2">
      <c r="A19" s="305" t="s">
        <v>15</v>
      </c>
      <c r="B19" s="81">
        <v>0</v>
      </c>
      <c r="C19" s="316">
        <v>4</v>
      </c>
      <c r="D19" s="80">
        <v>0</v>
      </c>
      <c r="E19" s="312">
        <v>3</v>
      </c>
      <c r="F19" s="81">
        <v>12</v>
      </c>
      <c r="G19" s="312">
        <v>6</v>
      </c>
      <c r="H19" s="81">
        <v>23</v>
      </c>
      <c r="I19" s="312">
        <v>8</v>
      </c>
      <c r="J19" s="81">
        <v>27</v>
      </c>
      <c r="K19" s="312">
        <v>4</v>
      </c>
      <c r="L19" s="81">
        <v>30</v>
      </c>
      <c r="M19" s="312">
        <v>3</v>
      </c>
      <c r="N19" s="81">
        <v>28</v>
      </c>
      <c r="O19" s="312">
        <v>13</v>
      </c>
      <c r="P19" s="81">
        <v>21</v>
      </c>
      <c r="Q19" s="312">
        <v>7</v>
      </c>
      <c r="R19" s="81">
        <v>15</v>
      </c>
      <c r="S19" s="312">
        <v>7</v>
      </c>
      <c r="T19" s="81">
        <v>18</v>
      </c>
      <c r="U19" s="749"/>
      <c r="W19" s="327">
        <f t="shared" si="0"/>
        <v>18.166666666666668</v>
      </c>
      <c r="X19" s="326">
        <f t="shared" si="1"/>
        <v>5.666666666666667</v>
      </c>
    </row>
    <row r="20" spans="1:24" ht="15" customHeight="1" x14ac:dyDescent="0.2">
      <c r="A20" s="79" t="s">
        <v>129</v>
      </c>
      <c r="B20" s="690"/>
      <c r="C20" s="311"/>
      <c r="D20" s="80"/>
      <c r="E20" s="312"/>
      <c r="F20" s="81"/>
      <c r="G20" s="312"/>
      <c r="H20" s="81"/>
      <c r="I20" s="312"/>
      <c r="J20" s="81"/>
      <c r="K20" s="312"/>
      <c r="L20" s="81"/>
      <c r="M20" s="312"/>
      <c r="N20" s="81" t="s">
        <v>14</v>
      </c>
      <c r="O20" s="312"/>
      <c r="P20" s="81"/>
      <c r="Q20" s="312"/>
      <c r="R20" s="81"/>
      <c r="S20" s="312"/>
      <c r="T20" s="81"/>
      <c r="U20" s="749"/>
      <c r="W20" s="327"/>
      <c r="X20" s="328"/>
    </row>
    <row r="21" spans="1:24" ht="15" customHeight="1" x14ac:dyDescent="0.2">
      <c r="A21" s="103" t="s">
        <v>130</v>
      </c>
      <c r="B21" s="690">
        <v>83</v>
      </c>
      <c r="C21" s="317" t="s">
        <v>132</v>
      </c>
      <c r="D21" s="80">
        <f>92+2</f>
        <v>94</v>
      </c>
      <c r="E21" s="318" t="s">
        <v>132</v>
      </c>
      <c r="F21" s="80">
        <f>95+3</f>
        <v>98</v>
      </c>
      <c r="G21" s="318" t="s">
        <v>132</v>
      </c>
      <c r="H21" s="80">
        <v>79</v>
      </c>
      <c r="I21" s="319" t="s">
        <v>133</v>
      </c>
      <c r="J21" s="80">
        <v>79</v>
      </c>
      <c r="K21" s="319" t="s">
        <v>133</v>
      </c>
      <c r="L21" s="80">
        <v>75</v>
      </c>
      <c r="M21" s="319" t="s">
        <v>133</v>
      </c>
      <c r="N21" s="80">
        <f>45+17</f>
        <v>62</v>
      </c>
      <c r="O21" s="319" t="s">
        <v>133</v>
      </c>
      <c r="P21" s="80">
        <v>66</v>
      </c>
      <c r="Q21" s="319" t="s">
        <v>133</v>
      </c>
      <c r="R21" s="80">
        <v>61</v>
      </c>
      <c r="S21" s="319" t="s">
        <v>133</v>
      </c>
      <c r="T21" s="80">
        <v>36</v>
      </c>
      <c r="U21" s="970" t="s">
        <v>133</v>
      </c>
      <c r="W21" s="327">
        <f>AVERAGE(R21,P21,N21,T21,J21,)</f>
        <v>50.666666666666664</v>
      </c>
      <c r="X21" s="329" t="s">
        <v>133</v>
      </c>
    </row>
    <row r="22" spans="1:24" ht="15" customHeight="1" thickBot="1" x14ac:dyDescent="0.25">
      <c r="A22" s="306" t="s">
        <v>131</v>
      </c>
      <c r="B22" s="691">
        <v>0</v>
      </c>
      <c r="C22" s="320" t="s">
        <v>132</v>
      </c>
      <c r="D22" s="321">
        <v>4</v>
      </c>
      <c r="E22" s="322" t="s">
        <v>132</v>
      </c>
      <c r="F22" s="321">
        <v>15</v>
      </c>
      <c r="G22" s="322" t="s">
        <v>132</v>
      </c>
      <c r="H22" s="323">
        <v>15</v>
      </c>
      <c r="I22" s="324" t="s">
        <v>133</v>
      </c>
      <c r="J22" s="323">
        <v>6</v>
      </c>
      <c r="K22" s="324" t="s">
        <v>133</v>
      </c>
      <c r="L22" s="323">
        <v>11</v>
      </c>
      <c r="M22" s="324" t="s">
        <v>133</v>
      </c>
      <c r="N22" s="323">
        <v>12</v>
      </c>
      <c r="O22" s="324" t="s">
        <v>133</v>
      </c>
      <c r="P22" s="323">
        <v>10</v>
      </c>
      <c r="Q22" s="324" t="s">
        <v>133</v>
      </c>
      <c r="R22" s="323">
        <v>9</v>
      </c>
      <c r="S22" s="324" t="s">
        <v>133</v>
      </c>
      <c r="T22" s="323">
        <v>5</v>
      </c>
      <c r="U22" s="971" t="s">
        <v>133</v>
      </c>
      <c r="W22" s="327">
        <f>AVERAGE(R22,P22,N22,T22,J22,)</f>
        <v>7</v>
      </c>
      <c r="X22" s="394" t="s">
        <v>133</v>
      </c>
    </row>
    <row r="23" spans="1:24" ht="18" customHeight="1" thickTop="1" thickBot="1" x14ac:dyDescent="0.25">
      <c r="A23" s="38" t="s">
        <v>62</v>
      </c>
      <c r="B23" s="1049"/>
      <c r="C23" s="1034"/>
      <c r="D23" s="1033"/>
      <c r="E23" s="1034"/>
      <c r="F23" s="1033"/>
      <c r="G23" s="1034"/>
      <c r="H23" s="1033"/>
      <c r="I23" s="1034"/>
      <c r="J23" s="1033"/>
      <c r="K23" s="1034"/>
      <c r="L23" s="1033"/>
      <c r="M23" s="1034"/>
      <c r="N23" s="1033"/>
      <c r="O23" s="1034"/>
      <c r="P23" s="1033"/>
      <c r="Q23" s="1034"/>
      <c r="R23" s="1033"/>
      <c r="S23" s="1034"/>
      <c r="T23" s="1033"/>
      <c r="U23" s="1050"/>
      <c r="W23" s="1044"/>
      <c r="X23" s="1045"/>
    </row>
    <row r="24" spans="1:24" ht="15" customHeight="1" x14ac:dyDescent="0.2">
      <c r="A24" s="494" t="s">
        <v>170</v>
      </c>
      <c r="B24" s="579"/>
      <c r="C24" s="58"/>
      <c r="D24" s="152"/>
      <c r="E24" s="58"/>
      <c r="F24" s="152"/>
      <c r="G24" s="58"/>
      <c r="H24" s="152"/>
      <c r="I24" s="58"/>
      <c r="J24" s="152"/>
      <c r="K24" s="58"/>
      <c r="L24" s="152"/>
      <c r="M24" s="58"/>
      <c r="N24" s="152"/>
      <c r="O24" s="58"/>
      <c r="P24" s="152"/>
      <c r="Q24" s="58"/>
      <c r="R24" s="152"/>
      <c r="S24" s="58"/>
      <c r="T24" s="152"/>
      <c r="U24" s="59"/>
      <c r="V24" s="153"/>
      <c r="W24" s="154"/>
      <c r="X24" s="225" t="e">
        <f>AVERAGE(O24,M24,S24,U24,Q24)</f>
        <v>#DIV/0!</v>
      </c>
    </row>
    <row r="25" spans="1:24" ht="15" customHeight="1" x14ac:dyDescent="0.2">
      <c r="A25" s="467" t="s">
        <v>63</v>
      </c>
      <c r="B25" s="692"/>
      <c r="C25" s="286">
        <v>0.56999999999999995</v>
      </c>
      <c r="D25" s="215"/>
      <c r="E25" s="286">
        <v>0.5</v>
      </c>
      <c r="F25" s="215"/>
      <c r="G25" s="286">
        <v>0.5</v>
      </c>
      <c r="H25" s="215"/>
      <c r="I25" s="286">
        <v>0.57999999999999996</v>
      </c>
      <c r="J25" s="215"/>
      <c r="K25" s="286">
        <v>0.75</v>
      </c>
      <c r="L25" s="215"/>
      <c r="M25" s="286">
        <v>0.75</v>
      </c>
      <c r="N25" s="215"/>
      <c r="O25" s="286">
        <v>0.67</v>
      </c>
      <c r="P25" s="215"/>
      <c r="Q25" s="286">
        <v>1</v>
      </c>
      <c r="R25" s="215"/>
      <c r="S25" s="1018"/>
      <c r="T25" s="215"/>
      <c r="U25" s="430"/>
      <c r="V25" s="153"/>
      <c r="W25" s="973"/>
      <c r="X25" s="225">
        <f t="shared" ref="X25:X26" si="2">AVERAGE(S25,Q25,O25,M25,K25,)</f>
        <v>0.63400000000000001</v>
      </c>
    </row>
    <row r="26" spans="1:24" ht="15" customHeight="1" x14ac:dyDescent="0.2">
      <c r="A26" s="467" t="s">
        <v>64</v>
      </c>
      <c r="B26" s="693"/>
      <c r="C26" s="388">
        <v>0.28999999999999998</v>
      </c>
      <c r="D26" s="387"/>
      <c r="E26" s="388">
        <v>0.4</v>
      </c>
      <c r="F26" s="387"/>
      <c r="G26" s="388">
        <v>0</v>
      </c>
      <c r="H26" s="387"/>
      <c r="I26" s="388">
        <v>0.42</v>
      </c>
      <c r="J26" s="387"/>
      <c r="K26" s="388">
        <v>0.25</v>
      </c>
      <c r="L26" s="387"/>
      <c r="M26" s="388">
        <v>0.25</v>
      </c>
      <c r="N26" s="387"/>
      <c r="O26" s="388">
        <v>0</v>
      </c>
      <c r="P26" s="387"/>
      <c r="Q26" s="530">
        <v>0</v>
      </c>
      <c r="R26" s="387"/>
      <c r="S26" s="1019"/>
      <c r="T26" s="387"/>
      <c r="U26" s="431"/>
      <c r="V26" s="153"/>
      <c r="W26" s="389"/>
      <c r="X26" s="225">
        <f t="shared" si="2"/>
        <v>0.1</v>
      </c>
    </row>
    <row r="27" spans="1:24" ht="15" customHeight="1" thickBot="1" x14ac:dyDescent="0.25">
      <c r="A27" s="468" t="s">
        <v>66</v>
      </c>
      <c r="B27" s="683"/>
      <c r="C27" s="243"/>
      <c r="D27" s="242"/>
      <c r="E27" s="243"/>
      <c r="F27" s="242"/>
      <c r="G27" s="243"/>
      <c r="H27" s="242"/>
      <c r="I27" s="243"/>
      <c r="J27" s="242"/>
      <c r="K27" s="243"/>
      <c r="L27" s="242"/>
      <c r="M27" s="243"/>
      <c r="N27" s="242"/>
      <c r="O27" s="243"/>
      <c r="P27" s="242"/>
      <c r="Q27" s="243"/>
      <c r="R27" s="242"/>
      <c r="S27" s="243"/>
      <c r="T27" s="242"/>
      <c r="U27" s="244"/>
      <c r="V27" s="157"/>
      <c r="W27" s="171"/>
      <c r="X27" s="962" t="e">
        <f>AVERAGE(O27,M27,U27,S27,Q27)</f>
        <v>#DIV/0!</v>
      </c>
    </row>
    <row r="28" spans="1:24" ht="18" customHeight="1" thickTop="1" thickBot="1" x14ac:dyDescent="0.25">
      <c r="A28" s="173" t="s">
        <v>67</v>
      </c>
      <c r="B28" s="1046"/>
      <c r="C28" s="1047"/>
      <c r="D28" s="1048"/>
      <c r="E28" s="1047"/>
      <c r="F28" s="1048"/>
      <c r="G28" s="1047"/>
      <c r="H28" s="1048"/>
      <c r="I28" s="1047"/>
      <c r="J28" s="1048"/>
      <c r="K28" s="1047"/>
      <c r="L28" s="1048"/>
      <c r="M28" s="1047"/>
      <c r="N28" s="1048"/>
      <c r="O28" s="1047"/>
      <c r="P28" s="1048"/>
      <c r="Q28" s="1047"/>
      <c r="R28" s="1048"/>
      <c r="S28" s="1047"/>
      <c r="T28" s="1048"/>
      <c r="U28" s="1042"/>
      <c r="V28" s="157"/>
      <c r="W28" s="1041"/>
      <c r="X28" s="1042"/>
    </row>
    <row r="29" spans="1:24" ht="24.75" thickBot="1" x14ac:dyDescent="0.25">
      <c r="A29" s="696" t="s">
        <v>164</v>
      </c>
      <c r="B29" s="742"/>
      <c r="C29" s="743">
        <v>22.4</v>
      </c>
      <c r="D29" s="744"/>
      <c r="E29" s="743">
        <v>22.3</v>
      </c>
      <c r="F29" s="744"/>
      <c r="G29" s="743">
        <v>22.5</v>
      </c>
      <c r="H29" s="744"/>
      <c r="I29" s="743">
        <v>21.4</v>
      </c>
      <c r="J29" s="744"/>
      <c r="K29" s="743">
        <v>21.6</v>
      </c>
      <c r="L29" s="744"/>
      <c r="M29" s="743">
        <v>21.7</v>
      </c>
      <c r="N29" s="744"/>
      <c r="O29" s="743">
        <v>20.9</v>
      </c>
      <c r="P29" s="744"/>
      <c r="Q29" s="743">
        <v>23</v>
      </c>
      <c r="R29" s="744"/>
      <c r="S29" s="743">
        <v>23</v>
      </c>
      <c r="T29" s="744"/>
      <c r="U29" s="391"/>
      <c r="V29" s="157"/>
      <c r="W29" s="390"/>
      <c r="X29" s="391">
        <f>AVERAGE(O29,M29,S29,U29,Q29)</f>
        <v>22.15</v>
      </c>
    </row>
    <row r="30" spans="1:24" ht="18" customHeight="1" thickTop="1" x14ac:dyDescent="0.2">
      <c r="A30" s="695" t="s">
        <v>16</v>
      </c>
      <c r="B30" s="332"/>
      <c r="C30" s="332"/>
      <c r="D30" s="331"/>
      <c r="E30" s="333"/>
      <c r="F30" s="331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332"/>
      <c r="S30" s="333"/>
      <c r="T30" s="332"/>
      <c r="U30" s="370"/>
      <c r="V30" s="1"/>
      <c r="W30" s="334"/>
      <c r="X30" s="335"/>
    </row>
    <row r="31" spans="1:24" ht="15" customHeight="1" x14ac:dyDescent="0.2">
      <c r="A31" s="467" t="s">
        <v>17</v>
      </c>
      <c r="B31" s="24"/>
      <c r="C31" s="31">
        <v>12</v>
      </c>
      <c r="D31" s="23"/>
      <c r="E31" s="30">
        <v>31</v>
      </c>
      <c r="F31" s="23"/>
      <c r="G31" s="30">
        <v>26</v>
      </c>
      <c r="H31" s="24"/>
      <c r="I31" s="30">
        <v>46</v>
      </c>
      <c r="J31" s="24"/>
      <c r="K31" s="30">
        <v>54</v>
      </c>
      <c r="L31" s="24"/>
      <c r="M31" s="30">
        <v>56</v>
      </c>
      <c r="N31" s="24"/>
      <c r="O31" s="30">
        <v>512</v>
      </c>
      <c r="P31" s="24"/>
      <c r="Q31" s="30">
        <v>719</v>
      </c>
      <c r="R31" s="24"/>
      <c r="S31" s="30">
        <v>1153</v>
      </c>
      <c r="T31" s="24"/>
      <c r="U31" s="964"/>
      <c r="V31" s="1"/>
      <c r="W31" s="336"/>
      <c r="X31" s="972">
        <f t="shared" ref="X31:X35" si="3">AVERAGE(S31,Q31,O31,M31,K31,)</f>
        <v>415.66666666666669</v>
      </c>
    </row>
    <row r="32" spans="1:24" ht="15" customHeight="1" x14ac:dyDescent="0.2">
      <c r="A32" s="467" t="s">
        <v>18</v>
      </c>
      <c r="B32" s="24"/>
      <c r="C32" s="739">
        <f>759+969</f>
        <v>1728</v>
      </c>
      <c r="D32" s="23"/>
      <c r="E32" s="740">
        <v>1663</v>
      </c>
      <c r="F32" s="23"/>
      <c r="G32" s="740">
        <v>2045</v>
      </c>
      <c r="H32" s="24"/>
      <c r="I32" s="740">
        <v>1754</v>
      </c>
      <c r="J32" s="24"/>
      <c r="K32" s="740">
        <v>2352</v>
      </c>
      <c r="L32" s="24"/>
      <c r="M32" s="740">
        <v>2014</v>
      </c>
      <c r="N32" s="24"/>
      <c r="O32" s="740">
        <v>2017</v>
      </c>
      <c r="P32" s="24"/>
      <c r="Q32" s="740">
        <v>2015</v>
      </c>
      <c r="R32" s="24"/>
      <c r="S32" s="740">
        <v>2003</v>
      </c>
      <c r="T32" s="24"/>
      <c r="U32" s="965"/>
      <c r="V32" s="1"/>
      <c r="W32" s="336"/>
      <c r="X32" s="28">
        <f t="shared" si="3"/>
        <v>1733.5</v>
      </c>
    </row>
    <row r="33" spans="1:24" ht="15" customHeight="1" x14ac:dyDescent="0.2">
      <c r="A33" s="467" t="s">
        <v>19</v>
      </c>
      <c r="B33" s="24"/>
      <c r="C33" s="31">
        <v>18</v>
      </c>
      <c r="D33" s="23"/>
      <c r="E33" s="30">
        <v>180</v>
      </c>
      <c r="F33" s="23"/>
      <c r="G33" s="30">
        <v>144</v>
      </c>
      <c r="H33" s="24"/>
      <c r="I33" s="30">
        <v>300</v>
      </c>
      <c r="J33" s="24"/>
      <c r="K33" s="30">
        <v>216</v>
      </c>
      <c r="L33" s="24"/>
      <c r="M33" s="30">
        <v>324</v>
      </c>
      <c r="N33" s="24"/>
      <c r="O33" s="30">
        <v>243</v>
      </c>
      <c r="P33" s="24"/>
      <c r="Q33" s="30">
        <v>251</v>
      </c>
      <c r="R33" s="24"/>
      <c r="S33" s="30">
        <v>275</v>
      </c>
      <c r="T33" s="24"/>
      <c r="U33" s="964"/>
      <c r="V33" s="1"/>
      <c r="W33" s="336"/>
      <c r="X33" s="28">
        <f t="shared" si="3"/>
        <v>218.16666666666666</v>
      </c>
    </row>
    <row r="34" spans="1:24" ht="15" customHeight="1" thickBot="1" x14ac:dyDescent="0.25">
      <c r="A34" s="610" t="s">
        <v>20</v>
      </c>
      <c r="B34" s="49"/>
      <c r="C34" s="396">
        <v>0</v>
      </c>
      <c r="D34" s="607"/>
      <c r="E34" s="397">
        <v>0</v>
      </c>
      <c r="F34" s="607"/>
      <c r="G34" s="397">
        <v>0</v>
      </c>
      <c r="H34" s="49"/>
      <c r="I34" s="397">
        <v>0</v>
      </c>
      <c r="J34" s="49"/>
      <c r="K34" s="397">
        <v>0</v>
      </c>
      <c r="L34" s="49"/>
      <c r="M34" s="397">
        <v>0</v>
      </c>
      <c r="N34" s="49"/>
      <c r="O34" s="397">
        <v>0</v>
      </c>
      <c r="P34" s="49"/>
      <c r="Q34" s="397">
        <v>0</v>
      </c>
      <c r="R34" s="49"/>
      <c r="S34" s="397">
        <v>0</v>
      </c>
      <c r="T34" s="49"/>
      <c r="U34" s="966"/>
      <c r="V34" s="1"/>
      <c r="W34" s="606"/>
      <c r="X34" s="277">
        <f t="shared" si="3"/>
        <v>0</v>
      </c>
    </row>
    <row r="35" spans="1:24" ht="15" customHeight="1" thickBot="1" x14ac:dyDescent="0.25">
      <c r="A35" s="609" t="s">
        <v>21</v>
      </c>
      <c r="B35" s="735"/>
      <c r="C35" s="736">
        <f>SUM(C31:C34)</f>
        <v>1758</v>
      </c>
      <c r="D35" s="737"/>
      <c r="E35" s="738">
        <f>SUM(E31:E34)</f>
        <v>1874</v>
      </c>
      <c r="F35" s="737"/>
      <c r="G35" s="738">
        <f>SUM(G31:G34)</f>
        <v>2215</v>
      </c>
      <c r="H35" s="735"/>
      <c r="I35" s="738">
        <f>SUM(I31:I34)</f>
        <v>2100</v>
      </c>
      <c r="J35" s="735"/>
      <c r="K35" s="738">
        <f>SUM(K31:K34)</f>
        <v>2622</v>
      </c>
      <c r="L35" s="735"/>
      <c r="M35" s="738">
        <f>SUM(M31:M34)</f>
        <v>2394</v>
      </c>
      <c r="N35" s="735"/>
      <c r="O35" s="738">
        <f>SUM(O31:O34)</f>
        <v>2772</v>
      </c>
      <c r="P35" s="735"/>
      <c r="Q35" s="738">
        <f>SUM(Q31:Q34)</f>
        <v>2985</v>
      </c>
      <c r="R35" s="735"/>
      <c r="S35" s="738">
        <f>SUM(S31:S34)</f>
        <v>3431</v>
      </c>
      <c r="T35" s="735"/>
      <c r="U35" s="967">
        <f>SUM(U31:U34)</f>
        <v>0</v>
      </c>
      <c r="V35" s="1"/>
      <c r="W35" s="608"/>
      <c r="X35" s="279">
        <f t="shared" si="3"/>
        <v>2367.3333333333335</v>
      </c>
    </row>
    <row r="36" spans="1:24" ht="15" customHeight="1" thickTop="1" thickBot="1" x14ac:dyDescent="0.25">
      <c r="A36" s="751"/>
      <c r="B36" s="40"/>
      <c r="C36" s="466"/>
      <c r="D36" s="40"/>
      <c r="E36" s="466"/>
      <c r="F36" s="40"/>
      <c r="G36" s="466"/>
      <c r="H36" s="40"/>
      <c r="I36" s="466"/>
      <c r="J36" s="40"/>
      <c r="K36" s="741"/>
      <c r="L36" s="40"/>
      <c r="M36" s="466"/>
      <c r="N36" s="40"/>
      <c r="O36" s="466"/>
      <c r="P36" s="40"/>
      <c r="Q36" s="466"/>
      <c r="R36" s="40"/>
      <c r="S36" s="466"/>
      <c r="T36" s="40"/>
      <c r="U36" s="466"/>
      <c r="V36" s="1"/>
      <c r="W36" s="464"/>
      <c r="X36" s="32"/>
    </row>
    <row r="37" spans="1:24" ht="18" customHeight="1" thickTop="1" thickBot="1" x14ac:dyDescent="0.25">
      <c r="A37" s="469" t="s">
        <v>22</v>
      </c>
      <c r="B37" s="1027" t="s">
        <v>23</v>
      </c>
      <c r="C37" s="1028"/>
      <c r="D37" s="1029" t="s">
        <v>24</v>
      </c>
      <c r="E37" s="1030"/>
      <c r="F37" s="1035" t="s">
        <v>25</v>
      </c>
      <c r="G37" s="1030"/>
      <c r="H37" s="1035" t="s">
        <v>26</v>
      </c>
      <c r="I37" s="1030"/>
      <c r="J37" s="1035" t="s">
        <v>27</v>
      </c>
      <c r="K37" s="1030"/>
      <c r="L37" s="1035" t="s">
        <v>28</v>
      </c>
      <c r="M37" s="1030"/>
      <c r="N37" s="1035" t="s">
        <v>29</v>
      </c>
      <c r="O37" s="1030"/>
      <c r="P37" s="1035" t="s">
        <v>30</v>
      </c>
      <c r="Q37" s="1030"/>
      <c r="R37" s="1035" t="s">
        <v>31</v>
      </c>
      <c r="S37" s="1030"/>
      <c r="T37" s="1039" t="s">
        <v>200</v>
      </c>
      <c r="U37" s="1051"/>
      <c r="V37" s="337"/>
      <c r="W37" s="1041" t="s">
        <v>9</v>
      </c>
      <c r="X37" s="1042"/>
    </row>
    <row r="38" spans="1:24" ht="15" customHeight="1" x14ac:dyDescent="0.2">
      <c r="A38" s="716" t="s">
        <v>167</v>
      </c>
      <c r="B38" s="694"/>
      <c r="C38" s="338">
        <v>0</v>
      </c>
      <c r="D38" s="339"/>
      <c r="E38" s="340">
        <v>0</v>
      </c>
      <c r="F38" s="341"/>
      <c r="G38" s="340">
        <v>0</v>
      </c>
      <c r="H38" s="341"/>
      <c r="I38" s="340">
        <v>0</v>
      </c>
      <c r="J38" s="341"/>
      <c r="K38" s="340">
        <v>0</v>
      </c>
      <c r="L38" s="341"/>
      <c r="M38" s="340">
        <v>2.9000000000000001E-2</v>
      </c>
      <c r="N38" s="341"/>
      <c r="O38" s="340">
        <v>1.9E-2</v>
      </c>
      <c r="P38" s="341"/>
      <c r="Q38" s="340">
        <v>5.6000000000000001E-2</v>
      </c>
      <c r="R38" s="341"/>
      <c r="S38" s="340">
        <v>6.3E-2</v>
      </c>
      <c r="T38" s="341"/>
      <c r="U38" s="371">
        <v>4.2999999999999997E-2</v>
      </c>
      <c r="V38" s="342"/>
      <c r="W38" s="343"/>
      <c r="X38" s="344">
        <f>AVERAGE(O38,M38,U38,S38,Q38)</f>
        <v>4.1999999999999996E-2</v>
      </c>
    </row>
    <row r="39" spans="1:24" ht="15" customHeight="1" x14ac:dyDescent="0.2">
      <c r="A39" s="717" t="s">
        <v>168</v>
      </c>
      <c r="B39" s="348"/>
      <c r="C39" s="346">
        <v>0</v>
      </c>
      <c r="D39" s="345"/>
      <c r="E39" s="347">
        <v>0</v>
      </c>
      <c r="F39" s="348"/>
      <c r="G39" s="347">
        <v>0</v>
      </c>
      <c r="H39" s="348"/>
      <c r="I39" s="347">
        <v>0</v>
      </c>
      <c r="J39" s="348"/>
      <c r="K39" s="347">
        <v>0</v>
      </c>
      <c r="L39" s="348"/>
      <c r="M39" s="347">
        <v>0.112</v>
      </c>
      <c r="N39" s="348"/>
      <c r="O39" s="347">
        <v>7.5999999999999998E-2</v>
      </c>
      <c r="P39" s="348"/>
      <c r="Q39" s="347">
        <v>7.0999999999999994E-2</v>
      </c>
      <c r="R39" s="348"/>
      <c r="S39" s="347">
        <v>4.2000000000000003E-2</v>
      </c>
      <c r="T39" s="348"/>
      <c r="U39" s="372">
        <v>5.3999999999999999E-2</v>
      </c>
      <c r="V39" s="342"/>
      <c r="W39" s="349"/>
      <c r="X39" s="350">
        <f>AVERAGE(O39,M39,U39,S39,Q39)</f>
        <v>7.0999999999999994E-2</v>
      </c>
    </row>
    <row r="40" spans="1:24" ht="15" customHeight="1" thickBot="1" x14ac:dyDescent="0.25">
      <c r="A40" s="718" t="s">
        <v>169</v>
      </c>
      <c r="B40" s="353"/>
      <c r="C40" s="352">
        <f>1-SUM(C38:C39)</f>
        <v>1</v>
      </c>
      <c r="D40" s="351"/>
      <c r="E40" s="352">
        <f>1-SUM(E38:E39)</f>
        <v>1</v>
      </c>
      <c r="F40" s="351"/>
      <c r="G40" s="352">
        <f>1-SUM(G38:G39)</f>
        <v>1</v>
      </c>
      <c r="H40" s="353"/>
      <c r="I40" s="352">
        <f>1-I38-I39</f>
        <v>1</v>
      </c>
      <c r="J40" s="353"/>
      <c r="K40" s="352">
        <f>1-K38-K39</f>
        <v>1</v>
      </c>
      <c r="L40" s="353"/>
      <c r="M40" s="352">
        <f>1-M38-M39</f>
        <v>0.85899999999999999</v>
      </c>
      <c r="N40" s="353"/>
      <c r="O40" s="352">
        <f>1-O38-O39</f>
        <v>0.90500000000000003</v>
      </c>
      <c r="P40" s="353"/>
      <c r="Q40" s="352">
        <f>1-Q38-Q39</f>
        <v>0.873</v>
      </c>
      <c r="R40" s="353"/>
      <c r="S40" s="352">
        <f>1-S38-S39</f>
        <v>0.89500000000000002</v>
      </c>
      <c r="T40" s="353"/>
      <c r="U40" s="373">
        <f>1-U38-U39</f>
        <v>0.90299999999999991</v>
      </c>
      <c r="V40" s="342"/>
      <c r="W40" s="354"/>
      <c r="X40" s="355">
        <f>1-X38-X39</f>
        <v>0.88700000000000001</v>
      </c>
    </row>
    <row r="41" spans="1:24" s="3" customFormat="1" ht="18" customHeight="1" thickTop="1" thickBot="1" x14ac:dyDescent="0.25">
      <c r="A41" s="158" t="s">
        <v>60</v>
      </c>
      <c r="B41" s="159" t="s">
        <v>32</v>
      </c>
      <c r="C41" s="727" t="s">
        <v>65</v>
      </c>
      <c r="D41" s="728" t="s">
        <v>32</v>
      </c>
      <c r="E41" s="160" t="s">
        <v>65</v>
      </c>
      <c r="F41" s="159" t="s">
        <v>32</v>
      </c>
      <c r="G41" s="727" t="s">
        <v>65</v>
      </c>
      <c r="H41" s="728" t="s">
        <v>32</v>
      </c>
      <c r="I41" s="160" t="s">
        <v>65</v>
      </c>
      <c r="J41" s="159" t="s">
        <v>32</v>
      </c>
      <c r="K41" s="727" t="s">
        <v>65</v>
      </c>
      <c r="L41" s="728" t="s">
        <v>32</v>
      </c>
      <c r="M41" s="160" t="s">
        <v>65</v>
      </c>
      <c r="N41" s="159" t="s">
        <v>32</v>
      </c>
      <c r="O41" s="727" t="s">
        <v>65</v>
      </c>
      <c r="P41" s="728" t="s">
        <v>32</v>
      </c>
      <c r="Q41" s="160" t="s">
        <v>65</v>
      </c>
      <c r="R41" s="728" t="s">
        <v>32</v>
      </c>
      <c r="S41" s="160" t="s">
        <v>65</v>
      </c>
      <c r="T41" s="728" t="s">
        <v>32</v>
      </c>
      <c r="U41" s="161" t="s">
        <v>65</v>
      </c>
      <c r="V41" s="162"/>
      <c r="W41" s="729" t="s">
        <v>32</v>
      </c>
      <c r="X41" s="163" t="s">
        <v>65</v>
      </c>
    </row>
    <row r="42" spans="1:24" ht="15" customHeight="1" x14ac:dyDescent="0.2">
      <c r="A42" s="496" t="s">
        <v>143</v>
      </c>
      <c r="B42" s="775"/>
      <c r="C42" s="763"/>
      <c r="D42" s="762"/>
      <c r="E42" s="763"/>
      <c r="F42" s="762"/>
      <c r="G42" s="763"/>
      <c r="H42" s="164">
        <v>0</v>
      </c>
      <c r="I42" s="165">
        <f>H42/H$19</f>
        <v>0</v>
      </c>
      <c r="J42" s="164">
        <v>0</v>
      </c>
      <c r="K42" s="165">
        <f>J42/J$19</f>
        <v>0</v>
      </c>
      <c r="L42" s="164">
        <v>0</v>
      </c>
      <c r="M42" s="165">
        <f>L42/L$19</f>
        <v>0</v>
      </c>
      <c r="N42" s="164">
        <v>1</v>
      </c>
      <c r="O42" s="165">
        <f>N42/N$19</f>
        <v>3.5714285714285712E-2</v>
      </c>
      <c r="P42" s="164">
        <v>2</v>
      </c>
      <c r="Q42" s="165">
        <f>P42/P$19</f>
        <v>9.5238095238095233E-2</v>
      </c>
      <c r="R42" s="164">
        <v>0</v>
      </c>
      <c r="S42" s="165">
        <f>R42/R$19</f>
        <v>0</v>
      </c>
      <c r="T42" s="164"/>
      <c r="U42" s="417">
        <f>T42/T$19</f>
        <v>0</v>
      </c>
      <c r="V42" s="157"/>
      <c r="W42" s="166">
        <f>AVERAGE(N42,L42,R42,T42,P42)</f>
        <v>0.75</v>
      </c>
      <c r="X42" s="531">
        <f>W42/W$19</f>
        <v>4.1284403669724766E-2</v>
      </c>
    </row>
    <row r="43" spans="1:24" ht="15" customHeight="1" thickBot="1" x14ac:dyDescent="0.25">
      <c r="A43" s="468" t="s">
        <v>135</v>
      </c>
      <c r="B43" s="776"/>
      <c r="C43" s="770"/>
      <c r="D43" s="769"/>
      <c r="E43" s="770"/>
      <c r="F43" s="769"/>
      <c r="G43" s="770"/>
      <c r="H43" s="168">
        <v>31</v>
      </c>
      <c r="I43" s="169">
        <f>H43/H$15</f>
        <v>0.41333333333333333</v>
      </c>
      <c r="J43" s="168">
        <v>28</v>
      </c>
      <c r="K43" s="169">
        <f>J43/J$15</f>
        <v>0.3146067415730337</v>
      </c>
      <c r="L43" s="168">
        <v>18</v>
      </c>
      <c r="M43" s="169">
        <f>L43/L$15</f>
        <v>0.21428571428571427</v>
      </c>
      <c r="N43" s="168">
        <v>31</v>
      </c>
      <c r="O43" s="169">
        <f>N43/N$15</f>
        <v>0.32291666666666669</v>
      </c>
      <c r="P43" s="168">
        <v>36</v>
      </c>
      <c r="Q43" s="169">
        <f>P43/P$15</f>
        <v>0.38709677419354838</v>
      </c>
      <c r="R43" s="168">
        <v>43</v>
      </c>
      <c r="S43" s="169">
        <f>R43/R$15</f>
        <v>0.43434343434343436</v>
      </c>
      <c r="T43" s="168"/>
      <c r="U43" s="170">
        <f>T43/T$15</f>
        <v>0</v>
      </c>
      <c r="V43" s="157"/>
      <c r="W43" s="171">
        <f>AVERAGE(N43,L43,R43,T43,P43)</f>
        <v>32</v>
      </c>
      <c r="X43" s="532">
        <f>W43/W$15</f>
        <v>0.4393592677345538</v>
      </c>
    </row>
    <row r="44" spans="1:24" ht="15" customHeight="1" thickTop="1" x14ac:dyDescent="0.2">
      <c r="A44" s="18" t="s">
        <v>178</v>
      </c>
      <c r="B44" s="216"/>
      <c r="C44" s="489"/>
      <c r="D44" s="216"/>
      <c r="E44" s="489"/>
      <c r="F44" s="216"/>
      <c r="G44" s="489"/>
      <c r="H44" s="216"/>
      <c r="I44" s="489"/>
      <c r="J44" s="216"/>
      <c r="K44" s="489"/>
      <c r="L44" s="216"/>
      <c r="M44" s="489"/>
      <c r="N44" s="216"/>
      <c r="O44" s="489"/>
      <c r="P44" s="216"/>
      <c r="Q44" s="489"/>
      <c r="R44" s="216"/>
      <c r="S44" s="489"/>
      <c r="T44" s="216"/>
      <c r="U44" s="489"/>
      <c r="V44" s="157"/>
      <c r="W44" s="217"/>
      <c r="X44" s="218"/>
    </row>
    <row r="45" spans="1:24" ht="15" customHeight="1" thickBot="1" x14ac:dyDescent="0.25"/>
    <row r="46" spans="1:24" ht="18.75" customHeight="1" thickTop="1" thickBot="1" x14ac:dyDescent="0.25">
      <c r="A46" s="174" t="s">
        <v>157</v>
      </c>
      <c r="B46" s="1039" t="s">
        <v>23</v>
      </c>
      <c r="C46" s="1043"/>
      <c r="D46" s="1039" t="s">
        <v>24</v>
      </c>
      <c r="E46" s="1040"/>
      <c r="F46" s="1039" t="s">
        <v>25</v>
      </c>
      <c r="G46" s="1040"/>
      <c r="H46" s="1039" t="s">
        <v>26</v>
      </c>
      <c r="I46" s="1040"/>
      <c r="J46" s="1039" t="s">
        <v>27</v>
      </c>
      <c r="K46" s="1040"/>
      <c r="L46" s="1039" t="s">
        <v>28</v>
      </c>
      <c r="M46" s="1040"/>
      <c r="N46" s="1039" t="s">
        <v>29</v>
      </c>
      <c r="O46" s="1040"/>
      <c r="P46" s="1039" t="s">
        <v>30</v>
      </c>
      <c r="Q46" s="1040"/>
      <c r="R46" s="1039" t="s">
        <v>31</v>
      </c>
      <c r="S46" s="1040"/>
      <c r="T46" s="1039" t="s">
        <v>200</v>
      </c>
      <c r="U46" s="1051"/>
      <c r="W46" s="1052" t="s">
        <v>9</v>
      </c>
      <c r="X46" s="1053"/>
    </row>
    <row r="47" spans="1:24" ht="18" customHeight="1" thickBot="1" x14ac:dyDescent="0.25">
      <c r="A47" s="575" t="s">
        <v>160</v>
      </c>
      <c r="B47" s="596" t="s">
        <v>33</v>
      </c>
      <c r="C47" s="597" t="s">
        <v>152</v>
      </c>
      <c r="D47" s="596" t="s">
        <v>33</v>
      </c>
      <c r="E47" s="597" t="s">
        <v>152</v>
      </c>
      <c r="F47" s="596" t="s">
        <v>33</v>
      </c>
      <c r="G47" s="597" t="s">
        <v>152</v>
      </c>
      <c r="H47" s="596" t="s">
        <v>33</v>
      </c>
      <c r="I47" s="597" t="s">
        <v>152</v>
      </c>
      <c r="J47" s="596" t="s">
        <v>33</v>
      </c>
      <c r="K47" s="597" t="s">
        <v>152</v>
      </c>
      <c r="L47" s="596" t="s">
        <v>33</v>
      </c>
      <c r="M47" s="597" t="s">
        <v>152</v>
      </c>
      <c r="N47" s="596" t="s">
        <v>33</v>
      </c>
      <c r="O47" s="597" t="s">
        <v>152</v>
      </c>
      <c r="P47" s="596" t="s">
        <v>33</v>
      </c>
      <c r="Q47" s="597" t="s">
        <v>152</v>
      </c>
      <c r="R47" s="596" t="s">
        <v>33</v>
      </c>
      <c r="S47" s="597" t="s">
        <v>34</v>
      </c>
      <c r="T47" s="586" t="s">
        <v>33</v>
      </c>
      <c r="U47" s="587" t="s">
        <v>34</v>
      </c>
      <c r="W47" s="583" t="s">
        <v>33</v>
      </c>
      <c r="X47" s="584" t="s">
        <v>152</v>
      </c>
    </row>
    <row r="48" spans="1:24" ht="15" customHeight="1" x14ac:dyDescent="0.2">
      <c r="A48" s="723" t="s">
        <v>35</v>
      </c>
      <c r="B48" s="730"/>
      <c r="C48" s="599"/>
      <c r="D48" s="730"/>
      <c r="E48" s="599"/>
      <c r="F48" s="730"/>
      <c r="G48" s="599"/>
      <c r="H48" s="730"/>
      <c r="I48" s="599"/>
      <c r="J48" s="598"/>
      <c r="K48" s="599"/>
      <c r="L48" s="598"/>
      <c r="M48" s="599"/>
      <c r="N48" s="598"/>
      <c r="O48" s="599"/>
      <c r="P48" s="598"/>
      <c r="Q48" s="599"/>
      <c r="R48" s="598"/>
      <c r="S48" s="599"/>
      <c r="T48" s="588"/>
      <c r="U48" s="589"/>
      <c r="W48" s="662"/>
      <c r="X48" s="946"/>
    </row>
    <row r="49" spans="1:24" ht="15" customHeight="1" x14ac:dyDescent="0.2">
      <c r="A49" s="724" t="s">
        <v>36</v>
      </c>
      <c r="B49" s="731"/>
      <c r="C49" s="446">
        <v>2</v>
      </c>
      <c r="D49" s="731"/>
      <c r="E49" s="446">
        <v>2</v>
      </c>
      <c r="F49" s="731"/>
      <c r="G49" s="446">
        <v>2</v>
      </c>
      <c r="H49" s="731"/>
      <c r="I49" s="446">
        <v>2</v>
      </c>
      <c r="J49" s="600">
        <v>2</v>
      </c>
      <c r="K49" s="446">
        <v>2</v>
      </c>
      <c r="L49" s="600">
        <v>3</v>
      </c>
      <c r="M49" s="446">
        <v>3</v>
      </c>
      <c r="N49" s="600">
        <v>3</v>
      </c>
      <c r="O49" s="446">
        <v>3</v>
      </c>
      <c r="P49" s="600">
        <v>1</v>
      </c>
      <c r="Q49" s="446">
        <v>1</v>
      </c>
      <c r="R49" s="600">
        <v>3</v>
      </c>
      <c r="S49" s="446">
        <v>3</v>
      </c>
      <c r="T49" s="590"/>
      <c r="U49" s="444"/>
      <c r="W49" s="947">
        <f>AVERAGE(N49,L49,R49,T49,P49)</f>
        <v>2.5</v>
      </c>
      <c r="X49" s="948">
        <f>AVERAGE(O49,M49,S49,U49,Q49)</f>
        <v>2.5</v>
      </c>
    </row>
    <row r="50" spans="1:24" ht="15" customHeight="1" x14ac:dyDescent="0.2">
      <c r="A50" s="724" t="s">
        <v>37</v>
      </c>
      <c r="B50" s="732"/>
      <c r="C50" s="446">
        <v>0</v>
      </c>
      <c r="D50" s="732"/>
      <c r="E50" s="446">
        <v>0</v>
      </c>
      <c r="F50" s="732"/>
      <c r="G50" s="446">
        <v>0</v>
      </c>
      <c r="H50" s="732"/>
      <c r="I50" s="446">
        <v>0</v>
      </c>
      <c r="J50" s="600">
        <v>0</v>
      </c>
      <c r="K50" s="446">
        <v>0</v>
      </c>
      <c r="L50" s="6">
        <v>0.7</v>
      </c>
      <c r="M50" s="446">
        <v>1</v>
      </c>
      <c r="N50" s="6">
        <v>1.65</v>
      </c>
      <c r="O50" s="446">
        <v>7</v>
      </c>
      <c r="P50" s="6">
        <v>1.3</v>
      </c>
      <c r="Q50" s="446">
        <v>5</v>
      </c>
      <c r="R50" s="6">
        <v>1.6</v>
      </c>
      <c r="S50" s="446">
        <v>7</v>
      </c>
      <c r="T50" s="7"/>
      <c r="U50" s="444"/>
      <c r="W50" s="947">
        <f t="shared" ref="W50:X53" si="4">AVERAGE(N50,L50,R50,T50,P50)</f>
        <v>1.3125</v>
      </c>
      <c r="X50" s="948">
        <f t="shared" si="4"/>
        <v>5</v>
      </c>
    </row>
    <row r="51" spans="1:24" ht="15" customHeight="1" x14ac:dyDescent="0.2">
      <c r="A51" s="725" t="s">
        <v>38</v>
      </c>
      <c r="B51" s="732"/>
      <c r="C51" s="601"/>
      <c r="D51" s="732"/>
      <c r="E51" s="601"/>
      <c r="F51" s="732"/>
      <c r="G51" s="601"/>
      <c r="H51" s="732"/>
      <c r="I51" s="601"/>
      <c r="J51" s="600"/>
      <c r="K51" s="601"/>
      <c r="L51" s="6"/>
      <c r="M51" s="601"/>
      <c r="N51" s="6"/>
      <c r="O51" s="601"/>
      <c r="P51" s="6"/>
      <c r="Q51" s="601"/>
      <c r="R51" s="6"/>
      <c r="S51" s="601"/>
      <c r="T51" s="7"/>
      <c r="U51" s="591"/>
      <c r="W51" s="947"/>
      <c r="X51" s="948"/>
    </row>
    <row r="52" spans="1:24" ht="15" customHeight="1" x14ac:dyDescent="0.2">
      <c r="A52" s="724" t="s">
        <v>36</v>
      </c>
      <c r="B52" s="731"/>
      <c r="C52" s="601">
        <v>0</v>
      </c>
      <c r="D52" s="731"/>
      <c r="E52" s="601">
        <v>0</v>
      </c>
      <c r="F52" s="731"/>
      <c r="G52" s="601">
        <v>0</v>
      </c>
      <c r="H52" s="731"/>
      <c r="I52" s="601">
        <v>0</v>
      </c>
      <c r="J52" s="600">
        <v>0</v>
      </c>
      <c r="K52" s="601">
        <v>0</v>
      </c>
      <c r="L52" s="600">
        <v>0</v>
      </c>
      <c r="M52" s="601">
        <v>0</v>
      </c>
      <c r="N52" s="600">
        <v>0</v>
      </c>
      <c r="O52" s="601">
        <v>0</v>
      </c>
      <c r="P52" s="600">
        <v>0</v>
      </c>
      <c r="Q52" s="601">
        <v>0</v>
      </c>
      <c r="R52" s="600">
        <v>0</v>
      </c>
      <c r="S52" s="601">
        <v>0</v>
      </c>
      <c r="T52" s="590"/>
      <c r="U52" s="591"/>
      <c r="W52" s="947">
        <f t="shared" si="4"/>
        <v>0</v>
      </c>
      <c r="X52" s="948">
        <f t="shared" si="4"/>
        <v>0</v>
      </c>
    </row>
    <row r="53" spans="1:24" ht="15" customHeight="1" thickBot="1" x14ac:dyDescent="0.25">
      <c r="A53" s="726" t="s">
        <v>37</v>
      </c>
      <c r="B53" s="733"/>
      <c r="C53" s="603">
        <v>0</v>
      </c>
      <c r="D53" s="733"/>
      <c r="E53" s="603">
        <v>0</v>
      </c>
      <c r="F53" s="733"/>
      <c r="G53" s="603">
        <v>0</v>
      </c>
      <c r="H53" s="733"/>
      <c r="I53" s="603">
        <v>0</v>
      </c>
      <c r="J53" s="626">
        <v>0.1</v>
      </c>
      <c r="K53" s="603">
        <v>1</v>
      </c>
      <c r="L53" s="602">
        <v>0.1</v>
      </c>
      <c r="M53" s="603">
        <v>1</v>
      </c>
      <c r="N53" s="626">
        <v>0</v>
      </c>
      <c r="O53" s="603">
        <v>0</v>
      </c>
      <c r="P53" s="602">
        <v>0.1</v>
      </c>
      <c r="Q53" s="603">
        <v>1</v>
      </c>
      <c r="R53" s="602">
        <v>0.1</v>
      </c>
      <c r="S53" s="603">
        <v>1</v>
      </c>
      <c r="T53" s="592"/>
      <c r="U53" s="593"/>
      <c r="W53" s="947">
        <f t="shared" si="4"/>
        <v>7.5000000000000011E-2</v>
      </c>
      <c r="X53" s="948">
        <f t="shared" si="4"/>
        <v>0.75</v>
      </c>
    </row>
    <row r="54" spans="1:24" ht="15" customHeight="1" thickBot="1" x14ac:dyDescent="0.25">
      <c r="A54" s="567" t="s">
        <v>21</v>
      </c>
      <c r="B54" s="734"/>
      <c r="C54" s="605">
        <f>SUM(C49:C53)</f>
        <v>2</v>
      </c>
      <c r="D54" s="734"/>
      <c r="E54" s="605">
        <f>SUM(E49:E53)</f>
        <v>2</v>
      </c>
      <c r="F54" s="734"/>
      <c r="G54" s="605">
        <f>SUM(G49:G53)</f>
        <v>2</v>
      </c>
      <c r="H54" s="734"/>
      <c r="I54" s="605">
        <f>SUM(I49:I53)</f>
        <v>2</v>
      </c>
      <c r="J54" s="604">
        <f t="shared" ref="J54:S54" si="5">SUM(J49:J53)</f>
        <v>2.1</v>
      </c>
      <c r="K54" s="605">
        <f t="shared" si="5"/>
        <v>3</v>
      </c>
      <c r="L54" s="604">
        <f t="shared" si="5"/>
        <v>3.8000000000000003</v>
      </c>
      <c r="M54" s="605">
        <f t="shared" si="5"/>
        <v>5</v>
      </c>
      <c r="N54" s="604">
        <f t="shared" si="5"/>
        <v>4.6500000000000004</v>
      </c>
      <c r="O54" s="605">
        <f t="shared" si="5"/>
        <v>10</v>
      </c>
      <c r="P54" s="604">
        <f t="shared" si="5"/>
        <v>2.4</v>
      </c>
      <c r="Q54" s="605">
        <f t="shared" si="5"/>
        <v>7</v>
      </c>
      <c r="R54" s="604">
        <f t="shared" si="5"/>
        <v>4.6999999999999993</v>
      </c>
      <c r="S54" s="605">
        <f t="shared" si="5"/>
        <v>11</v>
      </c>
      <c r="T54" s="594">
        <f t="shared" ref="T54:U54" si="6">SUM(T49:T53)</f>
        <v>0</v>
      </c>
      <c r="U54" s="595">
        <f t="shared" si="6"/>
        <v>0</v>
      </c>
      <c r="W54" s="949">
        <f>AVERAGE(N54,L54,R54,T54,P54)</f>
        <v>3.1100000000000003</v>
      </c>
      <c r="X54" s="950">
        <f>AVERAGE(O54,M54,S54,U54,Q54)</f>
        <v>6.6</v>
      </c>
    </row>
    <row r="55" spans="1:24" ht="18" customHeight="1" thickBot="1" x14ac:dyDescent="0.25">
      <c r="A55" s="575" t="s">
        <v>161</v>
      </c>
      <c r="B55" s="548" t="s">
        <v>32</v>
      </c>
      <c r="C55" s="549" t="s">
        <v>39</v>
      </c>
      <c r="D55" s="550" t="s">
        <v>32</v>
      </c>
      <c r="E55" s="551" t="s">
        <v>39</v>
      </c>
      <c r="F55" s="550" t="s">
        <v>32</v>
      </c>
      <c r="G55" s="551" t="s">
        <v>39</v>
      </c>
      <c r="H55" s="550" t="s">
        <v>32</v>
      </c>
      <c r="I55" s="551" t="s">
        <v>39</v>
      </c>
      <c r="J55" s="550" t="s">
        <v>32</v>
      </c>
      <c r="K55" s="551" t="s">
        <v>39</v>
      </c>
      <c r="L55" s="550" t="s">
        <v>32</v>
      </c>
      <c r="M55" s="551" t="s">
        <v>39</v>
      </c>
      <c r="N55" s="550" t="s">
        <v>32</v>
      </c>
      <c r="O55" s="551" t="s">
        <v>39</v>
      </c>
      <c r="P55" s="550" t="s">
        <v>32</v>
      </c>
      <c r="Q55" s="551" t="s">
        <v>39</v>
      </c>
      <c r="R55" s="550" t="s">
        <v>32</v>
      </c>
      <c r="S55" s="551" t="s">
        <v>39</v>
      </c>
      <c r="T55" s="548" t="s">
        <v>32</v>
      </c>
      <c r="U55" s="552" t="s">
        <v>39</v>
      </c>
      <c r="W55" s="951" t="s">
        <v>32</v>
      </c>
      <c r="X55" s="656" t="s">
        <v>39</v>
      </c>
    </row>
    <row r="56" spans="1:24" ht="18" customHeight="1" x14ac:dyDescent="0.2">
      <c r="A56" s="723" t="s">
        <v>162</v>
      </c>
      <c r="B56" s="579"/>
      <c r="C56" s="580"/>
      <c r="D56" s="55"/>
      <c r="E56" s="581"/>
      <c r="F56" s="55"/>
      <c r="G56" s="581"/>
      <c r="H56" s="55"/>
      <c r="I56" s="581"/>
      <c r="J56" s="55"/>
      <c r="K56" s="581"/>
      <c r="L56" s="55"/>
      <c r="M56" s="581"/>
      <c r="N56" s="55"/>
      <c r="O56" s="581"/>
      <c r="P56" s="55"/>
      <c r="Q56" s="581"/>
      <c r="R56" s="55"/>
      <c r="S56" s="581"/>
      <c r="T56" s="579"/>
      <c r="U56" s="582"/>
      <c r="W56" s="952"/>
      <c r="X56" s="585"/>
    </row>
    <row r="57" spans="1:24" ht="15" customHeight="1" x14ac:dyDescent="0.2">
      <c r="A57" s="508" t="s">
        <v>40</v>
      </c>
      <c r="B57" s="471">
        <v>2</v>
      </c>
      <c r="C57" s="472">
        <f>B57/C$54</f>
        <v>1</v>
      </c>
      <c r="D57" s="473">
        <v>2</v>
      </c>
      <c r="E57" s="474" t="e">
        <f t="shared" ref="E57:E62" si="7">D57/E$84</f>
        <v>#DIV/0!</v>
      </c>
      <c r="F57" s="473">
        <v>2</v>
      </c>
      <c r="G57" s="474">
        <f>F57/G$54</f>
        <v>1</v>
      </c>
      <c r="H57" s="473">
        <v>2</v>
      </c>
      <c r="I57" s="474">
        <f>H57/I$54</f>
        <v>1</v>
      </c>
      <c r="J57" s="473">
        <f>2+1</f>
        <v>3</v>
      </c>
      <c r="K57" s="474">
        <f>J57/K$54</f>
        <v>1</v>
      </c>
      <c r="L57" s="473">
        <v>5</v>
      </c>
      <c r="M57" s="474">
        <f>L57/M$54</f>
        <v>1</v>
      </c>
      <c r="N57" s="473">
        <v>10</v>
      </c>
      <c r="O57" s="474">
        <f>N57/O$54</f>
        <v>1</v>
      </c>
      <c r="P57" s="473">
        <v>7</v>
      </c>
      <c r="Q57" s="474">
        <f>P57/Q$54</f>
        <v>1</v>
      </c>
      <c r="R57" s="473">
        <v>11</v>
      </c>
      <c r="S57" s="474">
        <f>R57/S$54</f>
        <v>1</v>
      </c>
      <c r="T57" s="471"/>
      <c r="U57" s="475" t="e">
        <f>T57/U$54</f>
        <v>#DIV/0!</v>
      </c>
      <c r="W57" s="947">
        <f t="shared" ref="W57:W76" si="8">AVERAGE(N57,L57,R57,T57,P57)</f>
        <v>8.25</v>
      </c>
      <c r="X57" s="199" t="e">
        <f>AVERAGE(O57,M57,U57,S57,Q57)</f>
        <v>#DIV/0!</v>
      </c>
    </row>
    <row r="58" spans="1:24" ht="15" customHeight="1" x14ac:dyDescent="0.2">
      <c r="A58" s="200" t="s">
        <v>41</v>
      </c>
      <c r="B58" s="356">
        <v>0</v>
      </c>
      <c r="C58" s="357">
        <f t="shared" ref="C58:C76" si="9">B58/C$54</f>
        <v>0</v>
      </c>
      <c r="D58" s="358">
        <v>0</v>
      </c>
      <c r="E58" s="359" t="e">
        <f t="shared" si="7"/>
        <v>#DIV/0!</v>
      </c>
      <c r="F58" s="358">
        <v>0</v>
      </c>
      <c r="G58" s="359">
        <f t="shared" ref="G58:G76" si="10">F58/G$54</f>
        <v>0</v>
      </c>
      <c r="H58" s="358">
        <v>0</v>
      </c>
      <c r="I58" s="359">
        <f t="shared" ref="I58:I76" si="11">H58/I$54</f>
        <v>0</v>
      </c>
      <c r="J58" s="358">
        <f>0</f>
        <v>0</v>
      </c>
      <c r="K58" s="359">
        <f t="shared" ref="K58:K76" si="12">J58/K$54</f>
        <v>0</v>
      </c>
      <c r="L58" s="358">
        <v>0</v>
      </c>
      <c r="M58" s="359">
        <f t="shared" ref="M58:M76" si="13">L58/M$54</f>
        <v>0</v>
      </c>
      <c r="N58" s="358">
        <v>0</v>
      </c>
      <c r="O58" s="359">
        <f t="shared" ref="O58:O76" si="14">N58/O$54</f>
        <v>0</v>
      </c>
      <c r="P58" s="358">
        <v>0</v>
      </c>
      <c r="Q58" s="359">
        <f t="shared" ref="Q58:Q76" si="15">P58/Q$54</f>
        <v>0</v>
      </c>
      <c r="R58" s="358">
        <v>0</v>
      </c>
      <c r="S58" s="359">
        <f t="shared" ref="S58:S76" si="16">R58/S$54</f>
        <v>0</v>
      </c>
      <c r="T58" s="356"/>
      <c r="U58" s="369" t="e">
        <f t="shared" ref="U58:U64" si="17">T58/U$54</f>
        <v>#DIV/0!</v>
      </c>
      <c r="W58" s="947">
        <f t="shared" si="8"/>
        <v>0</v>
      </c>
      <c r="X58" s="199" t="e">
        <f t="shared" ref="X58:X76" si="18">AVERAGE(O58,M58,U58,S58,Q58)</f>
        <v>#DIV/0!</v>
      </c>
    </row>
    <row r="59" spans="1:24" ht="15" customHeight="1" x14ac:dyDescent="0.2">
      <c r="A59" s="200" t="s">
        <v>42</v>
      </c>
      <c r="B59" s="356">
        <v>0</v>
      </c>
      <c r="C59" s="357">
        <f t="shared" si="9"/>
        <v>0</v>
      </c>
      <c r="D59" s="358">
        <v>0</v>
      </c>
      <c r="E59" s="359" t="e">
        <f t="shared" si="7"/>
        <v>#DIV/0!</v>
      </c>
      <c r="F59" s="358">
        <v>0</v>
      </c>
      <c r="G59" s="359">
        <f t="shared" si="10"/>
        <v>0</v>
      </c>
      <c r="H59" s="358">
        <v>0</v>
      </c>
      <c r="I59" s="359">
        <f t="shared" si="11"/>
        <v>0</v>
      </c>
      <c r="J59" s="358">
        <f>0</f>
        <v>0</v>
      </c>
      <c r="K59" s="359">
        <f t="shared" si="12"/>
        <v>0</v>
      </c>
      <c r="L59" s="358">
        <v>0</v>
      </c>
      <c r="M59" s="359">
        <f t="shared" si="13"/>
        <v>0</v>
      </c>
      <c r="N59" s="358">
        <v>0</v>
      </c>
      <c r="O59" s="359">
        <f t="shared" si="14"/>
        <v>0</v>
      </c>
      <c r="P59" s="358">
        <v>0</v>
      </c>
      <c r="Q59" s="359">
        <f t="shared" si="15"/>
        <v>0</v>
      </c>
      <c r="R59" s="358">
        <v>0</v>
      </c>
      <c r="S59" s="359">
        <f t="shared" si="16"/>
        <v>0</v>
      </c>
      <c r="T59" s="356"/>
      <c r="U59" s="369" t="e">
        <f t="shared" si="17"/>
        <v>#DIV/0!</v>
      </c>
      <c r="W59" s="947">
        <f t="shared" si="8"/>
        <v>0</v>
      </c>
      <c r="X59" s="199" t="e">
        <f t="shared" si="18"/>
        <v>#DIV/0!</v>
      </c>
    </row>
    <row r="60" spans="1:24" ht="15" customHeight="1" x14ac:dyDescent="0.2">
      <c r="A60" s="200" t="s">
        <v>43</v>
      </c>
      <c r="B60" s="356">
        <v>0</v>
      </c>
      <c r="C60" s="357">
        <f t="shared" si="9"/>
        <v>0</v>
      </c>
      <c r="D60" s="358">
        <v>0</v>
      </c>
      <c r="E60" s="359" t="e">
        <f t="shared" si="7"/>
        <v>#DIV/0!</v>
      </c>
      <c r="F60" s="358">
        <v>0</v>
      </c>
      <c r="G60" s="359">
        <f t="shared" si="10"/>
        <v>0</v>
      </c>
      <c r="H60" s="358">
        <v>0</v>
      </c>
      <c r="I60" s="359">
        <f t="shared" si="11"/>
        <v>0</v>
      </c>
      <c r="J60" s="358">
        <f>0</f>
        <v>0</v>
      </c>
      <c r="K60" s="359">
        <f t="shared" si="12"/>
        <v>0</v>
      </c>
      <c r="L60" s="358">
        <v>0</v>
      </c>
      <c r="M60" s="359">
        <f t="shared" si="13"/>
        <v>0</v>
      </c>
      <c r="N60" s="358">
        <v>0</v>
      </c>
      <c r="O60" s="359">
        <f t="shared" si="14"/>
        <v>0</v>
      </c>
      <c r="P60" s="358">
        <v>0</v>
      </c>
      <c r="Q60" s="359">
        <f t="shared" si="15"/>
        <v>0</v>
      </c>
      <c r="R60" s="358">
        <v>0</v>
      </c>
      <c r="S60" s="359">
        <f t="shared" si="16"/>
        <v>0</v>
      </c>
      <c r="T60" s="356"/>
      <c r="U60" s="369" t="e">
        <f t="shared" si="17"/>
        <v>#DIV/0!</v>
      </c>
      <c r="W60" s="947">
        <f t="shared" si="8"/>
        <v>0</v>
      </c>
      <c r="X60" s="199" t="e">
        <f t="shared" si="18"/>
        <v>#DIV/0!</v>
      </c>
    </row>
    <row r="61" spans="1:24" ht="15" customHeight="1" x14ac:dyDescent="0.2">
      <c r="A61" s="200" t="s">
        <v>44</v>
      </c>
      <c r="B61" s="356">
        <v>0</v>
      </c>
      <c r="C61" s="357">
        <f t="shared" si="9"/>
        <v>0</v>
      </c>
      <c r="D61" s="358">
        <v>0</v>
      </c>
      <c r="E61" s="359" t="e">
        <f t="shared" si="7"/>
        <v>#DIV/0!</v>
      </c>
      <c r="F61" s="358">
        <v>0</v>
      </c>
      <c r="G61" s="359">
        <f t="shared" si="10"/>
        <v>0</v>
      </c>
      <c r="H61" s="358">
        <v>0</v>
      </c>
      <c r="I61" s="359">
        <f t="shared" si="11"/>
        <v>0</v>
      </c>
      <c r="J61" s="358">
        <f>0</f>
        <v>0</v>
      </c>
      <c r="K61" s="359">
        <f t="shared" si="12"/>
        <v>0</v>
      </c>
      <c r="L61" s="358">
        <v>0</v>
      </c>
      <c r="M61" s="359">
        <f t="shared" si="13"/>
        <v>0</v>
      </c>
      <c r="N61" s="358">
        <v>0</v>
      </c>
      <c r="O61" s="359">
        <f t="shared" si="14"/>
        <v>0</v>
      </c>
      <c r="P61" s="358">
        <v>0</v>
      </c>
      <c r="Q61" s="359">
        <f t="shared" si="15"/>
        <v>0</v>
      </c>
      <c r="R61" s="358">
        <v>0</v>
      </c>
      <c r="S61" s="359">
        <f t="shared" si="16"/>
        <v>0</v>
      </c>
      <c r="T61" s="356"/>
      <c r="U61" s="369" t="e">
        <f t="shared" si="17"/>
        <v>#DIV/0!</v>
      </c>
      <c r="W61" s="947">
        <f t="shared" si="8"/>
        <v>0</v>
      </c>
      <c r="X61" s="199" t="e">
        <f t="shared" si="18"/>
        <v>#DIV/0!</v>
      </c>
    </row>
    <row r="62" spans="1:24" ht="15" customHeight="1" x14ac:dyDescent="0.2">
      <c r="A62" s="200" t="s">
        <v>45</v>
      </c>
      <c r="B62" s="356">
        <v>0</v>
      </c>
      <c r="C62" s="357">
        <f t="shared" si="9"/>
        <v>0</v>
      </c>
      <c r="D62" s="358">
        <v>0</v>
      </c>
      <c r="E62" s="359" t="e">
        <f t="shared" si="7"/>
        <v>#DIV/0!</v>
      </c>
      <c r="F62" s="358">
        <v>0</v>
      </c>
      <c r="G62" s="359">
        <f t="shared" si="10"/>
        <v>0</v>
      </c>
      <c r="H62" s="358">
        <v>0</v>
      </c>
      <c r="I62" s="359">
        <f t="shared" si="11"/>
        <v>0</v>
      </c>
      <c r="J62" s="358">
        <f>0</f>
        <v>0</v>
      </c>
      <c r="K62" s="359">
        <f t="shared" si="12"/>
        <v>0</v>
      </c>
      <c r="L62" s="358">
        <v>0</v>
      </c>
      <c r="M62" s="359">
        <f t="shared" si="13"/>
        <v>0</v>
      </c>
      <c r="N62" s="358">
        <v>0</v>
      </c>
      <c r="O62" s="359">
        <f t="shared" si="14"/>
        <v>0</v>
      </c>
      <c r="P62" s="358">
        <v>0</v>
      </c>
      <c r="Q62" s="359">
        <f t="shared" si="15"/>
        <v>0</v>
      </c>
      <c r="R62" s="358">
        <v>0</v>
      </c>
      <c r="S62" s="359">
        <f t="shared" si="16"/>
        <v>0</v>
      </c>
      <c r="T62" s="356"/>
      <c r="U62" s="369" t="e">
        <f t="shared" si="17"/>
        <v>#DIV/0!</v>
      </c>
      <c r="W62" s="947">
        <f t="shared" si="8"/>
        <v>0</v>
      </c>
      <c r="X62" s="199" t="e">
        <f t="shared" si="18"/>
        <v>#DIV/0!</v>
      </c>
    </row>
    <row r="63" spans="1:24" ht="15" customHeight="1" x14ac:dyDescent="0.2">
      <c r="A63" s="200" t="s">
        <v>46</v>
      </c>
      <c r="B63" s="426"/>
      <c r="C63" s="427"/>
      <c r="D63" s="428"/>
      <c r="E63" s="429"/>
      <c r="F63" s="428"/>
      <c r="G63" s="359">
        <f t="shared" si="10"/>
        <v>0</v>
      </c>
      <c r="H63" s="361">
        <v>0</v>
      </c>
      <c r="I63" s="359">
        <f t="shared" si="11"/>
        <v>0</v>
      </c>
      <c r="J63" s="361">
        <f>0</f>
        <v>0</v>
      </c>
      <c r="K63" s="359">
        <f t="shared" si="12"/>
        <v>0</v>
      </c>
      <c r="L63" s="361">
        <v>0</v>
      </c>
      <c r="M63" s="359">
        <f t="shared" si="13"/>
        <v>0</v>
      </c>
      <c r="N63" s="361">
        <v>0</v>
      </c>
      <c r="O63" s="359">
        <f t="shared" si="14"/>
        <v>0</v>
      </c>
      <c r="P63" s="361">
        <v>0</v>
      </c>
      <c r="Q63" s="359">
        <f t="shared" si="15"/>
        <v>0</v>
      </c>
      <c r="R63" s="361">
        <v>0</v>
      </c>
      <c r="S63" s="359">
        <f t="shared" si="16"/>
        <v>0</v>
      </c>
      <c r="T63" s="360"/>
      <c r="U63" s="369" t="e">
        <f t="shared" si="17"/>
        <v>#DIV/0!</v>
      </c>
      <c r="W63" s="947">
        <f t="shared" si="8"/>
        <v>0</v>
      </c>
      <c r="X63" s="199" t="e">
        <f t="shared" si="18"/>
        <v>#DIV/0!</v>
      </c>
    </row>
    <row r="64" spans="1:24" ht="15" customHeight="1" thickBot="1" x14ac:dyDescent="0.25">
      <c r="A64" s="521" t="s">
        <v>47</v>
      </c>
      <c r="B64" s="481">
        <v>0</v>
      </c>
      <c r="C64" s="482">
        <f t="shared" si="9"/>
        <v>0</v>
      </c>
      <c r="D64" s="483">
        <v>0</v>
      </c>
      <c r="E64" s="484" t="e">
        <f>D64/E$84</f>
        <v>#DIV/0!</v>
      </c>
      <c r="F64" s="483">
        <v>0</v>
      </c>
      <c r="G64" s="484">
        <f t="shared" si="10"/>
        <v>0</v>
      </c>
      <c r="H64" s="483">
        <v>0</v>
      </c>
      <c r="I64" s="484">
        <f t="shared" si="11"/>
        <v>0</v>
      </c>
      <c r="J64" s="483">
        <f>0</f>
        <v>0</v>
      </c>
      <c r="K64" s="484">
        <f t="shared" si="12"/>
        <v>0</v>
      </c>
      <c r="L64" s="483">
        <v>0</v>
      </c>
      <c r="M64" s="484">
        <f t="shared" si="13"/>
        <v>0</v>
      </c>
      <c r="N64" s="483">
        <v>0</v>
      </c>
      <c r="O64" s="484">
        <f t="shared" si="14"/>
        <v>0</v>
      </c>
      <c r="P64" s="483">
        <v>0</v>
      </c>
      <c r="Q64" s="484">
        <f t="shared" si="15"/>
        <v>0</v>
      </c>
      <c r="R64" s="483">
        <v>0</v>
      </c>
      <c r="S64" s="484">
        <f t="shared" si="16"/>
        <v>0</v>
      </c>
      <c r="T64" s="481"/>
      <c r="U64" s="485" t="e">
        <f t="shared" si="17"/>
        <v>#DIV/0!</v>
      </c>
      <c r="W64" s="947">
        <f t="shared" si="8"/>
        <v>0</v>
      </c>
      <c r="X64" s="199" t="e">
        <f t="shared" si="18"/>
        <v>#DIV/0!</v>
      </c>
    </row>
    <row r="65" spans="1:24" ht="18" customHeight="1" x14ac:dyDescent="0.2">
      <c r="A65" s="723" t="s">
        <v>48</v>
      </c>
      <c r="B65" s="476"/>
      <c r="C65" s="472"/>
      <c r="D65" s="477"/>
      <c r="E65" s="478"/>
      <c r="F65" s="477"/>
      <c r="G65" s="478"/>
      <c r="H65" s="477"/>
      <c r="I65" s="478"/>
      <c r="J65" s="477"/>
      <c r="K65" s="478"/>
      <c r="L65" s="477"/>
      <c r="M65" s="478"/>
      <c r="N65" s="477"/>
      <c r="O65" s="478"/>
      <c r="P65" s="477"/>
      <c r="Q65" s="478"/>
      <c r="R65" s="477"/>
      <c r="S65" s="478"/>
      <c r="T65" s="476"/>
      <c r="U65" s="475"/>
      <c r="W65" s="947"/>
      <c r="X65" s="199"/>
    </row>
    <row r="66" spans="1:24" ht="15" customHeight="1" x14ac:dyDescent="0.2">
      <c r="A66" s="192" t="s">
        <v>49</v>
      </c>
      <c r="B66" s="26">
        <v>0</v>
      </c>
      <c r="C66" s="357">
        <f t="shared" si="9"/>
        <v>0</v>
      </c>
      <c r="D66" s="362">
        <v>0</v>
      </c>
      <c r="E66" s="359" t="e">
        <f>D66/E$84</f>
        <v>#DIV/0!</v>
      </c>
      <c r="F66" s="362">
        <v>0</v>
      </c>
      <c r="G66" s="359">
        <f t="shared" si="10"/>
        <v>0</v>
      </c>
      <c r="H66" s="362">
        <v>0</v>
      </c>
      <c r="I66" s="359">
        <f t="shared" si="11"/>
        <v>0</v>
      </c>
      <c r="J66" s="362">
        <f>0</f>
        <v>0</v>
      </c>
      <c r="K66" s="359">
        <f t="shared" si="12"/>
        <v>0</v>
      </c>
      <c r="L66" s="362">
        <v>1</v>
      </c>
      <c r="M66" s="359">
        <f t="shared" si="13"/>
        <v>0.2</v>
      </c>
      <c r="N66" s="362">
        <v>2</v>
      </c>
      <c r="O66" s="359">
        <f t="shared" si="14"/>
        <v>0.2</v>
      </c>
      <c r="P66" s="362">
        <v>0</v>
      </c>
      <c r="Q66" s="359">
        <f t="shared" si="15"/>
        <v>0</v>
      </c>
      <c r="R66" s="362">
        <v>0</v>
      </c>
      <c r="S66" s="359">
        <f t="shared" si="16"/>
        <v>0</v>
      </c>
      <c r="T66" s="26"/>
      <c r="U66" s="369" t="e">
        <f t="shared" ref="U66:U67" si="19">T66/U$54</f>
        <v>#DIV/0!</v>
      </c>
      <c r="W66" s="947">
        <f t="shared" si="8"/>
        <v>0.75</v>
      </c>
      <c r="X66" s="199" t="e">
        <f t="shared" si="18"/>
        <v>#DIV/0!</v>
      </c>
    </row>
    <row r="67" spans="1:24" ht="15" customHeight="1" thickBot="1" x14ac:dyDescent="0.25">
      <c r="A67" s="521" t="s">
        <v>50</v>
      </c>
      <c r="B67" s="486">
        <v>2</v>
      </c>
      <c r="C67" s="482">
        <f t="shared" si="9"/>
        <v>1</v>
      </c>
      <c r="D67" s="487">
        <v>2</v>
      </c>
      <c r="E67" s="484" t="e">
        <f>D67/E$84</f>
        <v>#DIV/0!</v>
      </c>
      <c r="F67" s="487">
        <v>2</v>
      </c>
      <c r="G67" s="484">
        <f t="shared" si="10"/>
        <v>1</v>
      </c>
      <c r="H67" s="487">
        <v>2</v>
      </c>
      <c r="I67" s="484">
        <f t="shared" si="11"/>
        <v>1</v>
      </c>
      <c r="J67" s="487">
        <f>1+2</f>
        <v>3</v>
      </c>
      <c r="K67" s="484">
        <f t="shared" si="12"/>
        <v>1</v>
      </c>
      <c r="L67" s="487">
        <v>4</v>
      </c>
      <c r="M67" s="484">
        <f t="shared" si="13"/>
        <v>0.8</v>
      </c>
      <c r="N67" s="487">
        <v>8</v>
      </c>
      <c r="O67" s="484">
        <f t="shared" si="14"/>
        <v>0.8</v>
      </c>
      <c r="P67" s="487">
        <v>7</v>
      </c>
      <c r="Q67" s="484">
        <f t="shared" si="15"/>
        <v>1</v>
      </c>
      <c r="R67" s="487">
        <v>11</v>
      </c>
      <c r="S67" s="484">
        <f t="shared" si="16"/>
        <v>1</v>
      </c>
      <c r="T67" s="486"/>
      <c r="U67" s="485" t="e">
        <f t="shared" si="19"/>
        <v>#DIV/0!</v>
      </c>
      <c r="W67" s="947">
        <f t="shared" si="8"/>
        <v>7.5</v>
      </c>
      <c r="X67" s="199" t="e">
        <f t="shared" si="18"/>
        <v>#DIV/0!</v>
      </c>
    </row>
    <row r="68" spans="1:24" ht="18" customHeight="1" x14ac:dyDescent="0.2">
      <c r="A68" s="723" t="s">
        <v>51</v>
      </c>
      <c r="B68" s="479"/>
      <c r="C68" s="472"/>
      <c r="D68" s="480"/>
      <c r="E68" s="474"/>
      <c r="F68" s="480"/>
      <c r="G68" s="474"/>
      <c r="H68" s="480"/>
      <c r="I68" s="474"/>
      <c r="J68" s="480"/>
      <c r="K68" s="474"/>
      <c r="L68" s="480"/>
      <c r="M68" s="474"/>
      <c r="N68" s="480"/>
      <c r="O68" s="474"/>
      <c r="P68" s="480"/>
      <c r="Q68" s="474"/>
      <c r="R68" s="480"/>
      <c r="S68" s="474"/>
      <c r="T68" s="479"/>
      <c r="U68" s="475"/>
      <c r="W68" s="947"/>
      <c r="X68" s="199"/>
    </row>
    <row r="69" spans="1:24" ht="15" customHeight="1" x14ac:dyDescent="0.2">
      <c r="A69" s="192" t="s">
        <v>52</v>
      </c>
      <c r="B69" s="363">
        <v>1</v>
      </c>
      <c r="C69" s="357">
        <f t="shared" si="9"/>
        <v>0.5</v>
      </c>
      <c r="D69" s="364">
        <v>1</v>
      </c>
      <c r="E69" s="359" t="e">
        <f>D69/E$84</f>
        <v>#DIV/0!</v>
      </c>
      <c r="F69" s="364">
        <v>1</v>
      </c>
      <c r="G69" s="359">
        <f t="shared" si="10"/>
        <v>0.5</v>
      </c>
      <c r="H69" s="364">
        <v>1</v>
      </c>
      <c r="I69" s="359">
        <f t="shared" si="11"/>
        <v>0.5</v>
      </c>
      <c r="J69" s="364">
        <f>1</f>
        <v>1</v>
      </c>
      <c r="K69" s="359">
        <f t="shared" si="12"/>
        <v>0.33333333333333331</v>
      </c>
      <c r="L69" s="364">
        <v>2</v>
      </c>
      <c r="M69" s="359">
        <f t="shared" si="13"/>
        <v>0.4</v>
      </c>
      <c r="N69" s="364">
        <v>4</v>
      </c>
      <c r="O69" s="359">
        <f t="shared" si="14"/>
        <v>0.4</v>
      </c>
      <c r="P69" s="364">
        <v>2</v>
      </c>
      <c r="Q69" s="359">
        <f t="shared" si="15"/>
        <v>0.2857142857142857</v>
      </c>
      <c r="R69" s="364">
        <v>1</v>
      </c>
      <c r="S69" s="359">
        <f t="shared" si="16"/>
        <v>9.0909090909090912E-2</v>
      </c>
      <c r="T69" s="363"/>
      <c r="U69" s="369" t="e">
        <f t="shared" ref="U69:U71" si="20">T69/U$54</f>
        <v>#DIV/0!</v>
      </c>
      <c r="W69" s="947">
        <f t="shared" si="8"/>
        <v>2.25</v>
      </c>
      <c r="X69" s="199" t="e">
        <f t="shared" si="18"/>
        <v>#DIV/0!</v>
      </c>
    </row>
    <row r="70" spans="1:24" ht="15" customHeight="1" x14ac:dyDescent="0.2">
      <c r="A70" s="192" t="s">
        <v>53</v>
      </c>
      <c r="B70" s="363">
        <v>0</v>
      </c>
      <c r="C70" s="357">
        <f t="shared" si="9"/>
        <v>0</v>
      </c>
      <c r="D70" s="364">
        <v>0</v>
      </c>
      <c r="E70" s="359" t="e">
        <f>D70/E$84</f>
        <v>#DIV/0!</v>
      </c>
      <c r="F70" s="364">
        <v>0</v>
      </c>
      <c r="G70" s="359">
        <f t="shared" si="10"/>
        <v>0</v>
      </c>
      <c r="H70" s="364">
        <v>0</v>
      </c>
      <c r="I70" s="359">
        <f t="shared" si="11"/>
        <v>0</v>
      </c>
      <c r="J70" s="364">
        <f>0</f>
        <v>0</v>
      </c>
      <c r="K70" s="359">
        <f t="shared" si="12"/>
        <v>0</v>
      </c>
      <c r="L70" s="364">
        <v>0</v>
      </c>
      <c r="M70" s="359">
        <f t="shared" si="13"/>
        <v>0</v>
      </c>
      <c r="N70" s="364">
        <v>1</v>
      </c>
      <c r="O70" s="359">
        <f t="shared" si="14"/>
        <v>0.1</v>
      </c>
      <c r="P70" s="364">
        <v>0</v>
      </c>
      <c r="Q70" s="359">
        <f t="shared" si="15"/>
        <v>0</v>
      </c>
      <c r="R70" s="364">
        <v>1</v>
      </c>
      <c r="S70" s="359">
        <f t="shared" si="16"/>
        <v>9.0909090909090912E-2</v>
      </c>
      <c r="T70" s="363"/>
      <c r="U70" s="369" t="e">
        <f t="shared" si="20"/>
        <v>#DIV/0!</v>
      </c>
      <c r="W70" s="947">
        <f t="shared" si="8"/>
        <v>0.5</v>
      </c>
      <c r="X70" s="199" t="e">
        <f t="shared" si="18"/>
        <v>#DIV/0!</v>
      </c>
    </row>
    <row r="71" spans="1:24" ht="15" customHeight="1" thickBot="1" x14ac:dyDescent="0.25">
      <c r="A71" s="521" t="s">
        <v>54</v>
      </c>
      <c r="B71" s="486">
        <v>1</v>
      </c>
      <c r="C71" s="482">
        <f t="shared" si="9"/>
        <v>0.5</v>
      </c>
      <c r="D71" s="487">
        <v>1</v>
      </c>
      <c r="E71" s="484" t="e">
        <f>D71/E$84</f>
        <v>#DIV/0!</v>
      </c>
      <c r="F71" s="487">
        <v>1</v>
      </c>
      <c r="G71" s="484">
        <f t="shared" si="10"/>
        <v>0.5</v>
      </c>
      <c r="H71" s="487">
        <v>1</v>
      </c>
      <c r="I71" s="484">
        <f t="shared" si="11"/>
        <v>0.5</v>
      </c>
      <c r="J71" s="487">
        <f>1+1</f>
        <v>2</v>
      </c>
      <c r="K71" s="484">
        <f t="shared" si="12"/>
        <v>0.66666666666666663</v>
      </c>
      <c r="L71" s="487">
        <v>3</v>
      </c>
      <c r="M71" s="484">
        <f t="shared" si="13"/>
        <v>0.6</v>
      </c>
      <c r="N71" s="487">
        <v>5</v>
      </c>
      <c r="O71" s="484">
        <f t="shared" si="14"/>
        <v>0.5</v>
      </c>
      <c r="P71" s="487">
        <v>5</v>
      </c>
      <c r="Q71" s="484">
        <f t="shared" si="15"/>
        <v>0.7142857142857143</v>
      </c>
      <c r="R71" s="487">
        <v>9</v>
      </c>
      <c r="S71" s="484">
        <f t="shared" si="16"/>
        <v>0.81818181818181823</v>
      </c>
      <c r="T71" s="486"/>
      <c r="U71" s="485" t="e">
        <f t="shared" si="20"/>
        <v>#DIV/0!</v>
      </c>
      <c r="W71" s="947">
        <f t="shared" si="8"/>
        <v>5.5</v>
      </c>
      <c r="X71" s="199" t="e">
        <f t="shared" si="18"/>
        <v>#DIV/0!</v>
      </c>
    </row>
    <row r="72" spans="1:24" ht="18" customHeight="1" x14ac:dyDescent="0.2">
      <c r="A72" s="723" t="s">
        <v>55</v>
      </c>
      <c r="B72" s="479"/>
      <c r="C72" s="472"/>
      <c r="D72" s="480"/>
      <c r="E72" s="474"/>
      <c r="F72" s="480"/>
      <c r="G72" s="474"/>
      <c r="H72" s="480"/>
      <c r="I72" s="474"/>
      <c r="J72" s="480"/>
      <c r="K72" s="474"/>
      <c r="L72" s="480"/>
      <c r="M72" s="474"/>
      <c r="N72" s="480"/>
      <c r="O72" s="474"/>
      <c r="P72" s="480"/>
      <c r="Q72" s="474"/>
      <c r="R72" s="480"/>
      <c r="S72" s="474"/>
      <c r="T72" s="479"/>
      <c r="U72" s="475"/>
      <c r="W72" s="947"/>
      <c r="X72" s="199"/>
    </row>
    <row r="73" spans="1:24" ht="15" customHeight="1" x14ac:dyDescent="0.2">
      <c r="A73" s="192" t="s">
        <v>56</v>
      </c>
      <c r="B73" s="363">
        <v>2</v>
      </c>
      <c r="C73" s="357">
        <f t="shared" si="9"/>
        <v>1</v>
      </c>
      <c r="D73" s="364">
        <v>2</v>
      </c>
      <c r="E73" s="359" t="e">
        <f>D73/E$84</f>
        <v>#DIV/0!</v>
      </c>
      <c r="F73" s="364">
        <v>2</v>
      </c>
      <c r="G73" s="359">
        <f t="shared" si="10"/>
        <v>1</v>
      </c>
      <c r="H73" s="364">
        <v>2</v>
      </c>
      <c r="I73" s="359">
        <f t="shared" si="11"/>
        <v>1</v>
      </c>
      <c r="J73" s="364">
        <f>2</f>
        <v>2</v>
      </c>
      <c r="K73" s="359">
        <f t="shared" si="12"/>
        <v>0.66666666666666663</v>
      </c>
      <c r="L73" s="364">
        <v>3</v>
      </c>
      <c r="M73" s="359">
        <f t="shared" si="13"/>
        <v>0.6</v>
      </c>
      <c r="N73" s="364">
        <v>5</v>
      </c>
      <c r="O73" s="359">
        <f t="shared" si="14"/>
        <v>0.5</v>
      </c>
      <c r="P73" s="364">
        <v>3</v>
      </c>
      <c r="Q73" s="359">
        <f t="shared" si="15"/>
        <v>0.42857142857142855</v>
      </c>
      <c r="R73" s="364">
        <v>3</v>
      </c>
      <c r="S73" s="359">
        <f t="shared" si="16"/>
        <v>0.27272727272727271</v>
      </c>
      <c r="T73" s="363"/>
      <c r="U73" s="369" t="e">
        <f t="shared" ref="U73:U76" si="21">T73/U$54</f>
        <v>#DIV/0!</v>
      </c>
      <c r="W73" s="947">
        <f t="shared" si="8"/>
        <v>3.5</v>
      </c>
      <c r="X73" s="199" t="e">
        <f t="shared" si="18"/>
        <v>#DIV/0!</v>
      </c>
    </row>
    <row r="74" spans="1:24" ht="15" customHeight="1" x14ac:dyDescent="0.2">
      <c r="A74" s="192" t="s">
        <v>57</v>
      </c>
      <c r="B74" s="363">
        <v>0</v>
      </c>
      <c r="C74" s="357">
        <f t="shared" si="9"/>
        <v>0</v>
      </c>
      <c r="D74" s="364">
        <v>0</v>
      </c>
      <c r="E74" s="359" t="e">
        <f>D74/E$84</f>
        <v>#DIV/0!</v>
      </c>
      <c r="F74" s="364">
        <v>0</v>
      </c>
      <c r="G74" s="359">
        <f t="shared" si="10"/>
        <v>0</v>
      </c>
      <c r="H74" s="364">
        <v>0</v>
      </c>
      <c r="I74" s="359">
        <f t="shared" si="11"/>
        <v>0</v>
      </c>
      <c r="J74" s="364">
        <f>1</f>
        <v>1</v>
      </c>
      <c r="K74" s="359">
        <f t="shared" si="12"/>
        <v>0.33333333333333331</v>
      </c>
      <c r="L74" s="364">
        <v>1</v>
      </c>
      <c r="M74" s="359">
        <f t="shared" si="13"/>
        <v>0.2</v>
      </c>
      <c r="N74" s="364">
        <v>4</v>
      </c>
      <c r="O74" s="359">
        <f t="shared" si="14"/>
        <v>0.4</v>
      </c>
      <c r="P74" s="364">
        <v>3</v>
      </c>
      <c r="Q74" s="359">
        <f t="shared" si="15"/>
        <v>0.42857142857142855</v>
      </c>
      <c r="R74" s="364">
        <v>5</v>
      </c>
      <c r="S74" s="359">
        <f t="shared" si="16"/>
        <v>0.45454545454545453</v>
      </c>
      <c r="T74" s="363"/>
      <c r="U74" s="369" t="e">
        <f t="shared" si="21"/>
        <v>#DIV/0!</v>
      </c>
      <c r="W74" s="947">
        <f t="shared" si="8"/>
        <v>3.25</v>
      </c>
      <c r="X74" s="199" t="e">
        <f t="shared" si="18"/>
        <v>#DIV/0!</v>
      </c>
    </row>
    <row r="75" spans="1:24" ht="15" customHeight="1" x14ac:dyDescent="0.2">
      <c r="A75" s="192" t="s">
        <v>58</v>
      </c>
      <c r="B75" s="363">
        <v>0</v>
      </c>
      <c r="C75" s="357">
        <f t="shared" si="9"/>
        <v>0</v>
      </c>
      <c r="D75" s="364">
        <v>0</v>
      </c>
      <c r="E75" s="359" t="e">
        <f>D75/E$84</f>
        <v>#DIV/0!</v>
      </c>
      <c r="F75" s="364">
        <v>0</v>
      </c>
      <c r="G75" s="359">
        <f t="shared" si="10"/>
        <v>0</v>
      </c>
      <c r="H75" s="364">
        <v>0</v>
      </c>
      <c r="I75" s="359">
        <f t="shared" si="11"/>
        <v>0</v>
      </c>
      <c r="J75" s="364">
        <f>0</f>
        <v>0</v>
      </c>
      <c r="K75" s="359">
        <f t="shared" si="12"/>
        <v>0</v>
      </c>
      <c r="L75" s="364">
        <v>1</v>
      </c>
      <c r="M75" s="359">
        <f t="shared" si="13"/>
        <v>0.2</v>
      </c>
      <c r="N75" s="364">
        <v>1</v>
      </c>
      <c r="O75" s="359">
        <f t="shared" si="14"/>
        <v>0.1</v>
      </c>
      <c r="P75" s="364">
        <v>1</v>
      </c>
      <c r="Q75" s="359">
        <f t="shared" si="15"/>
        <v>0.14285714285714285</v>
      </c>
      <c r="R75" s="364">
        <v>3</v>
      </c>
      <c r="S75" s="359">
        <f t="shared" si="16"/>
        <v>0.27272727272727271</v>
      </c>
      <c r="T75" s="363"/>
      <c r="U75" s="369" t="e">
        <f t="shared" si="21"/>
        <v>#DIV/0!</v>
      </c>
      <c r="W75" s="947">
        <f t="shared" si="8"/>
        <v>1.5</v>
      </c>
      <c r="X75" s="199" t="e">
        <f t="shared" si="18"/>
        <v>#DIV/0!</v>
      </c>
    </row>
    <row r="76" spans="1:24" ht="15" customHeight="1" thickBot="1" x14ac:dyDescent="0.25">
      <c r="A76" s="207" t="s">
        <v>59</v>
      </c>
      <c r="B76" s="398">
        <v>0</v>
      </c>
      <c r="C76" s="366">
        <f t="shared" si="9"/>
        <v>0</v>
      </c>
      <c r="D76" s="367">
        <v>0</v>
      </c>
      <c r="E76" s="368" t="e">
        <f>D76/E$84</f>
        <v>#DIV/0!</v>
      </c>
      <c r="F76" s="367">
        <v>0</v>
      </c>
      <c r="G76" s="368">
        <f t="shared" si="10"/>
        <v>0</v>
      </c>
      <c r="H76" s="367">
        <v>0</v>
      </c>
      <c r="I76" s="368">
        <f t="shared" si="11"/>
        <v>0</v>
      </c>
      <c r="J76" s="367">
        <f>0</f>
        <v>0</v>
      </c>
      <c r="K76" s="368">
        <f t="shared" si="12"/>
        <v>0</v>
      </c>
      <c r="L76" s="367">
        <v>0</v>
      </c>
      <c r="M76" s="368">
        <f t="shared" si="13"/>
        <v>0</v>
      </c>
      <c r="N76" s="367">
        <v>0</v>
      </c>
      <c r="O76" s="368">
        <f t="shared" si="14"/>
        <v>0</v>
      </c>
      <c r="P76" s="367">
        <v>0</v>
      </c>
      <c r="Q76" s="368">
        <f t="shared" si="15"/>
        <v>0</v>
      </c>
      <c r="R76" s="367">
        <v>0</v>
      </c>
      <c r="S76" s="368">
        <f t="shared" si="16"/>
        <v>0</v>
      </c>
      <c r="T76" s="365"/>
      <c r="U76" s="399" t="e">
        <f t="shared" si="21"/>
        <v>#DIV/0!</v>
      </c>
      <c r="W76" s="953">
        <f t="shared" si="8"/>
        <v>0</v>
      </c>
      <c r="X76" s="213" t="e">
        <f t="shared" si="18"/>
        <v>#DIV/0!</v>
      </c>
    </row>
    <row r="77" spans="1:24" ht="15" customHeight="1" thickTop="1" x14ac:dyDescent="0.2">
      <c r="A77" s="488" t="s">
        <v>153</v>
      </c>
    </row>
  </sheetData>
  <mergeCells count="55">
    <mergeCell ref="T23:U23"/>
    <mergeCell ref="T28:U28"/>
    <mergeCell ref="T37:U37"/>
    <mergeCell ref="T46:U46"/>
    <mergeCell ref="W46:X46"/>
    <mergeCell ref="R23:S23"/>
    <mergeCell ref="W23:X23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W28:X28"/>
    <mergeCell ref="B23:C23"/>
    <mergeCell ref="D23:E23"/>
    <mergeCell ref="L23:M23"/>
    <mergeCell ref="N23:O23"/>
    <mergeCell ref="B46:C46"/>
    <mergeCell ref="D46:E46"/>
    <mergeCell ref="F46:G46"/>
    <mergeCell ref="H46:I46"/>
    <mergeCell ref="J46:K46"/>
    <mergeCell ref="R46:S46"/>
    <mergeCell ref="L46:M46"/>
    <mergeCell ref="R37:S37"/>
    <mergeCell ref="W37:X37"/>
    <mergeCell ref="N37:O37"/>
    <mergeCell ref="N46:O46"/>
    <mergeCell ref="P46:Q46"/>
    <mergeCell ref="L37:M37"/>
    <mergeCell ref="P37:Q37"/>
    <mergeCell ref="R9:S9"/>
    <mergeCell ref="W9:X9"/>
    <mergeCell ref="T9:U9"/>
    <mergeCell ref="B9:C9"/>
    <mergeCell ref="D9:E9"/>
    <mergeCell ref="F9:G9"/>
    <mergeCell ref="H9:I9"/>
    <mergeCell ref="J9:K9"/>
    <mergeCell ref="B37:C37"/>
    <mergeCell ref="D37:E37"/>
    <mergeCell ref="L9:M9"/>
    <mergeCell ref="N9:O9"/>
    <mergeCell ref="P9:Q9"/>
    <mergeCell ref="P23:Q23"/>
    <mergeCell ref="F23:G23"/>
    <mergeCell ref="H23:I23"/>
    <mergeCell ref="J23:K23"/>
    <mergeCell ref="F37:G37"/>
    <mergeCell ref="H37:I37"/>
    <mergeCell ref="J37:K37"/>
  </mergeCells>
  <pageMargins left="0.5" right="0.5" top="0.5" bottom="0.5" header="0.3" footer="0.3"/>
  <pageSetup scale="70" orientation="landscape" r:id="rId1"/>
  <headerFooter>
    <oddFooter>&amp;L&amp;9Prepared by Planning and Analysis&amp;C&amp;9&amp;P of &amp;N&amp;R&amp;9Updated &amp;D</oddFooter>
  </headerFooter>
  <rowBreaks count="1" manualBreakCount="1">
    <brk id="44" max="16383" man="1"/>
  </rowBreaks>
  <colBreaks count="1" manualBreakCount="1">
    <brk id="21" max="1048575" man="1"/>
  </colBreaks>
  <ignoredErrors>
    <ignoredError sqref="J57:J64 J66:J67 J69:J71 J73:J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27"/>
  <sheetViews>
    <sheetView zoomScaleNormal="100" zoomScaleSheetLayoutView="100" workbookViewId="0">
      <pane xSplit="1" ySplit="8" topLeftCell="R9" activePane="bottomRight" state="frozen"/>
      <selection activeCell="T35" sqref="T35:U35"/>
      <selection pane="topRight" activeCell="T35" sqref="T35:U35"/>
      <selection pane="bottomLeft" activeCell="T35" sqref="T35:U35"/>
      <selection pane="bottomRight" activeCell="T35" sqref="T35:U35"/>
    </sheetView>
  </sheetViews>
  <sheetFormatPr defaultColWidth="10.28515625" defaultRowHeight="12.75" x14ac:dyDescent="0.2"/>
  <cols>
    <col min="1" max="1" width="35.57031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32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32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32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32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</row>
    <row r="5" spans="1:32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32" s="1" customFormat="1" ht="25.5" x14ac:dyDescent="0.2">
      <c r="A6" s="701" t="s">
        <v>68</v>
      </c>
      <c r="F6" s="2"/>
      <c r="G6" s="2"/>
      <c r="H6" s="2"/>
      <c r="I6" s="2"/>
      <c r="U6" s="1" t="s">
        <v>14</v>
      </c>
    </row>
    <row r="7" spans="1:32" s="1" customFormat="1" x14ac:dyDescent="0.2">
      <c r="A7" s="461">
        <v>367005502</v>
      </c>
      <c r="F7" s="2"/>
      <c r="G7" s="2"/>
      <c r="H7" s="2"/>
      <c r="I7" s="2"/>
    </row>
    <row r="8" spans="1:32" s="1" customFormat="1" ht="5.25" customHeight="1" thickBot="1" x14ac:dyDescent="0.25">
      <c r="A8" s="462"/>
      <c r="B8" s="463"/>
      <c r="C8" s="463"/>
      <c r="D8" s="463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E8" s="463"/>
      <c r="AF8" s="463"/>
    </row>
    <row r="9" spans="1:32" ht="18" customHeight="1" thickTop="1" thickBot="1" x14ac:dyDescent="0.25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W9" s="1044" t="s">
        <v>9</v>
      </c>
      <c r="X9" s="1045"/>
    </row>
    <row r="10" spans="1:32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710" t="s">
        <v>166</v>
      </c>
      <c r="T10" s="709" t="s">
        <v>165</v>
      </c>
      <c r="U10" s="712" t="s">
        <v>166</v>
      </c>
      <c r="W10" s="713" t="s">
        <v>165</v>
      </c>
      <c r="X10" s="714" t="s">
        <v>166</v>
      </c>
    </row>
    <row r="11" spans="1:32" ht="15" customHeight="1" x14ac:dyDescent="0.2">
      <c r="A11" s="79" t="s">
        <v>69</v>
      </c>
      <c r="B11" s="7"/>
      <c r="C11" s="437"/>
      <c r="D11" s="6"/>
      <c r="E11" s="312"/>
      <c r="F11" s="7"/>
      <c r="G11" s="312"/>
      <c r="H11" s="7"/>
      <c r="I11" s="312"/>
      <c r="J11" s="7"/>
      <c r="K11" s="312"/>
      <c r="L11" s="7"/>
      <c r="M11" s="312"/>
      <c r="N11" s="7"/>
      <c r="O11" s="312"/>
      <c r="P11" s="7"/>
      <c r="Q11" s="312"/>
      <c r="R11" s="7"/>
      <c r="S11" s="312"/>
      <c r="T11" s="7"/>
      <c r="U11" s="8"/>
      <c r="V11" s="433"/>
      <c r="W11" s="538"/>
      <c r="X11" s="632"/>
    </row>
    <row r="12" spans="1:32" s="13" customFormat="1" ht="15" customHeight="1" x14ac:dyDescent="0.2">
      <c r="A12" s="10" t="s">
        <v>10</v>
      </c>
      <c r="B12" s="68">
        <v>142</v>
      </c>
      <c r="C12" s="139"/>
      <c r="D12" s="76">
        <v>124</v>
      </c>
      <c r="E12" s="141"/>
      <c r="F12" s="11">
        <v>102</v>
      </c>
      <c r="G12" s="141"/>
      <c r="H12" s="11">
        <v>109</v>
      </c>
      <c r="I12" s="141"/>
      <c r="J12" s="11">
        <v>99</v>
      </c>
      <c r="K12" s="141"/>
      <c r="L12" s="11">
        <v>81</v>
      </c>
      <c r="M12" s="141"/>
      <c r="N12" s="11">
        <v>111</v>
      </c>
      <c r="O12" s="141"/>
      <c r="P12" s="11">
        <v>112</v>
      </c>
      <c r="Q12" s="141"/>
      <c r="R12" s="11">
        <v>86</v>
      </c>
      <c r="S12" s="141"/>
      <c r="T12" s="11">
        <v>82</v>
      </c>
      <c r="U12" s="146"/>
      <c r="W12" s="327">
        <f t="shared" ref="W12:W17" si="0">AVERAGE(N12,L12,R12,T12,P12)</f>
        <v>94.4</v>
      </c>
      <c r="X12" s="633"/>
    </row>
    <row r="13" spans="1:32" s="13" customFormat="1" ht="15" customHeight="1" thickBot="1" x14ac:dyDescent="0.25">
      <c r="A13" s="15" t="s">
        <v>11</v>
      </c>
      <c r="B13" s="77">
        <v>133</v>
      </c>
      <c r="C13" s="143"/>
      <c r="D13" s="78">
        <v>123</v>
      </c>
      <c r="E13" s="145"/>
      <c r="F13" s="17">
        <v>138</v>
      </c>
      <c r="G13" s="145"/>
      <c r="H13" s="17">
        <v>119</v>
      </c>
      <c r="I13" s="145"/>
      <c r="J13" s="17">
        <v>124</v>
      </c>
      <c r="K13" s="145"/>
      <c r="L13" s="17">
        <v>116</v>
      </c>
      <c r="M13" s="145"/>
      <c r="N13" s="17">
        <v>101</v>
      </c>
      <c r="O13" s="145"/>
      <c r="P13" s="17">
        <v>108</v>
      </c>
      <c r="Q13" s="145"/>
      <c r="R13" s="17">
        <f>45+70</f>
        <v>115</v>
      </c>
      <c r="S13" s="145"/>
      <c r="T13" s="17">
        <v>112</v>
      </c>
      <c r="U13" s="147"/>
      <c r="W13" s="327">
        <f t="shared" si="0"/>
        <v>110.4</v>
      </c>
      <c r="X13" s="634"/>
    </row>
    <row r="14" spans="1:32" s="39" customFormat="1" ht="15" customHeight="1" thickBot="1" x14ac:dyDescent="0.25">
      <c r="A14" s="52" t="s">
        <v>12</v>
      </c>
      <c r="B14" s="48">
        <f t="shared" ref="B14:R14" si="1">SUM(B12:B13)</f>
        <v>275</v>
      </c>
      <c r="C14" s="53">
        <v>67</v>
      </c>
      <c r="D14" s="48">
        <f t="shared" si="1"/>
        <v>247</v>
      </c>
      <c r="E14" s="53">
        <v>49</v>
      </c>
      <c r="F14" s="48">
        <f t="shared" si="1"/>
        <v>240</v>
      </c>
      <c r="G14" s="53">
        <v>54</v>
      </c>
      <c r="H14" s="48">
        <f t="shared" si="1"/>
        <v>228</v>
      </c>
      <c r="I14" s="53">
        <v>54</v>
      </c>
      <c r="J14" s="48">
        <f t="shared" si="1"/>
        <v>223</v>
      </c>
      <c r="K14" s="53">
        <v>54</v>
      </c>
      <c r="L14" s="48">
        <f t="shared" si="1"/>
        <v>197</v>
      </c>
      <c r="M14" s="53">
        <v>38</v>
      </c>
      <c r="N14" s="48">
        <f t="shared" si="1"/>
        <v>212</v>
      </c>
      <c r="O14" s="53">
        <v>51</v>
      </c>
      <c r="P14" s="48">
        <f t="shared" si="1"/>
        <v>220</v>
      </c>
      <c r="Q14" s="53">
        <v>37</v>
      </c>
      <c r="R14" s="48">
        <f t="shared" si="1"/>
        <v>201</v>
      </c>
      <c r="S14" s="53">
        <v>35</v>
      </c>
      <c r="T14" s="48">
        <f t="shared" ref="T14:U14" si="2">SUM(T12:T13)</f>
        <v>194</v>
      </c>
      <c r="U14" s="757">
        <f t="shared" si="2"/>
        <v>0</v>
      </c>
      <c r="W14" s="384">
        <f t="shared" si="0"/>
        <v>204.8</v>
      </c>
      <c r="X14" s="635">
        <f>AVERAGE(O14,M14,S14,K14,Q14)</f>
        <v>43</v>
      </c>
    </row>
    <row r="15" spans="1:32" s="39" customFormat="1" ht="15" customHeight="1" x14ac:dyDescent="0.2">
      <c r="A15" s="16" t="s">
        <v>13</v>
      </c>
      <c r="B15" s="80">
        <v>0</v>
      </c>
      <c r="C15" s="26">
        <v>0</v>
      </c>
      <c r="D15" s="80">
        <v>0</v>
      </c>
      <c r="E15" s="25">
        <v>0</v>
      </c>
      <c r="F15" s="81">
        <v>0</v>
      </c>
      <c r="G15" s="25">
        <v>0</v>
      </c>
      <c r="H15" s="81">
        <v>0</v>
      </c>
      <c r="I15" s="25">
        <v>0</v>
      </c>
      <c r="J15" s="81">
        <v>0</v>
      </c>
      <c r="K15" s="25">
        <v>0</v>
      </c>
      <c r="L15" s="81">
        <v>0</v>
      </c>
      <c r="M15" s="25">
        <v>0</v>
      </c>
      <c r="N15" s="81">
        <v>0</v>
      </c>
      <c r="O15" s="25">
        <v>0</v>
      </c>
      <c r="P15" s="81">
        <v>0</v>
      </c>
      <c r="Q15" s="25">
        <v>0</v>
      </c>
      <c r="R15" s="81">
        <v>0</v>
      </c>
      <c r="S15" s="25">
        <v>0</v>
      </c>
      <c r="T15" s="413">
        <v>0</v>
      </c>
      <c r="U15" s="754"/>
      <c r="W15" s="327">
        <f t="shared" si="0"/>
        <v>0</v>
      </c>
      <c r="X15" s="636">
        <f t="shared" ref="X15:X17" si="3">AVERAGE(O15,M15,S15,K15,Q15)</f>
        <v>0</v>
      </c>
    </row>
    <row r="16" spans="1:32" s="39" customFormat="1" ht="15" customHeight="1" x14ac:dyDescent="0.2">
      <c r="A16" s="16" t="s">
        <v>15</v>
      </c>
      <c r="B16" s="80">
        <v>14</v>
      </c>
      <c r="C16" s="26">
        <v>2</v>
      </c>
      <c r="D16" s="80">
        <f>15+6</f>
        <v>21</v>
      </c>
      <c r="E16" s="25">
        <v>3</v>
      </c>
      <c r="F16" s="81">
        <v>14</v>
      </c>
      <c r="G16" s="25">
        <v>6</v>
      </c>
      <c r="H16" s="81">
        <v>12</v>
      </c>
      <c r="I16" s="25">
        <v>4</v>
      </c>
      <c r="J16" s="81">
        <v>8</v>
      </c>
      <c r="K16" s="25">
        <v>5</v>
      </c>
      <c r="L16" s="81">
        <v>6</v>
      </c>
      <c r="M16" s="25">
        <v>4</v>
      </c>
      <c r="N16" s="81">
        <v>6</v>
      </c>
      <c r="O16" s="25">
        <v>2</v>
      </c>
      <c r="P16" s="81">
        <v>4</v>
      </c>
      <c r="Q16" s="25">
        <v>1</v>
      </c>
      <c r="R16" s="81">
        <v>3</v>
      </c>
      <c r="S16" s="25">
        <v>2</v>
      </c>
      <c r="T16" s="755">
        <v>3</v>
      </c>
      <c r="U16" s="756"/>
      <c r="W16" s="327">
        <f t="shared" si="0"/>
        <v>4.4000000000000004</v>
      </c>
      <c r="X16" s="636">
        <f t="shared" si="3"/>
        <v>2.8</v>
      </c>
    </row>
    <row r="17" spans="1:26" s="13" customFormat="1" ht="15" customHeight="1" x14ac:dyDescent="0.2">
      <c r="A17" s="16" t="s">
        <v>71</v>
      </c>
      <c r="B17" s="82"/>
      <c r="C17" s="533"/>
      <c r="D17" s="6">
        <v>6</v>
      </c>
      <c r="E17" s="25">
        <v>0</v>
      </c>
      <c r="F17" s="7">
        <v>14</v>
      </c>
      <c r="G17" s="25">
        <v>0</v>
      </c>
      <c r="H17" s="7">
        <v>26</v>
      </c>
      <c r="I17" s="25">
        <v>7</v>
      </c>
      <c r="J17" s="7">
        <v>26</v>
      </c>
      <c r="K17" s="25">
        <v>6</v>
      </c>
      <c r="L17" s="7">
        <v>22</v>
      </c>
      <c r="M17" s="25">
        <v>8</v>
      </c>
      <c r="N17" s="7">
        <v>16</v>
      </c>
      <c r="O17" s="25">
        <v>7</v>
      </c>
      <c r="P17" s="7">
        <v>13</v>
      </c>
      <c r="Q17" s="25">
        <v>4</v>
      </c>
      <c r="R17" s="7">
        <v>10</v>
      </c>
      <c r="S17" s="25">
        <v>3</v>
      </c>
      <c r="T17" s="11">
        <v>8</v>
      </c>
      <c r="U17" s="67"/>
      <c r="W17" s="327">
        <f t="shared" si="0"/>
        <v>13.8</v>
      </c>
      <c r="X17" s="636">
        <f t="shared" si="3"/>
        <v>5.6</v>
      </c>
      <c r="Z17" s="13" t="s">
        <v>14</v>
      </c>
    </row>
    <row r="18" spans="1:26" ht="15" customHeight="1" x14ac:dyDescent="0.2">
      <c r="A18" s="79" t="s">
        <v>70</v>
      </c>
      <c r="B18" s="7"/>
      <c r="C18" s="437"/>
      <c r="D18" s="6"/>
      <c r="E18" s="312"/>
      <c r="F18" s="7"/>
      <c r="G18" s="312"/>
      <c r="H18" s="7"/>
      <c r="I18" s="312"/>
      <c r="J18" s="7"/>
      <c r="K18" s="312"/>
      <c r="L18" s="7"/>
      <c r="M18" s="312"/>
      <c r="N18" s="7"/>
      <c r="O18" s="312"/>
      <c r="P18" s="7"/>
      <c r="Q18" s="312"/>
      <c r="R18" s="7"/>
      <c r="S18" s="312"/>
      <c r="T18" s="7"/>
      <c r="U18" s="8"/>
      <c r="V18" s="433"/>
      <c r="W18" s="538"/>
      <c r="X18" s="632"/>
    </row>
    <row r="19" spans="1:26" s="13" customFormat="1" ht="15" customHeight="1" x14ac:dyDescent="0.2">
      <c r="A19" s="10" t="s">
        <v>10</v>
      </c>
      <c r="B19" s="68">
        <v>61</v>
      </c>
      <c r="C19" s="139"/>
      <c r="D19" s="76">
        <v>71</v>
      </c>
      <c r="E19" s="141"/>
      <c r="F19" s="11">
        <v>71</v>
      </c>
      <c r="G19" s="141"/>
      <c r="H19" s="11">
        <v>84</v>
      </c>
      <c r="I19" s="141"/>
      <c r="J19" s="11">
        <v>64</v>
      </c>
      <c r="K19" s="141"/>
      <c r="L19" s="11">
        <v>54</v>
      </c>
      <c r="M19" s="141"/>
      <c r="N19" s="11">
        <v>62</v>
      </c>
      <c r="O19" s="141"/>
      <c r="P19" s="11">
        <v>55</v>
      </c>
      <c r="Q19" s="141"/>
      <c r="R19" s="11">
        <v>53</v>
      </c>
      <c r="S19" s="141"/>
      <c r="T19" s="11">
        <v>54</v>
      </c>
      <c r="U19" s="146"/>
      <c r="W19" s="327">
        <f>AVERAGE(N19,L19,R19,T19,P19)</f>
        <v>55.6</v>
      </c>
      <c r="X19" s="633"/>
    </row>
    <row r="20" spans="1:26" s="13" customFormat="1" ht="15" customHeight="1" thickBot="1" x14ac:dyDescent="0.25">
      <c r="A20" s="15" t="s">
        <v>11</v>
      </c>
      <c r="B20" s="77">
        <v>72</v>
      </c>
      <c r="C20" s="143"/>
      <c r="D20" s="78">
        <v>70</v>
      </c>
      <c r="E20" s="145"/>
      <c r="F20" s="17">
        <v>67</v>
      </c>
      <c r="G20" s="145"/>
      <c r="H20" s="17">
        <v>69</v>
      </c>
      <c r="I20" s="145"/>
      <c r="J20" s="17">
        <v>76</v>
      </c>
      <c r="K20" s="145"/>
      <c r="L20" s="17">
        <v>86</v>
      </c>
      <c r="M20" s="145"/>
      <c r="N20" s="17">
        <v>77</v>
      </c>
      <c r="O20" s="145"/>
      <c r="P20" s="17">
        <v>59</v>
      </c>
      <c r="Q20" s="145"/>
      <c r="R20" s="17">
        <v>48</v>
      </c>
      <c r="S20" s="145"/>
      <c r="T20" s="17">
        <v>54</v>
      </c>
      <c r="U20" s="147"/>
      <c r="W20" s="327">
        <f>AVERAGE(N20,L20,R20,T20,P20)</f>
        <v>64.8</v>
      </c>
      <c r="X20" s="634"/>
    </row>
    <row r="21" spans="1:26" s="39" customFormat="1" ht="15" customHeight="1" thickBot="1" x14ac:dyDescent="0.25">
      <c r="A21" s="52" t="s">
        <v>12</v>
      </c>
      <c r="B21" s="48">
        <f t="shared" ref="B21:R21" si="4">SUM(B19:B20)</f>
        <v>133</v>
      </c>
      <c r="C21" s="53">
        <v>30</v>
      </c>
      <c r="D21" s="410">
        <f t="shared" si="4"/>
        <v>141</v>
      </c>
      <c r="E21" s="53">
        <v>23</v>
      </c>
      <c r="F21" s="48">
        <f t="shared" si="4"/>
        <v>138</v>
      </c>
      <c r="G21" s="53">
        <v>29</v>
      </c>
      <c r="H21" s="48">
        <f t="shared" si="4"/>
        <v>153</v>
      </c>
      <c r="I21" s="53">
        <v>20</v>
      </c>
      <c r="J21" s="48">
        <f t="shared" si="4"/>
        <v>140</v>
      </c>
      <c r="K21" s="53">
        <v>22</v>
      </c>
      <c r="L21" s="48">
        <f t="shared" si="4"/>
        <v>140</v>
      </c>
      <c r="M21" s="53">
        <v>27</v>
      </c>
      <c r="N21" s="410">
        <f t="shared" si="4"/>
        <v>139</v>
      </c>
      <c r="O21" s="412">
        <v>34</v>
      </c>
      <c r="P21" s="48">
        <f t="shared" si="4"/>
        <v>114</v>
      </c>
      <c r="Q21" s="536">
        <v>29</v>
      </c>
      <c r="R21" s="975">
        <f t="shared" si="4"/>
        <v>101</v>
      </c>
      <c r="S21" s="536">
        <v>15</v>
      </c>
      <c r="T21" s="975">
        <f t="shared" ref="T21:U21" si="5">SUM(T19:T20)</f>
        <v>108</v>
      </c>
      <c r="U21" s="758">
        <f t="shared" si="5"/>
        <v>0</v>
      </c>
      <c r="W21" s="637">
        <f>AVERAGE(N21,L21,R21,T21,P21)</f>
        <v>120.4</v>
      </c>
      <c r="X21" s="635">
        <f>AVERAGE(O21,M21,S21,K21,Q21)</f>
        <v>25.4</v>
      </c>
      <c r="Z21" s="631"/>
    </row>
    <row r="22" spans="1:26" ht="18" customHeight="1" thickTop="1" thickBot="1" x14ac:dyDescent="0.25">
      <c r="A22" s="38" t="s">
        <v>62</v>
      </c>
      <c r="B22" s="1033"/>
      <c r="C22" s="1034"/>
      <c r="D22" s="1033"/>
      <c r="E22" s="1034"/>
      <c r="F22" s="1033"/>
      <c r="G22" s="1034"/>
      <c r="H22" s="1033"/>
      <c r="I22" s="1034"/>
      <c r="J22" s="1033"/>
      <c r="K22" s="1034"/>
      <c r="L22" s="1033"/>
      <c r="M22" s="1034"/>
      <c r="N22" s="1033"/>
      <c r="O22" s="1034"/>
      <c r="P22" s="1033"/>
      <c r="Q22" s="1034"/>
      <c r="R22" s="1033"/>
      <c r="S22" s="1034"/>
      <c r="T22" s="1033"/>
      <c r="U22" s="1050"/>
      <c r="W22" s="1044"/>
      <c r="X22" s="1045"/>
    </row>
    <row r="23" spans="1:26" ht="15" customHeight="1" x14ac:dyDescent="0.2">
      <c r="A23" s="494" t="s">
        <v>170</v>
      </c>
      <c r="B23" s="55"/>
      <c r="C23" s="58"/>
      <c r="D23" s="152"/>
      <c r="E23" s="58"/>
      <c r="F23" s="152"/>
      <c r="G23" s="58"/>
      <c r="H23" s="152"/>
      <c r="I23" s="58"/>
      <c r="J23" s="152"/>
      <c r="K23" s="58"/>
      <c r="L23" s="152"/>
      <c r="M23" s="58"/>
      <c r="N23" s="152"/>
      <c r="O23" s="58"/>
      <c r="P23" s="152"/>
      <c r="Q23" s="58"/>
      <c r="R23" s="152"/>
      <c r="S23" s="58"/>
      <c r="T23" s="152"/>
      <c r="U23" s="59"/>
      <c r="V23" s="153"/>
      <c r="W23" s="638"/>
      <c r="X23" s="225" t="e">
        <f>AVERAGE(O23,M23,S23,U23,Q23)</f>
        <v>#DIV/0!</v>
      </c>
    </row>
    <row r="24" spans="1:26" ht="27" customHeight="1" x14ac:dyDescent="0.2">
      <c r="A24" s="698" t="s">
        <v>119</v>
      </c>
      <c r="B24" s="215"/>
      <c r="C24" s="286">
        <v>0.85</v>
      </c>
      <c r="D24" s="215"/>
      <c r="E24" s="286">
        <v>0.88</v>
      </c>
      <c r="F24" s="215"/>
      <c r="G24" s="286">
        <v>0.85</v>
      </c>
      <c r="H24" s="215"/>
      <c r="I24" s="286">
        <v>0.77</v>
      </c>
      <c r="J24" s="215"/>
      <c r="K24" s="286">
        <v>0.81</v>
      </c>
      <c r="L24" s="215"/>
      <c r="M24" s="286">
        <v>0.8</v>
      </c>
      <c r="N24" s="215"/>
      <c r="O24" s="286">
        <v>0.92</v>
      </c>
      <c r="P24" s="215"/>
      <c r="Q24" s="286">
        <v>0.97</v>
      </c>
      <c r="R24" s="215"/>
      <c r="S24" s="286"/>
      <c r="T24" s="215"/>
      <c r="U24" s="432"/>
      <c r="V24" s="153"/>
      <c r="W24" s="639"/>
      <c r="X24" s="225">
        <f t="shared" ref="X24:X27" si="6">AVERAGE(O24,M24,S24,K24,Q24)</f>
        <v>0.875</v>
      </c>
    </row>
    <row r="25" spans="1:26" ht="15" customHeight="1" x14ac:dyDescent="0.2">
      <c r="A25" s="697" t="s">
        <v>120</v>
      </c>
      <c r="B25" s="214"/>
      <c r="C25" s="57">
        <v>0.85</v>
      </c>
      <c r="D25" s="214"/>
      <c r="E25" s="57">
        <v>0.5</v>
      </c>
      <c r="F25" s="214"/>
      <c r="G25" s="57">
        <v>0.71</v>
      </c>
      <c r="H25" s="214"/>
      <c r="I25" s="57">
        <v>0.83</v>
      </c>
      <c r="J25" s="214"/>
      <c r="K25" s="57">
        <v>0.7</v>
      </c>
      <c r="L25" s="214"/>
      <c r="M25" s="57">
        <v>0.88</v>
      </c>
      <c r="N25" s="214"/>
      <c r="O25" s="57">
        <v>0.87</v>
      </c>
      <c r="P25" s="214"/>
      <c r="Q25" s="286">
        <v>0.96</v>
      </c>
      <c r="R25" s="214"/>
      <c r="S25" s="286"/>
      <c r="T25" s="214"/>
      <c r="U25" s="423"/>
      <c r="V25" s="153"/>
      <c r="W25" s="639"/>
      <c r="X25" s="225">
        <f t="shared" si="6"/>
        <v>0.85250000000000004</v>
      </c>
    </row>
    <row r="26" spans="1:26" ht="25.5" customHeight="1" x14ac:dyDescent="0.2">
      <c r="A26" s="698" t="s">
        <v>121</v>
      </c>
      <c r="B26" s="214"/>
      <c r="C26" s="57">
        <v>0.09</v>
      </c>
      <c r="D26" s="214"/>
      <c r="E26" s="57">
        <v>0.06</v>
      </c>
      <c r="F26" s="214"/>
      <c r="G26" s="57">
        <v>0.08</v>
      </c>
      <c r="H26" s="214"/>
      <c r="I26" s="57">
        <v>0.13</v>
      </c>
      <c r="J26" s="214"/>
      <c r="K26" s="57">
        <v>0.05</v>
      </c>
      <c r="L26" s="214"/>
      <c r="M26" s="57">
        <v>0.11</v>
      </c>
      <c r="N26" s="214"/>
      <c r="O26" s="57">
        <v>0.06</v>
      </c>
      <c r="P26" s="214"/>
      <c r="Q26" s="286">
        <v>0</v>
      </c>
      <c r="R26" s="214"/>
      <c r="S26" s="286"/>
      <c r="T26" s="214"/>
      <c r="U26" s="423"/>
      <c r="V26" s="153"/>
      <c r="W26" s="639"/>
      <c r="X26" s="225">
        <f t="shared" si="6"/>
        <v>5.4999999999999993E-2</v>
      </c>
    </row>
    <row r="27" spans="1:26" ht="26.25" customHeight="1" thickBot="1" x14ac:dyDescent="0.25">
      <c r="A27" s="699" t="s">
        <v>122</v>
      </c>
      <c r="B27" s="304"/>
      <c r="C27" s="298">
        <v>0</v>
      </c>
      <c r="D27" s="304"/>
      <c r="E27" s="298">
        <v>0.14000000000000001</v>
      </c>
      <c r="F27" s="304"/>
      <c r="G27" s="298">
        <v>0.17</v>
      </c>
      <c r="H27" s="304"/>
      <c r="I27" s="298">
        <v>0</v>
      </c>
      <c r="J27" s="304"/>
      <c r="K27" s="298">
        <v>0.05</v>
      </c>
      <c r="L27" s="304"/>
      <c r="M27" s="298">
        <v>0</v>
      </c>
      <c r="N27" s="304"/>
      <c r="O27" s="298">
        <v>0.03</v>
      </c>
      <c r="P27" s="304"/>
      <c r="Q27" s="534">
        <v>0</v>
      </c>
      <c r="R27" s="304"/>
      <c r="S27" s="534"/>
      <c r="T27" s="304"/>
      <c r="U27" s="424"/>
      <c r="V27" s="153"/>
      <c r="W27" s="640"/>
      <c r="X27" s="225">
        <f t="shared" si="6"/>
        <v>0.02</v>
      </c>
    </row>
    <row r="28" spans="1:26" ht="18" customHeight="1" thickTop="1" thickBot="1" x14ac:dyDescent="0.25">
      <c r="A28" s="173" t="s">
        <v>67</v>
      </c>
      <c r="B28" s="1048"/>
      <c r="C28" s="1047"/>
      <c r="D28" s="1048"/>
      <c r="E28" s="1047"/>
      <c r="F28" s="1048"/>
      <c r="G28" s="1047"/>
      <c r="H28" s="1048"/>
      <c r="I28" s="1047"/>
      <c r="J28" s="1048"/>
      <c r="K28" s="1047"/>
      <c r="L28" s="1048"/>
      <c r="M28" s="1047"/>
      <c r="N28" s="1048"/>
      <c r="O28" s="1047"/>
      <c r="P28" s="1048"/>
      <c r="Q28" s="1047"/>
      <c r="R28" s="1048"/>
      <c r="S28" s="1047"/>
      <c r="T28" s="1048"/>
      <c r="U28" s="1042"/>
      <c r="V28" s="157"/>
      <c r="W28" s="1041"/>
      <c r="X28" s="1042"/>
    </row>
    <row r="29" spans="1:26" ht="15" customHeight="1" x14ac:dyDescent="0.2">
      <c r="A29" s="700" t="s">
        <v>117</v>
      </c>
      <c r="B29" s="220"/>
      <c r="C29" s="238">
        <v>21.5</v>
      </c>
      <c r="D29" s="239"/>
      <c r="E29" s="238">
        <v>21.5</v>
      </c>
      <c r="F29" s="239"/>
      <c r="G29" s="238">
        <v>22.2</v>
      </c>
      <c r="H29" s="239"/>
      <c r="I29" s="238">
        <v>22.3</v>
      </c>
      <c r="J29" s="239"/>
      <c r="K29" s="238">
        <v>22</v>
      </c>
      <c r="L29" s="239"/>
      <c r="M29" s="238">
        <v>22.2</v>
      </c>
      <c r="N29" s="239"/>
      <c r="O29" s="238">
        <v>21.8</v>
      </c>
      <c r="P29" s="239"/>
      <c r="Q29" s="238">
        <v>22.3</v>
      </c>
      <c r="R29" s="239"/>
      <c r="S29" s="238">
        <v>22.6</v>
      </c>
      <c r="T29" s="239"/>
      <c r="U29" s="240"/>
      <c r="V29" s="157"/>
      <c r="W29" s="287"/>
      <c r="X29" s="288">
        <f>AVERAGE(O29,M29,S29,U29,Q29)</f>
        <v>22.224999999999998</v>
      </c>
    </row>
    <row r="30" spans="1:26" ht="15" customHeight="1" thickBot="1" x14ac:dyDescent="0.25">
      <c r="A30" s="761" t="s">
        <v>118</v>
      </c>
      <c r="B30" s="242"/>
      <c r="C30" s="243">
        <v>24.6</v>
      </c>
      <c r="D30" s="242"/>
      <c r="E30" s="243">
        <v>24.7</v>
      </c>
      <c r="F30" s="242"/>
      <c r="G30" s="243">
        <v>24.1</v>
      </c>
      <c r="H30" s="242"/>
      <c r="I30" s="243">
        <v>24.6</v>
      </c>
      <c r="J30" s="242"/>
      <c r="K30" s="243">
        <v>24</v>
      </c>
      <c r="L30" s="242"/>
      <c r="M30" s="243">
        <v>23.5</v>
      </c>
      <c r="N30" s="242"/>
      <c r="O30" s="243">
        <v>23.7</v>
      </c>
      <c r="P30" s="242"/>
      <c r="Q30" s="243">
        <v>23.2</v>
      </c>
      <c r="R30" s="242"/>
      <c r="S30" s="243">
        <v>23.4</v>
      </c>
      <c r="T30" s="242"/>
      <c r="U30" s="244"/>
      <c r="V30" s="157"/>
      <c r="W30" s="289"/>
      <c r="X30" s="290">
        <f>AVERAGE(O30,M30,S30,U30,Q30)</f>
        <v>23.45</v>
      </c>
    </row>
    <row r="31" spans="1:26" ht="18" customHeight="1" thickTop="1" thickBot="1" x14ac:dyDescent="0.25">
      <c r="A31" s="43" t="s">
        <v>16</v>
      </c>
      <c r="B31" s="1033"/>
      <c r="C31" s="1034"/>
      <c r="D31" s="1033"/>
      <c r="E31" s="1034"/>
      <c r="F31" s="1033"/>
      <c r="G31" s="1034"/>
      <c r="H31" s="1033"/>
      <c r="I31" s="1034"/>
      <c r="J31" s="1033"/>
      <c r="K31" s="1034"/>
      <c r="L31" s="1033"/>
      <c r="M31" s="1034"/>
      <c r="N31" s="1033"/>
      <c r="O31" s="1034"/>
      <c r="P31" s="1033"/>
      <c r="Q31" s="1034"/>
      <c r="R31" s="1033"/>
      <c r="S31" s="1034"/>
      <c r="T31" s="1033"/>
      <c r="U31" s="1050"/>
      <c r="W31" s="1044"/>
      <c r="X31" s="1045"/>
    </row>
    <row r="32" spans="1:26" ht="15" customHeight="1" x14ac:dyDescent="0.2">
      <c r="A32" s="467" t="s">
        <v>17</v>
      </c>
      <c r="B32" s="69"/>
      <c r="C32" s="26">
        <f>735+503</f>
        <v>1238</v>
      </c>
      <c r="D32" s="23"/>
      <c r="E32" s="25">
        <v>1279</v>
      </c>
      <c r="F32" s="24"/>
      <c r="G32" s="25">
        <v>1375</v>
      </c>
      <c r="H32" s="24"/>
      <c r="I32" s="25">
        <v>1434</v>
      </c>
      <c r="J32" s="24"/>
      <c r="K32" s="25">
        <v>1083</v>
      </c>
      <c r="L32" s="24"/>
      <c r="M32" s="25">
        <v>927</v>
      </c>
      <c r="N32" s="24"/>
      <c r="O32" s="25">
        <v>1131</v>
      </c>
      <c r="P32" s="24"/>
      <c r="Q32" s="25">
        <v>1090</v>
      </c>
      <c r="R32" s="24"/>
      <c r="S32" s="25">
        <v>1017</v>
      </c>
      <c r="T32" s="24"/>
      <c r="U32" s="976"/>
      <c r="W32" s="27"/>
      <c r="X32" s="28">
        <f t="shared" ref="X32:X36" si="7">AVERAGE(O32,M32,S32,K32,Q32)</f>
        <v>1049.5999999999999</v>
      </c>
    </row>
    <row r="33" spans="1:27" ht="15" customHeight="1" x14ac:dyDescent="0.2">
      <c r="A33" s="467" t="s">
        <v>18</v>
      </c>
      <c r="B33" s="69"/>
      <c r="C33" s="26">
        <f>2370+1350</f>
        <v>3720</v>
      </c>
      <c r="D33" s="23"/>
      <c r="E33" s="25">
        <v>3713</v>
      </c>
      <c r="F33" s="24"/>
      <c r="G33" s="25">
        <v>3680</v>
      </c>
      <c r="H33" s="24"/>
      <c r="I33" s="25">
        <v>3703</v>
      </c>
      <c r="J33" s="24"/>
      <c r="K33" s="25">
        <v>3759</v>
      </c>
      <c r="L33" s="24"/>
      <c r="M33" s="25">
        <v>3895</v>
      </c>
      <c r="N33" s="24"/>
      <c r="O33" s="25">
        <v>3535</v>
      </c>
      <c r="P33" s="24"/>
      <c r="Q33" s="25">
        <v>3349</v>
      </c>
      <c r="R33" s="24"/>
      <c r="S33" s="25">
        <v>3331</v>
      </c>
      <c r="T33" s="24"/>
      <c r="U33" s="976"/>
      <c r="W33" s="29"/>
      <c r="X33" s="28">
        <f t="shared" si="7"/>
        <v>3573.8</v>
      </c>
    </row>
    <row r="34" spans="1:27" ht="15" customHeight="1" x14ac:dyDescent="0.2">
      <c r="A34" s="467" t="s">
        <v>19</v>
      </c>
      <c r="B34" s="69"/>
      <c r="C34" s="26">
        <f>243+36</f>
        <v>279</v>
      </c>
      <c r="D34" s="23"/>
      <c r="E34" s="25">
        <v>236</v>
      </c>
      <c r="F34" s="24"/>
      <c r="G34" s="25">
        <v>423</v>
      </c>
      <c r="H34" s="24"/>
      <c r="I34" s="25">
        <v>438</v>
      </c>
      <c r="J34" s="24"/>
      <c r="K34" s="25">
        <v>392</v>
      </c>
      <c r="L34" s="24"/>
      <c r="M34" s="25">
        <v>328</v>
      </c>
      <c r="N34" s="24"/>
      <c r="O34" s="25">
        <v>231</v>
      </c>
      <c r="P34" s="24"/>
      <c r="Q34" s="25">
        <v>170</v>
      </c>
      <c r="R34" s="24"/>
      <c r="S34" s="25">
        <v>147</v>
      </c>
      <c r="T34" s="24"/>
      <c r="U34" s="976"/>
      <c r="W34" s="29"/>
      <c r="X34" s="28">
        <f t="shared" si="7"/>
        <v>253.6</v>
      </c>
    </row>
    <row r="35" spans="1:27" ht="15" customHeight="1" thickBot="1" x14ac:dyDescent="0.25">
      <c r="A35" s="610" t="s">
        <v>20</v>
      </c>
      <c r="B35" s="44"/>
      <c r="C35" s="611">
        <f>49</f>
        <v>49</v>
      </c>
      <c r="D35" s="607"/>
      <c r="E35" s="101">
        <v>40</v>
      </c>
      <c r="F35" s="49"/>
      <c r="G35" s="101">
        <v>41</v>
      </c>
      <c r="H35" s="49"/>
      <c r="I35" s="101">
        <v>45</v>
      </c>
      <c r="J35" s="49"/>
      <c r="K35" s="101">
        <v>29</v>
      </c>
      <c r="L35" s="49"/>
      <c r="M35" s="101">
        <v>3</v>
      </c>
      <c r="N35" s="49"/>
      <c r="O35" s="101">
        <v>13</v>
      </c>
      <c r="P35" s="49"/>
      <c r="Q35" s="101">
        <v>78</v>
      </c>
      <c r="R35" s="49"/>
      <c r="S35" s="101">
        <v>47</v>
      </c>
      <c r="T35" s="49"/>
      <c r="U35" s="966"/>
      <c r="W35" s="35"/>
      <c r="X35" s="277">
        <f t="shared" si="7"/>
        <v>34</v>
      </c>
    </row>
    <row r="36" spans="1:27" ht="15" customHeight="1" thickBot="1" x14ac:dyDescent="0.25">
      <c r="A36" s="609" t="s">
        <v>21</v>
      </c>
      <c r="B36" s="72"/>
      <c r="C36" s="73">
        <f>SUM(C32:C35)</f>
        <v>5286</v>
      </c>
      <c r="D36" s="74"/>
      <c r="E36" s="75">
        <f>SUM(E32:E35)</f>
        <v>5268</v>
      </c>
      <c r="F36" s="51"/>
      <c r="G36" s="50">
        <f>SUM(G32:G35)</f>
        <v>5519</v>
      </c>
      <c r="H36" s="51"/>
      <c r="I36" s="50">
        <f>SUM(I32:I35)</f>
        <v>5620</v>
      </c>
      <c r="J36" s="51"/>
      <c r="K36" s="50">
        <f>SUM(K32:K35)</f>
        <v>5263</v>
      </c>
      <c r="L36" s="51"/>
      <c r="M36" s="50">
        <f>SUM(M32:M35)</f>
        <v>5153</v>
      </c>
      <c r="N36" s="51"/>
      <c r="O36" s="50">
        <f>SUM(O32:O35)</f>
        <v>4910</v>
      </c>
      <c r="P36" s="51"/>
      <c r="Q36" s="50">
        <f>SUM(Q32:Q35)</f>
        <v>4687</v>
      </c>
      <c r="R36" s="51"/>
      <c r="S36" s="50">
        <f>SUM(S32:S35)</f>
        <v>4542</v>
      </c>
      <c r="T36" s="51"/>
      <c r="U36" s="977">
        <f>SUM(U32:U35)</f>
        <v>0</v>
      </c>
      <c r="W36" s="278"/>
      <c r="X36" s="279">
        <f t="shared" si="7"/>
        <v>4911</v>
      </c>
    </row>
    <row r="37" spans="1:27" ht="15" customHeight="1" thickTop="1" thickBot="1" x14ac:dyDescent="0.25">
      <c r="A37" s="33"/>
      <c r="B37" s="40"/>
      <c r="C37" s="41"/>
      <c r="D37" s="40"/>
      <c r="E37" s="42"/>
      <c r="F37" s="40"/>
      <c r="G37" s="42"/>
      <c r="H37" s="40"/>
      <c r="I37" s="42"/>
      <c r="J37" s="40"/>
      <c r="K37" s="42"/>
      <c r="L37" s="40"/>
      <c r="M37" s="42"/>
      <c r="N37" s="40"/>
      <c r="O37" s="42"/>
      <c r="P37" s="40"/>
      <c r="Q37" s="42"/>
      <c r="R37" s="40"/>
      <c r="S37" s="42"/>
      <c r="T37" s="40"/>
      <c r="U37" s="42"/>
      <c r="V37" s="46"/>
      <c r="W37" s="45"/>
      <c r="X37" s="41"/>
    </row>
    <row r="38" spans="1:27" ht="18" customHeight="1" thickTop="1" thickBot="1" x14ac:dyDescent="0.25">
      <c r="A38" s="469" t="s">
        <v>22</v>
      </c>
      <c r="B38" s="1039" t="s">
        <v>23</v>
      </c>
      <c r="C38" s="1043"/>
      <c r="D38" s="1039" t="s">
        <v>24</v>
      </c>
      <c r="E38" s="1040"/>
      <c r="F38" s="1039" t="s">
        <v>25</v>
      </c>
      <c r="G38" s="1040"/>
      <c r="H38" s="1039" t="s">
        <v>26</v>
      </c>
      <c r="I38" s="1040"/>
      <c r="J38" s="1039" t="s">
        <v>27</v>
      </c>
      <c r="K38" s="1040"/>
      <c r="L38" s="1039" t="s">
        <v>28</v>
      </c>
      <c r="M38" s="1040"/>
      <c r="N38" s="1039" t="s">
        <v>29</v>
      </c>
      <c r="O38" s="1040"/>
      <c r="P38" s="1039" t="s">
        <v>30</v>
      </c>
      <c r="Q38" s="1040"/>
      <c r="R38" s="1039" t="s">
        <v>31</v>
      </c>
      <c r="S38" s="1040"/>
      <c r="T38" s="1039" t="s">
        <v>200</v>
      </c>
      <c r="U38" s="1051"/>
      <c r="V38" s="175"/>
      <c r="W38" s="1041" t="s">
        <v>9</v>
      </c>
      <c r="X38" s="1042"/>
      <c r="Y38" s="32"/>
      <c r="Z38" s="32"/>
      <c r="AA38" s="33"/>
    </row>
    <row r="39" spans="1:27" ht="15" customHeight="1" x14ac:dyDescent="0.2">
      <c r="A39" s="716" t="s">
        <v>167</v>
      </c>
      <c r="B39" s="176"/>
      <c r="C39" s="177">
        <v>0.86299999999999999</v>
      </c>
      <c r="D39" s="178"/>
      <c r="E39" s="179">
        <v>0.86299999999999999</v>
      </c>
      <c r="F39" s="180"/>
      <c r="G39" s="179">
        <v>0.83199999999999996</v>
      </c>
      <c r="H39" s="180"/>
      <c r="I39" s="179">
        <v>0.83399999999999996</v>
      </c>
      <c r="J39" s="180"/>
      <c r="K39" s="179">
        <v>0.85599999999999998</v>
      </c>
      <c r="L39" s="180"/>
      <c r="M39" s="179">
        <v>0.876</v>
      </c>
      <c r="N39" s="180"/>
      <c r="O39" s="179">
        <v>0.88300000000000001</v>
      </c>
      <c r="P39" s="180"/>
      <c r="Q39" s="179">
        <v>0.86699999999999999</v>
      </c>
      <c r="R39" s="180"/>
      <c r="S39" s="179">
        <v>0.83</v>
      </c>
      <c r="T39" s="180"/>
      <c r="U39" s="181">
        <v>0.83199999999999996</v>
      </c>
      <c r="V39" s="182"/>
      <c r="W39" s="183"/>
      <c r="X39" s="184">
        <f>AVERAGE(O39,M39,S39,U39,Q39)</f>
        <v>0.85760000000000003</v>
      </c>
      <c r="Y39" s="32"/>
      <c r="Z39" s="32"/>
      <c r="AA39" s="33"/>
    </row>
    <row r="40" spans="1:27" ht="15" customHeight="1" x14ac:dyDescent="0.2">
      <c r="A40" s="717" t="s">
        <v>168</v>
      </c>
      <c r="B40" s="185"/>
      <c r="C40" s="186">
        <v>2.8000000000000001E-2</v>
      </c>
      <c r="D40" s="185"/>
      <c r="E40" s="186">
        <v>3.7999999999999999E-2</v>
      </c>
      <c r="F40" s="187"/>
      <c r="G40" s="186">
        <v>5.2999999999999999E-2</v>
      </c>
      <c r="H40" s="187"/>
      <c r="I40" s="186">
        <v>5.7000000000000002E-2</v>
      </c>
      <c r="J40" s="187"/>
      <c r="K40" s="186">
        <v>4.8000000000000001E-2</v>
      </c>
      <c r="L40" s="187"/>
      <c r="M40" s="186">
        <v>4.7E-2</v>
      </c>
      <c r="N40" s="187"/>
      <c r="O40" s="186">
        <v>2.4E-2</v>
      </c>
      <c r="P40" s="187"/>
      <c r="Q40" s="186">
        <v>2.9000000000000001E-2</v>
      </c>
      <c r="R40" s="187"/>
      <c r="S40" s="186">
        <v>0.02</v>
      </c>
      <c r="T40" s="187"/>
      <c r="U40" s="188">
        <v>2.5000000000000001E-2</v>
      </c>
      <c r="V40" s="182"/>
      <c r="W40" s="189"/>
      <c r="X40" s="190">
        <f>AVERAGE(O40,M40,S40,U40,Q40)</f>
        <v>2.9000000000000005E-2</v>
      </c>
      <c r="Y40" s="32"/>
      <c r="Z40" s="32"/>
      <c r="AA40" s="33"/>
    </row>
    <row r="41" spans="1:27" ht="15" customHeight="1" thickBot="1" x14ac:dyDescent="0.25">
      <c r="A41" s="718" t="s">
        <v>169</v>
      </c>
      <c r="B41" s="1058">
        <f>1-C39-C40</f>
        <v>0.10900000000000001</v>
      </c>
      <c r="C41" s="1055"/>
      <c r="D41" s="1058">
        <f>1-E39-E40</f>
        <v>9.9000000000000005E-2</v>
      </c>
      <c r="E41" s="1055"/>
      <c r="F41" s="1054">
        <v>1</v>
      </c>
      <c r="G41" s="1055"/>
      <c r="H41" s="1054">
        <v>1</v>
      </c>
      <c r="I41" s="1055"/>
      <c r="J41" s="1054">
        <v>0.98499999999999999</v>
      </c>
      <c r="K41" s="1055"/>
      <c r="L41" s="1054">
        <f>1-M39</f>
        <v>0.124</v>
      </c>
      <c r="M41" s="1055"/>
      <c r="N41" s="1054">
        <f>1-O39</f>
        <v>0.11699999999999999</v>
      </c>
      <c r="O41" s="1055"/>
      <c r="P41" s="1054">
        <f>1-Q39</f>
        <v>0.13300000000000001</v>
      </c>
      <c r="Q41" s="1055"/>
      <c r="R41" s="1054">
        <f>1-S39-S40</f>
        <v>0.15000000000000005</v>
      </c>
      <c r="S41" s="1055"/>
      <c r="T41" s="1058">
        <f>1-U39-U40</f>
        <v>0.14300000000000004</v>
      </c>
      <c r="U41" s="1057"/>
      <c r="V41" s="182"/>
      <c r="W41" s="1056">
        <f>AVERAGE(N41,L41,R41,T41,P41)</f>
        <v>0.13340000000000002</v>
      </c>
      <c r="X41" s="1057" t="e">
        <f>AVERAGE(O41,M41,I41,K41,Q41)</f>
        <v>#DIV/0!</v>
      </c>
      <c r="Y41" s="34"/>
      <c r="Z41" s="32"/>
      <c r="AA41" s="33"/>
    </row>
    <row r="42" spans="1:27" s="3" customFormat="1" ht="18" customHeight="1" thickTop="1" thickBot="1" x14ac:dyDescent="0.25">
      <c r="A42" s="158" t="s">
        <v>60</v>
      </c>
      <c r="B42" s="159" t="s">
        <v>32</v>
      </c>
      <c r="C42" s="727" t="s">
        <v>65</v>
      </c>
      <c r="D42" s="728" t="s">
        <v>32</v>
      </c>
      <c r="E42" s="160" t="s">
        <v>65</v>
      </c>
      <c r="F42" s="159" t="s">
        <v>32</v>
      </c>
      <c r="G42" s="727" t="s">
        <v>65</v>
      </c>
      <c r="H42" s="728" t="s">
        <v>32</v>
      </c>
      <c r="I42" s="160" t="s">
        <v>65</v>
      </c>
      <c r="J42" s="159" t="s">
        <v>32</v>
      </c>
      <c r="K42" s="727" t="s">
        <v>65</v>
      </c>
      <c r="L42" s="728" t="s">
        <v>32</v>
      </c>
      <c r="M42" s="160" t="s">
        <v>65</v>
      </c>
      <c r="N42" s="159" t="s">
        <v>32</v>
      </c>
      <c r="O42" s="727" t="s">
        <v>65</v>
      </c>
      <c r="P42" s="728" t="s">
        <v>32</v>
      </c>
      <c r="Q42" s="160" t="s">
        <v>65</v>
      </c>
      <c r="R42" s="728" t="s">
        <v>32</v>
      </c>
      <c r="S42" s="160" t="s">
        <v>65</v>
      </c>
      <c r="T42" s="728" t="s">
        <v>32</v>
      </c>
      <c r="U42" s="161" t="s">
        <v>65</v>
      </c>
      <c r="V42" s="162"/>
      <c r="W42" s="729" t="s">
        <v>32</v>
      </c>
      <c r="X42" s="163" t="s">
        <v>65</v>
      </c>
    </row>
    <row r="43" spans="1:27" s="3" customFormat="1" ht="15" customHeight="1" thickBot="1" x14ac:dyDescent="0.25">
      <c r="A43" s="719" t="s">
        <v>61</v>
      </c>
      <c r="B43" s="773"/>
      <c r="C43" s="774"/>
      <c r="D43" s="773"/>
      <c r="E43" s="774"/>
      <c r="F43" s="773"/>
      <c r="G43" s="774"/>
      <c r="H43" s="300">
        <v>6</v>
      </c>
      <c r="I43" s="301">
        <f>H43/SUM(H16)</f>
        <v>0.5</v>
      </c>
      <c r="J43" s="300">
        <v>4</v>
      </c>
      <c r="K43" s="301">
        <f>J43/SUM(J16)</f>
        <v>0.5</v>
      </c>
      <c r="L43" s="300">
        <v>2</v>
      </c>
      <c r="M43" s="301">
        <f>L43/SUM(L16)</f>
        <v>0.33333333333333331</v>
      </c>
      <c r="N43" s="300">
        <v>3</v>
      </c>
      <c r="O43" s="301">
        <f>N43/SUM(N16)</f>
        <v>0.5</v>
      </c>
      <c r="P43" s="300">
        <v>2</v>
      </c>
      <c r="Q43" s="301">
        <f>P43/SUM(P16)</f>
        <v>0.5</v>
      </c>
      <c r="R43" s="300">
        <v>2</v>
      </c>
      <c r="S43" s="301">
        <f>R43/SUM(R16)</f>
        <v>0.66666666666666663</v>
      </c>
      <c r="T43" s="300"/>
      <c r="U43" s="547">
        <f>T43/SUM(T16)</f>
        <v>0</v>
      </c>
      <c r="V43" s="162"/>
      <c r="W43" s="752">
        <f>AVERAGE(N43,L43,R43,T43,P43)</f>
        <v>2.25</v>
      </c>
      <c r="X43" s="753">
        <f>W43/SUM(W16)</f>
        <v>0.51136363636363635</v>
      </c>
    </row>
    <row r="44" spans="1:27" s="46" customFormat="1" ht="15" customHeight="1" thickTop="1" x14ac:dyDescent="0.2">
      <c r="A44" s="18" t="s">
        <v>178</v>
      </c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/>
      <c r="W44" s="21"/>
      <c r="X44" s="22"/>
    </row>
    <row r="45" spans="1:27" s="1" customFormat="1" ht="15" customHeight="1" thickBot="1" x14ac:dyDescent="0.25">
      <c r="A45" s="249"/>
      <c r="B45" s="250"/>
      <c r="C45" s="497"/>
      <c r="D45" s="250"/>
      <c r="E45" s="497"/>
      <c r="F45" s="250"/>
      <c r="G45" s="497"/>
      <c r="H45" s="250"/>
      <c r="I45" s="497"/>
      <c r="J45" s="250"/>
      <c r="K45" s="497"/>
      <c r="L45" s="250"/>
      <c r="M45" s="497"/>
      <c r="N45" s="250"/>
      <c r="O45" s="497"/>
      <c r="P45" s="250"/>
      <c r="Q45" s="497"/>
      <c r="R45" s="250"/>
      <c r="S45" s="497"/>
      <c r="T45" s="250"/>
      <c r="U45" s="497"/>
      <c r="V45" s="191"/>
      <c r="W45" s="191"/>
      <c r="X45" s="498"/>
    </row>
    <row r="46" spans="1:27" s="1" customFormat="1" ht="18.75" customHeight="1" thickTop="1" thickBot="1" x14ac:dyDescent="0.25">
      <c r="A46" s="174" t="s">
        <v>157</v>
      </c>
      <c r="B46" s="1039" t="s">
        <v>23</v>
      </c>
      <c r="C46" s="1043"/>
      <c r="D46" s="1039" t="s">
        <v>24</v>
      </c>
      <c r="E46" s="1040"/>
      <c r="F46" s="1039" t="s">
        <v>25</v>
      </c>
      <c r="G46" s="1040"/>
      <c r="H46" s="1039" t="s">
        <v>26</v>
      </c>
      <c r="I46" s="1040"/>
      <c r="J46" s="1039" t="s">
        <v>27</v>
      </c>
      <c r="K46" s="1040"/>
      <c r="L46" s="1039" t="s">
        <v>28</v>
      </c>
      <c r="M46" s="1040"/>
      <c r="N46" s="1039" t="s">
        <v>29</v>
      </c>
      <c r="O46" s="1040"/>
      <c r="P46" s="1039" t="s">
        <v>30</v>
      </c>
      <c r="Q46" s="1040"/>
      <c r="R46" s="1039" t="s">
        <v>31</v>
      </c>
      <c r="S46" s="1040"/>
      <c r="T46" s="1039" t="s">
        <v>200</v>
      </c>
      <c r="U46" s="1051"/>
      <c r="V46" s="191"/>
      <c r="W46" s="1041" t="s">
        <v>9</v>
      </c>
      <c r="X46" s="1042"/>
    </row>
    <row r="47" spans="1:27" s="1" customFormat="1" ht="24" x14ac:dyDescent="0.2">
      <c r="A47" s="500" t="s">
        <v>171</v>
      </c>
      <c r="B47" s="502"/>
      <c r="C47" s="503"/>
      <c r="D47" s="502"/>
      <c r="E47" s="504"/>
      <c r="F47" s="502"/>
      <c r="G47" s="504"/>
      <c r="H47" s="502"/>
      <c r="I47" s="504"/>
      <c r="J47" s="502"/>
      <c r="K47" s="504"/>
      <c r="L47" s="502"/>
      <c r="M47" s="504"/>
      <c r="N47" s="502"/>
      <c r="O47" s="504"/>
      <c r="P47" s="502"/>
      <c r="Q47" s="504"/>
      <c r="R47" s="502"/>
      <c r="S47" s="504"/>
      <c r="T47" s="502"/>
      <c r="U47" s="505"/>
      <c r="V47" s="501"/>
      <c r="W47" s="954"/>
      <c r="X47" s="955"/>
    </row>
    <row r="48" spans="1:27" s="1" customFormat="1" ht="24" x14ac:dyDescent="0.2">
      <c r="A48" s="698" t="s">
        <v>145</v>
      </c>
      <c r="B48" s="187"/>
      <c r="C48" s="420">
        <v>11</v>
      </c>
      <c r="D48" s="187"/>
      <c r="E48" s="420">
        <v>14</v>
      </c>
      <c r="F48" s="187"/>
      <c r="G48" s="420">
        <v>13</v>
      </c>
      <c r="H48" s="187"/>
      <c r="I48" s="420">
        <v>12</v>
      </c>
      <c r="J48" s="187"/>
      <c r="K48" s="420">
        <v>11</v>
      </c>
      <c r="L48" s="187"/>
      <c r="M48" s="420">
        <v>13</v>
      </c>
      <c r="N48" s="187"/>
      <c r="O48" s="420">
        <v>12</v>
      </c>
      <c r="P48" s="187"/>
      <c r="Q48" s="420">
        <v>12</v>
      </c>
      <c r="R48" s="187"/>
      <c r="S48" s="420">
        <v>12</v>
      </c>
      <c r="T48" s="421"/>
      <c r="U48" s="255"/>
      <c r="V48" s="191"/>
      <c r="W48" s="956"/>
      <c r="X48" s="255">
        <f>AVERAGE(O48,M48,S48,U48,Q48)</f>
        <v>12.25</v>
      </c>
    </row>
    <row r="49" spans="1:24" s="1" customFormat="1" ht="26.25" customHeight="1" x14ac:dyDescent="0.2">
      <c r="A49" s="698" t="s">
        <v>163</v>
      </c>
      <c r="B49" s="421"/>
      <c r="C49" s="506">
        <v>11</v>
      </c>
      <c r="D49" s="421"/>
      <c r="E49" s="506">
        <v>14</v>
      </c>
      <c r="F49" s="421"/>
      <c r="G49" s="506">
        <v>13</v>
      </c>
      <c r="H49" s="421"/>
      <c r="I49" s="506">
        <v>12</v>
      </c>
      <c r="J49" s="421"/>
      <c r="K49" s="506">
        <v>11</v>
      </c>
      <c r="L49" s="421"/>
      <c r="M49" s="506">
        <v>13</v>
      </c>
      <c r="N49" s="421"/>
      <c r="O49" s="506">
        <v>12</v>
      </c>
      <c r="P49" s="421"/>
      <c r="Q49" s="506">
        <v>12</v>
      </c>
      <c r="R49" s="421"/>
      <c r="S49" s="506">
        <v>12</v>
      </c>
      <c r="T49" s="421"/>
      <c r="U49" s="255"/>
      <c r="V49" s="191"/>
      <c r="W49" s="957"/>
      <c r="X49" s="958">
        <f>AVERAGE(O49,M49,S49,U49,Q49)</f>
        <v>12.25</v>
      </c>
    </row>
    <row r="50" spans="1:24" s="1" customFormat="1" ht="15" customHeight="1" thickBot="1" x14ac:dyDescent="0.25">
      <c r="A50" s="722" t="s">
        <v>146</v>
      </c>
      <c r="B50" s="560"/>
      <c r="C50" s="561">
        <v>10.84</v>
      </c>
      <c r="D50" s="560"/>
      <c r="E50" s="561">
        <v>13.14</v>
      </c>
      <c r="F50" s="560"/>
      <c r="G50" s="561">
        <v>12.5</v>
      </c>
      <c r="H50" s="560"/>
      <c r="I50" s="561">
        <v>11.5</v>
      </c>
      <c r="J50" s="560"/>
      <c r="K50" s="561">
        <v>10.3</v>
      </c>
      <c r="L50" s="560"/>
      <c r="M50" s="561">
        <v>12.5</v>
      </c>
      <c r="N50" s="560"/>
      <c r="O50" s="561">
        <v>11.5</v>
      </c>
      <c r="P50" s="560"/>
      <c r="Q50" s="561">
        <v>11.8</v>
      </c>
      <c r="R50" s="560"/>
      <c r="S50" s="561">
        <v>11.8</v>
      </c>
      <c r="T50" s="562"/>
      <c r="U50" s="563"/>
      <c r="V50" s="191"/>
      <c r="W50" s="959"/>
      <c r="X50" s="960">
        <f>AVERAGE(O50,M50,S50,U50,Q50)</f>
        <v>11.899999999999999</v>
      </c>
    </row>
    <row r="51" spans="1:24" s="1" customFormat="1" ht="18" customHeight="1" thickBot="1" x14ac:dyDescent="0.25">
      <c r="A51" s="575" t="s">
        <v>160</v>
      </c>
      <c r="B51" s="618" t="s">
        <v>33</v>
      </c>
      <c r="C51" s="619" t="s">
        <v>34</v>
      </c>
      <c r="D51" s="618" t="s">
        <v>33</v>
      </c>
      <c r="E51" s="619" t="s">
        <v>34</v>
      </c>
      <c r="F51" s="618" t="s">
        <v>33</v>
      </c>
      <c r="G51" s="619" t="s">
        <v>34</v>
      </c>
      <c r="H51" s="618" t="s">
        <v>33</v>
      </c>
      <c r="I51" s="619" t="s">
        <v>34</v>
      </c>
      <c r="J51" s="618" t="s">
        <v>33</v>
      </c>
      <c r="K51" s="619" t="s">
        <v>34</v>
      </c>
      <c r="L51" s="618" t="s">
        <v>33</v>
      </c>
      <c r="M51" s="619" t="s">
        <v>34</v>
      </c>
      <c r="N51" s="618" t="s">
        <v>33</v>
      </c>
      <c r="O51" s="619" t="s">
        <v>34</v>
      </c>
      <c r="P51" s="618" t="s">
        <v>33</v>
      </c>
      <c r="Q51" s="619" t="s">
        <v>34</v>
      </c>
      <c r="R51" s="618" t="s">
        <v>33</v>
      </c>
      <c r="S51" s="619" t="s">
        <v>34</v>
      </c>
      <c r="T51" s="618" t="s">
        <v>33</v>
      </c>
      <c r="U51" s="625" t="s">
        <v>34</v>
      </c>
      <c r="W51" s="665" t="s">
        <v>33</v>
      </c>
      <c r="X51" s="961" t="s">
        <v>152</v>
      </c>
    </row>
    <row r="52" spans="1:24" s="1" customFormat="1" ht="15" customHeight="1" x14ac:dyDescent="0.2">
      <c r="A52" s="723" t="s">
        <v>35</v>
      </c>
      <c r="B52" s="598"/>
      <c r="C52" s="599"/>
      <c r="D52" s="598"/>
      <c r="E52" s="599"/>
      <c r="F52" s="598"/>
      <c r="G52" s="599"/>
      <c r="H52" s="598"/>
      <c r="I52" s="599"/>
      <c r="J52" s="621"/>
      <c r="K52" s="622"/>
      <c r="L52" s="621"/>
      <c r="M52" s="622"/>
      <c r="N52" s="621"/>
      <c r="O52" s="622"/>
      <c r="P52" s="621"/>
      <c r="Q52" s="622"/>
      <c r="R52" s="621"/>
      <c r="S52" s="622"/>
      <c r="T52" s="598"/>
      <c r="U52" s="589"/>
      <c r="W52" s="662"/>
      <c r="X52" s="946"/>
    </row>
    <row r="53" spans="1:24" s="1" customFormat="1" ht="15" customHeight="1" x14ac:dyDescent="0.2">
      <c r="A53" s="724" t="s">
        <v>36</v>
      </c>
      <c r="B53" s="82"/>
      <c r="C53" s="446">
        <v>12</v>
      </c>
      <c r="D53" s="82"/>
      <c r="E53" s="446">
        <v>14</v>
      </c>
      <c r="F53" s="82"/>
      <c r="G53" s="446">
        <v>13</v>
      </c>
      <c r="H53" s="82"/>
      <c r="I53" s="446">
        <v>12</v>
      </c>
      <c r="J53" s="600">
        <v>11</v>
      </c>
      <c r="K53" s="446">
        <v>11</v>
      </c>
      <c r="L53" s="600">
        <v>13</v>
      </c>
      <c r="M53" s="446">
        <v>13</v>
      </c>
      <c r="N53" s="600">
        <v>12</v>
      </c>
      <c r="O53" s="446">
        <v>12</v>
      </c>
      <c r="P53" s="600">
        <v>12</v>
      </c>
      <c r="Q53" s="446">
        <v>12</v>
      </c>
      <c r="R53" s="600">
        <v>12</v>
      </c>
      <c r="S53" s="446">
        <v>12</v>
      </c>
      <c r="T53" s="600"/>
      <c r="U53" s="444"/>
      <c r="W53" s="947">
        <f>AVERAGE(N53,L53,R53,T53,P53)</f>
        <v>12.25</v>
      </c>
      <c r="X53" s="948">
        <f>AVERAGE(O53,M53,S53,U53,Q53)</f>
        <v>12.25</v>
      </c>
    </row>
    <row r="54" spans="1:24" s="1" customFormat="1" ht="15" customHeight="1" x14ac:dyDescent="0.2">
      <c r="A54" s="724" t="s">
        <v>37</v>
      </c>
      <c r="B54" s="82"/>
      <c r="C54" s="446">
        <v>0</v>
      </c>
      <c r="D54" s="82"/>
      <c r="E54" s="446">
        <v>1</v>
      </c>
      <c r="F54" s="82"/>
      <c r="G54" s="446">
        <v>2</v>
      </c>
      <c r="H54" s="82"/>
      <c r="I54" s="446">
        <v>3</v>
      </c>
      <c r="J54" s="6">
        <v>1.8</v>
      </c>
      <c r="K54" s="446">
        <v>6</v>
      </c>
      <c r="L54" s="6">
        <v>0.3</v>
      </c>
      <c r="M54" s="446">
        <v>2</v>
      </c>
      <c r="N54" s="6">
        <v>1.4</v>
      </c>
      <c r="O54" s="446">
        <v>4</v>
      </c>
      <c r="P54" s="600">
        <v>1</v>
      </c>
      <c r="Q54" s="446">
        <v>2</v>
      </c>
      <c r="R54" s="600">
        <v>0.9</v>
      </c>
      <c r="S54" s="446">
        <v>2</v>
      </c>
      <c r="T54" s="6"/>
      <c r="U54" s="444"/>
      <c r="W54" s="947">
        <f t="shared" ref="W54:X57" si="8">AVERAGE(N54,L54,R54,T54,P54)</f>
        <v>0.9</v>
      </c>
      <c r="X54" s="948">
        <f t="shared" si="8"/>
        <v>2.5</v>
      </c>
    </row>
    <row r="55" spans="1:24" s="1" customFormat="1" ht="15" customHeight="1" x14ac:dyDescent="0.2">
      <c r="A55" s="725" t="s">
        <v>38</v>
      </c>
      <c r="B55" s="6"/>
      <c r="C55" s="601"/>
      <c r="D55" s="6"/>
      <c r="E55" s="601"/>
      <c r="F55" s="6"/>
      <c r="G55" s="601"/>
      <c r="H55" s="6"/>
      <c r="I55" s="601"/>
      <c r="J55" s="6"/>
      <c r="K55" s="601"/>
      <c r="L55" s="6"/>
      <c r="M55" s="601"/>
      <c r="N55" s="6"/>
      <c r="O55" s="601"/>
      <c r="P55" s="6"/>
      <c r="Q55" s="601"/>
      <c r="R55" s="6"/>
      <c r="S55" s="601"/>
      <c r="T55" s="6"/>
      <c r="U55" s="591"/>
      <c r="W55" s="947"/>
      <c r="X55" s="948"/>
    </row>
    <row r="56" spans="1:24" s="1" customFormat="1" ht="15" customHeight="1" x14ac:dyDescent="0.2">
      <c r="A56" s="724" t="s">
        <v>36</v>
      </c>
      <c r="B56" s="82"/>
      <c r="C56" s="601">
        <v>1</v>
      </c>
      <c r="D56" s="82"/>
      <c r="E56" s="601">
        <v>0</v>
      </c>
      <c r="F56" s="82"/>
      <c r="G56" s="601">
        <v>0</v>
      </c>
      <c r="H56" s="82"/>
      <c r="I56" s="601">
        <v>0</v>
      </c>
      <c r="J56" s="600">
        <v>0</v>
      </c>
      <c r="K56" s="601">
        <v>0</v>
      </c>
      <c r="L56" s="600">
        <v>0</v>
      </c>
      <c r="M56" s="601">
        <v>0</v>
      </c>
      <c r="N56" s="600">
        <v>0</v>
      </c>
      <c r="O56" s="601">
        <v>0</v>
      </c>
      <c r="P56" s="600">
        <v>0</v>
      </c>
      <c r="Q56" s="601">
        <v>0</v>
      </c>
      <c r="R56" s="600">
        <v>0</v>
      </c>
      <c r="S56" s="601">
        <v>0</v>
      </c>
      <c r="T56" s="600"/>
      <c r="U56" s="591"/>
      <c r="W56" s="947">
        <f t="shared" si="8"/>
        <v>0</v>
      </c>
      <c r="X56" s="948">
        <f t="shared" si="8"/>
        <v>0</v>
      </c>
    </row>
    <row r="57" spans="1:24" s="1" customFormat="1" ht="15" customHeight="1" thickBot="1" x14ac:dyDescent="0.25">
      <c r="A57" s="726" t="s">
        <v>37</v>
      </c>
      <c r="B57" s="82"/>
      <c r="C57" s="601">
        <v>0</v>
      </c>
      <c r="D57" s="82"/>
      <c r="E57" s="601">
        <v>1</v>
      </c>
      <c r="F57" s="82"/>
      <c r="G57" s="601">
        <v>1</v>
      </c>
      <c r="H57" s="82"/>
      <c r="I57" s="601">
        <v>1</v>
      </c>
      <c r="J57" s="623">
        <v>0.9</v>
      </c>
      <c r="K57" s="624">
        <v>1</v>
      </c>
      <c r="L57" s="760">
        <v>0</v>
      </c>
      <c r="M57" s="624">
        <v>0</v>
      </c>
      <c r="N57" s="760">
        <v>0</v>
      </c>
      <c r="O57" s="624">
        <v>0</v>
      </c>
      <c r="P57" s="760">
        <v>0</v>
      </c>
      <c r="Q57" s="624">
        <v>0</v>
      </c>
      <c r="R57" s="760">
        <v>0</v>
      </c>
      <c r="S57" s="624">
        <v>0</v>
      </c>
      <c r="T57" s="626"/>
      <c r="U57" s="627"/>
      <c r="W57" s="947">
        <f t="shared" si="8"/>
        <v>0</v>
      </c>
      <c r="X57" s="948">
        <f t="shared" si="8"/>
        <v>0</v>
      </c>
    </row>
    <row r="58" spans="1:24" s="1" customFormat="1" ht="15" customHeight="1" thickBot="1" x14ac:dyDescent="0.25">
      <c r="A58" s="567" t="s">
        <v>21</v>
      </c>
      <c r="B58" s="759"/>
      <c r="C58" s="605">
        <f>SUM(C53:C57)</f>
        <v>13</v>
      </c>
      <c r="D58" s="759"/>
      <c r="E58" s="605">
        <f>SUM(E53:E57)</f>
        <v>16</v>
      </c>
      <c r="F58" s="759"/>
      <c r="G58" s="605">
        <f>SUM(G53:G57)</f>
        <v>16</v>
      </c>
      <c r="H58" s="759"/>
      <c r="I58" s="605">
        <f>SUM(I53:I57)</f>
        <v>16</v>
      </c>
      <c r="J58" s="620">
        <f t="shared" ref="J58:S58" si="9">SUM(J53:J57)</f>
        <v>13.700000000000001</v>
      </c>
      <c r="K58" s="605">
        <f t="shared" si="9"/>
        <v>18</v>
      </c>
      <c r="L58" s="620">
        <f t="shared" si="9"/>
        <v>13.3</v>
      </c>
      <c r="M58" s="605">
        <f t="shared" si="9"/>
        <v>15</v>
      </c>
      <c r="N58" s="620">
        <f t="shared" si="9"/>
        <v>13.4</v>
      </c>
      <c r="O58" s="605">
        <f t="shared" si="9"/>
        <v>16</v>
      </c>
      <c r="P58" s="620">
        <f t="shared" si="9"/>
        <v>13</v>
      </c>
      <c r="Q58" s="605">
        <f t="shared" si="9"/>
        <v>14</v>
      </c>
      <c r="R58" s="620">
        <f t="shared" si="9"/>
        <v>12.9</v>
      </c>
      <c r="S58" s="605">
        <f t="shared" si="9"/>
        <v>14</v>
      </c>
      <c r="T58" s="604">
        <f t="shared" ref="T58:U58" si="10">SUM(T53:T57)</f>
        <v>0</v>
      </c>
      <c r="U58" s="595">
        <f t="shared" si="10"/>
        <v>0</v>
      </c>
      <c r="W58" s="949">
        <f>AVERAGE(N58,L58,R58,T58,P58)</f>
        <v>10.52</v>
      </c>
      <c r="X58" s="950">
        <f>AVERAGE(O58,M58,S58,U58,Q58)</f>
        <v>11.8</v>
      </c>
    </row>
    <row r="59" spans="1:24" s="1" customFormat="1" ht="18" customHeight="1" thickBot="1" x14ac:dyDescent="0.25">
      <c r="A59" s="575" t="s">
        <v>161</v>
      </c>
      <c r="B59" s="554" t="s">
        <v>32</v>
      </c>
      <c r="C59" s="555" t="s">
        <v>39</v>
      </c>
      <c r="D59" s="554" t="s">
        <v>32</v>
      </c>
      <c r="E59" s="556" t="s">
        <v>39</v>
      </c>
      <c r="F59" s="557" t="s">
        <v>32</v>
      </c>
      <c r="G59" s="556" t="s">
        <v>39</v>
      </c>
      <c r="H59" s="557" t="s">
        <v>32</v>
      </c>
      <c r="I59" s="556" t="s">
        <v>39</v>
      </c>
      <c r="J59" s="557" t="s">
        <v>32</v>
      </c>
      <c r="K59" s="556" t="s">
        <v>39</v>
      </c>
      <c r="L59" s="557" t="s">
        <v>32</v>
      </c>
      <c r="M59" s="556" t="s">
        <v>39</v>
      </c>
      <c r="N59" s="557" t="s">
        <v>32</v>
      </c>
      <c r="O59" s="556" t="s">
        <v>39</v>
      </c>
      <c r="P59" s="557" t="s">
        <v>32</v>
      </c>
      <c r="Q59" s="556" t="s">
        <v>39</v>
      </c>
      <c r="R59" s="557" t="s">
        <v>32</v>
      </c>
      <c r="S59" s="556" t="s">
        <v>39</v>
      </c>
      <c r="T59" s="557" t="s">
        <v>32</v>
      </c>
      <c r="U59" s="558" t="s">
        <v>39</v>
      </c>
      <c r="V59" s="191"/>
      <c r="W59" s="951" t="s">
        <v>32</v>
      </c>
      <c r="X59" s="656" t="s">
        <v>39</v>
      </c>
    </row>
    <row r="60" spans="1:24" s="1" customFormat="1" ht="18" customHeight="1" x14ac:dyDescent="0.2">
      <c r="A60" s="723" t="s">
        <v>162</v>
      </c>
      <c r="B60" s="220"/>
      <c r="C60" s="628"/>
      <c r="D60" s="220"/>
      <c r="E60" s="629"/>
      <c r="F60" s="630"/>
      <c r="G60" s="629"/>
      <c r="H60" s="630"/>
      <c r="I60" s="629"/>
      <c r="J60" s="630"/>
      <c r="K60" s="629"/>
      <c r="L60" s="630"/>
      <c r="M60" s="629"/>
      <c r="N60" s="630"/>
      <c r="O60" s="629"/>
      <c r="P60" s="630"/>
      <c r="Q60" s="629"/>
      <c r="R60" s="630"/>
      <c r="S60" s="629"/>
      <c r="T60" s="630"/>
      <c r="U60" s="585"/>
      <c r="V60" s="191"/>
      <c r="W60" s="952"/>
      <c r="X60" s="585"/>
    </row>
    <row r="61" spans="1:24" s="1" customFormat="1" ht="15" customHeight="1" x14ac:dyDescent="0.2">
      <c r="A61" s="508" t="s">
        <v>40</v>
      </c>
      <c r="B61" s="509">
        <v>12</v>
      </c>
      <c r="C61" s="510">
        <f t="shared" ref="C61:C68" si="11">B61/C$58</f>
        <v>0.92307692307692313</v>
      </c>
      <c r="D61" s="509">
        <v>15</v>
      </c>
      <c r="E61" s="511">
        <f t="shared" ref="E61:K68" si="12">D61/E$58</f>
        <v>0.9375</v>
      </c>
      <c r="F61" s="512">
        <v>16</v>
      </c>
      <c r="G61" s="511">
        <f t="shared" si="12"/>
        <v>1</v>
      </c>
      <c r="H61" s="512">
        <v>16</v>
      </c>
      <c r="I61" s="511">
        <f t="shared" ref="I61:I68" si="13">H61/I$58</f>
        <v>1</v>
      </c>
      <c r="J61" s="512">
        <f>7+9</f>
        <v>16</v>
      </c>
      <c r="K61" s="511">
        <f t="shared" si="12"/>
        <v>0.88888888888888884</v>
      </c>
      <c r="L61" s="512">
        <v>12</v>
      </c>
      <c r="M61" s="511">
        <f t="shared" ref="M61:M66" si="14">L61/M$58</f>
        <v>0.8</v>
      </c>
      <c r="N61" s="512">
        <f>3+9</f>
        <v>12</v>
      </c>
      <c r="O61" s="511">
        <f t="shared" ref="O61:Q66" si="15">N61/O$58</f>
        <v>0.75</v>
      </c>
      <c r="P61" s="512">
        <v>11</v>
      </c>
      <c r="Q61" s="511">
        <f t="shared" si="15"/>
        <v>0.7857142857142857</v>
      </c>
      <c r="R61" s="512">
        <v>11</v>
      </c>
      <c r="S61" s="511">
        <f t="shared" ref="S61:S66" si="16">R61/S$58</f>
        <v>0.7857142857142857</v>
      </c>
      <c r="T61" s="512"/>
      <c r="U61" s="513" t="e">
        <f t="shared" ref="U61:U66" si="17">T61/U$58</f>
        <v>#DIV/0!</v>
      </c>
      <c r="V61" s="198"/>
      <c r="W61" s="947">
        <f t="shared" ref="W61:W80" si="18">AVERAGE(N61,L61,R61,T61,P61)</f>
        <v>11.5</v>
      </c>
      <c r="X61" s="199" t="e">
        <f>AVERAGE(O61,M61,U61,S61,Q61)</f>
        <v>#DIV/0!</v>
      </c>
    </row>
    <row r="62" spans="1:24" s="1" customFormat="1" ht="15" customHeight="1" x14ac:dyDescent="0.2">
      <c r="A62" s="200" t="s">
        <v>41</v>
      </c>
      <c r="B62" s="193">
        <v>0</v>
      </c>
      <c r="C62" s="194">
        <f t="shared" si="11"/>
        <v>0</v>
      </c>
      <c r="D62" s="193">
        <v>0</v>
      </c>
      <c r="E62" s="195">
        <f t="shared" si="12"/>
        <v>0</v>
      </c>
      <c r="F62" s="196">
        <v>0</v>
      </c>
      <c r="G62" s="195">
        <f t="shared" si="12"/>
        <v>0</v>
      </c>
      <c r="H62" s="196">
        <v>0</v>
      </c>
      <c r="I62" s="195">
        <f t="shared" si="13"/>
        <v>0</v>
      </c>
      <c r="J62" s="196">
        <f>0</f>
        <v>0</v>
      </c>
      <c r="K62" s="195">
        <f t="shared" si="12"/>
        <v>0</v>
      </c>
      <c r="L62" s="196">
        <v>0</v>
      </c>
      <c r="M62" s="195">
        <f t="shared" si="14"/>
        <v>0</v>
      </c>
      <c r="N62" s="196">
        <v>0</v>
      </c>
      <c r="O62" s="195">
        <f t="shared" si="15"/>
        <v>0</v>
      </c>
      <c r="P62" s="196">
        <v>0</v>
      </c>
      <c r="Q62" s="195">
        <f t="shared" si="15"/>
        <v>0</v>
      </c>
      <c r="R62" s="196">
        <v>0</v>
      </c>
      <c r="S62" s="195">
        <f t="shared" si="16"/>
        <v>0</v>
      </c>
      <c r="T62" s="196"/>
      <c r="U62" s="197" t="e">
        <f t="shared" si="17"/>
        <v>#DIV/0!</v>
      </c>
      <c r="V62" s="198"/>
      <c r="W62" s="947">
        <f t="shared" si="18"/>
        <v>0</v>
      </c>
      <c r="X62" s="199" t="e">
        <f t="shared" ref="X62:X80" si="19">AVERAGE(O62,M62,U62,S62,Q62)</f>
        <v>#DIV/0!</v>
      </c>
    </row>
    <row r="63" spans="1:24" s="1" customFormat="1" ht="15" customHeight="1" x14ac:dyDescent="0.2">
      <c r="A63" s="200" t="s">
        <v>42</v>
      </c>
      <c r="B63" s="193">
        <v>0</v>
      </c>
      <c r="C63" s="194">
        <f t="shared" si="11"/>
        <v>0</v>
      </c>
      <c r="D63" s="193">
        <v>0</v>
      </c>
      <c r="E63" s="195">
        <f t="shared" si="12"/>
        <v>0</v>
      </c>
      <c r="F63" s="196">
        <v>0</v>
      </c>
      <c r="G63" s="195">
        <f t="shared" si="12"/>
        <v>0</v>
      </c>
      <c r="H63" s="196">
        <v>0</v>
      </c>
      <c r="I63" s="195">
        <f t="shared" si="13"/>
        <v>0</v>
      </c>
      <c r="J63" s="196">
        <f>0</f>
        <v>0</v>
      </c>
      <c r="K63" s="195">
        <f t="shared" si="12"/>
        <v>0</v>
      </c>
      <c r="L63" s="196">
        <v>0</v>
      </c>
      <c r="M63" s="195">
        <f t="shared" si="14"/>
        <v>0</v>
      </c>
      <c r="N63" s="196">
        <v>1</v>
      </c>
      <c r="O63" s="195">
        <f t="shared" si="15"/>
        <v>6.25E-2</v>
      </c>
      <c r="P63" s="196">
        <v>0</v>
      </c>
      <c r="Q63" s="195">
        <f t="shared" si="15"/>
        <v>0</v>
      </c>
      <c r="R63" s="196">
        <v>0</v>
      </c>
      <c r="S63" s="195">
        <f t="shared" si="16"/>
        <v>0</v>
      </c>
      <c r="T63" s="196"/>
      <c r="U63" s="197" t="e">
        <f t="shared" si="17"/>
        <v>#DIV/0!</v>
      </c>
      <c r="V63" s="198"/>
      <c r="W63" s="947">
        <f t="shared" si="18"/>
        <v>0.25</v>
      </c>
      <c r="X63" s="199" t="e">
        <f t="shared" si="19"/>
        <v>#DIV/0!</v>
      </c>
    </row>
    <row r="64" spans="1:24" s="1" customFormat="1" ht="15" customHeight="1" x14ac:dyDescent="0.2">
      <c r="A64" s="200" t="s">
        <v>43</v>
      </c>
      <c r="B64" s="193">
        <v>0</v>
      </c>
      <c r="C64" s="194">
        <f t="shared" si="11"/>
        <v>0</v>
      </c>
      <c r="D64" s="193">
        <v>0</v>
      </c>
      <c r="E64" s="195">
        <f t="shared" si="12"/>
        <v>0</v>
      </c>
      <c r="F64" s="196">
        <v>0</v>
      </c>
      <c r="G64" s="195">
        <f t="shared" si="12"/>
        <v>0</v>
      </c>
      <c r="H64" s="196">
        <v>0</v>
      </c>
      <c r="I64" s="195">
        <f t="shared" si="13"/>
        <v>0</v>
      </c>
      <c r="J64" s="196">
        <f>0</f>
        <v>0</v>
      </c>
      <c r="K64" s="195">
        <f t="shared" si="12"/>
        <v>0</v>
      </c>
      <c r="L64" s="196">
        <v>0</v>
      </c>
      <c r="M64" s="195">
        <f t="shared" si="14"/>
        <v>0</v>
      </c>
      <c r="N64" s="196">
        <v>0</v>
      </c>
      <c r="O64" s="195">
        <f t="shared" si="15"/>
        <v>0</v>
      </c>
      <c r="P64" s="196">
        <v>0</v>
      </c>
      <c r="Q64" s="195">
        <f t="shared" si="15"/>
        <v>0</v>
      </c>
      <c r="R64" s="196">
        <v>0</v>
      </c>
      <c r="S64" s="195">
        <f t="shared" si="16"/>
        <v>0</v>
      </c>
      <c r="T64" s="196"/>
      <c r="U64" s="197" t="e">
        <f t="shared" si="17"/>
        <v>#DIV/0!</v>
      </c>
      <c r="V64" s="198"/>
      <c r="W64" s="947">
        <f t="shared" si="18"/>
        <v>0</v>
      </c>
      <c r="X64" s="199" t="e">
        <f t="shared" si="19"/>
        <v>#DIV/0!</v>
      </c>
    </row>
    <row r="65" spans="1:24" s="1" customFormat="1" ht="15" customHeight="1" x14ac:dyDescent="0.2">
      <c r="A65" s="200" t="s">
        <v>44</v>
      </c>
      <c r="B65" s="193">
        <v>1</v>
      </c>
      <c r="C65" s="194">
        <f t="shared" si="11"/>
        <v>7.6923076923076927E-2</v>
      </c>
      <c r="D65" s="193">
        <v>1</v>
      </c>
      <c r="E65" s="195">
        <f t="shared" si="12"/>
        <v>6.25E-2</v>
      </c>
      <c r="F65" s="196">
        <v>0</v>
      </c>
      <c r="G65" s="195">
        <f t="shared" si="12"/>
        <v>0</v>
      </c>
      <c r="H65" s="196">
        <v>0</v>
      </c>
      <c r="I65" s="195">
        <f t="shared" si="13"/>
        <v>0</v>
      </c>
      <c r="J65" s="196">
        <f>1</f>
        <v>1</v>
      </c>
      <c r="K65" s="195">
        <f t="shared" si="12"/>
        <v>5.5555555555555552E-2</v>
      </c>
      <c r="L65" s="196">
        <v>1</v>
      </c>
      <c r="M65" s="195">
        <f t="shared" si="14"/>
        <v>6.6666666666666666E-2</v>
      </c>
      <c r="N65" s="196">
        <v>1</v>
      </c>
      <c r="O65" s="195">
        <f t="shared" si="15"/>
        <v>6.25E-2</v>
      </c>
      <c r="P65" s="196">
        <v>1</v>
      </c>
      <c r="Q65" s="195">
        <f t="shared" si="15"/>
        <v>7.1428571428571425E-2</v>
      </c>
      <c r="R65" s="196">
        <v>1</v>
      </c>
      <c r="S65" s="195">
        <f t="shared" si="16"/>
        <v>7.1428571428571425E-2</v>
      </c>
      <c r="T65" s="196"/>
      <c r="U65" s="197" t="e">
        <f t="shared" si="17"/>
        <v>#DIV/0!</v>
      </c>
      <c r="V65" s="198"/>
      <c r="W65" s="947">
        <f t="shared" si="18"/>
        <v>1</v>
      </c>
      <c r="X65" s="199" t="e">
        <f t="shared" si="19"/>
        <v>#DIV/0!</v>
      </c>
    </row>
    <row r="66" spans="1:24" s="1" customFormat="1" ht="15" customHeight="1" x14ac:dyDescent="0.2">
      <c r="A66" s="200" t="s">
        <v>45</v>
      </c>
      <c r="B66" s="193">
        <v>0</v>
      </c>
      <c r="C66" s="194">
        <f t="shared" si="11"/>
        <v>0</v>
      </c>
      <c r="D66" s="193">
        <v>0</v>
      </c>
      <c r="E66" s="195">
        <f t="shared" si="12"/>
        <v>0</v>
      </c>
      <c r="F66" s="196">
        <v>0</v>
      </c>
      <c r="G66" s="195">
        <f t="shared" si="12"/>
        <v>0</v>
      </c>
      <c r="H66" s="196">
        <v>0</v>
      </c>
      <c r="I66" s="195">
        <f t="shared" si="13"/>
        <v>0</v>
      </c>
      <c r="J66" s="196">
        <f>1</f>
        <v>1</v>
      </c>
      <c r="K66" s="195">
        <f t="shared" si="12"/>
        <v>5.5555555555555552E-2</v>
      </c>
      <c r="L66" s="196">
        <v>2</v>
      </c>
      <c r="M66" s="195">
        <f t="shared" si="14"/>
        <v>0.13333333333333333</v>
      </c>
      <c r="N66" s="196">
        <v>2</v>
      </c>
      <c r="O66" s="195">
        <f t="shared" si="15"/>
        <v>0.125</v>
      </c>
      <c r="P66" s="196">
        <v>2</v>
      </c>
      <c r="Q66" s="195">
        <f t="shared" si="15"/>
        <v>0.14285714285714285</v>
      </c>
      <c r="R66" s="196">
        <v>2</v>
      </c>
      <c r="S66" s="195">
        <f t="shared" si="16"/>
        <v>0.14285714285714285</v>
      </c>
      <c r="T66" s="196"/>
      <c r="U66" s="197" t="e">
        <f t="shared" si="17"/>
        <v>#DIV/0!</v>
      </c>
      <c r="V66" s="198"/>
      <c r="W66" s="947">
        <f t="shared" si="18"/>
        <v>2</v>
      </c>
      <c r="X66" s="199" t="e">
        <f t="shared" si="19"/>
        <v>#DIV/0!</v>
      </c>
    </row>
    <row r="67" spans="1:24" s="1" customFormat="1" ht="15" customHeight="1" x14ac:dyDescent="0.2">
      <c r="A67" s="200" t="s">
        <v>46</v>
      </c>
      <c r="B67" s="201"/>
      <c r="C67" s="194">
        <f t="shared" si="11"/>
        <v>0</v>
      </c>
      <c r="D67" s="201"/>
      <c r="E67" s="195">
        <f t="shared" si="12"/>
        <v>0</v>
      </c>
      <c r="F67" s="202"/>
      <c r="G67" s="195">
        <f t="shared" si="12"/>
        <v>0</v>
      </c>
      <c r="H67" s="202">
        <v>0</v>
      </c>
      <c r="I67" s="195">
        <f t="shared" si="13"/>
        <v>0</v>
      </c>
      <c r="J67" s="202">
        <f>0</f>
        <v>0</v>
      </c>
      <c r="K67" s="195">
        <f>J67/K$58</f>
        <v>0</v>
      </c>
      <c r="L67" s="202">
        <v>0</v>
      </c>
      <c r="M67" s="195">
        <f>L67/M$58</f>
        <v>0</v>
      </c>
      <c r="N67" s="202">
        <v>0</v>
      </c>
      <c r="O67" s="195">
        <f>N67/O$58</f>
        <v>0</v>
      </c>
      <c r="P67" s="202">
        <v>0</v>
      </c>
      <c r="Q67" s="195">
        <f>P67/Q$58</f>
        <v>0</v>
      </c>
      <c r="R67" s="202">
        <v>0</v>
      </c>
      <c r="S67" s="195">
        <f>R67/S$58</f>
        <v>0</v>
      </c>
      <c r="T67" s="196"/>
      <c r="U67" s="197" t="e">
        <f>T67/U$58</f>
        <v>#DIV/0!</v>
      </c>
      <c r="V67" s="198"/>
      <c r="W67" s="947">
        <f t="shared" si="18"/>
        <v>0</v>
      </c>
      <c r="X67" s="199" t="e">
        <f t="shared" si="19"/>
        <v>#DIV/0!</v>
      </c>
    </row>
    <row r="68" spans="1:24" s="1" customFormat="1" ht="15" customHeight="1" thickBot="1" x14ac:dyDescent="0.25">
      <c r="A68" s="521" t="s">
        <v>47</v>
      </c>
      <c r="B68" s="522">
        <v>0</v>
      </c>
      <c r="C68" s="523">
        <f t="shared" si="11"/>
        <v>0</v>
      </c>
      <c r="D68" s="522">
        <v>0</v>
      </c>
      <c r="E68" s="524">
        <f t="shared" si="12"/>
        <v>0</v>
      </c>
      <c r="F68" s="525">
        <v>0</v>
      </c>
      <c r="G68" s="524">
        <f t="shared" si="12"/>
        <v>0</v>
      </c>
      <c r="H68" s="525">
        <v>0</v>
      </c>
      <c r="I68" s="524">
        <f t="shared" si="13"/>
        <v>0</v>
      </c>
      <c r="J68" s="525">
        <f>0</f>
        <v>0</v>
      </c>
      <c r="K68" s="524">
        <f t="shared" si="12"/>
        <v>0</v>
      </c>
      <c r="L68" s="525">
        <v>0</v>
      </c>
      <c r="M68" s="524">
        <f>L68/M$58</f>
        <v>0</v>
      </c>
      <c r="N68" s="525">
        <v>0</v>
      </c>
      <c r="O68" s="524">
        <f>N68/O$58</f>
        <v>0</v>
      </c>
      <c r="P68" s="525">
        <v>0</v>
      </c>
      <c r="Q68" s="524">
        <f>P68/Q$58</f>
        <v>0</v>
      </c>
      <c r="R68" s="525">
        <v>0</v>
      </c>
      <c r="S68" s="524">
        <f>R68/S$58</f>
        <v>0</v>
      </c>
      <c r="T68" s="525"/>
      <c r="U68" s="526" t="e">
        <f>T68/U$58</f>
        <v>#DIV/0!</v>
      </c>
      <c r="V68" s="198"/>
      <c r="W68" s="947">
        <f t="shared" si="18"/>
        <v>0</v>
      </c>
      <c r="X68" s="199" t="e">
        <f t="shared" si="19"/>
        <v>#DIV/0!</v>
      </c>
    </row>
    <row r="69" spans="1:24" s="1" customFormat="1" ht="18" customHeight="1" x14ac:dyDescent="0.2">
      <c r="A69" s="723" t="s">
        <v>48</v>
      </c>
      <c r="B69" s="514"/>
      <c r="C69" s="515"/>
      <c r="D69" s="514"/>
      <c r="E69" s="516"/>
      <c r="F69" s="517"/>
      <c r="G69" s="516"/>
      <c r="H69" s="517"/>
      <c r="I69" s="516"/>
      <c r="J69" s="517"/>
      <c r="K69" s="516"/>
      <c r="L69" s="517"/>
      <c r="M69" s="516"/>
      <c r="N69" s="517"/>
      <c r="O69" s="516"/>
      <c r="P69" s="517"/>
      <c r="Q69" s="516"/>
      <c r="R69" s="517"/>
      <c r="S69" s="516"/>
      <c r="T69" s="517"/>
      <c r="U69" s="518"/>
      <c r="V69" s="198"/>
      <c r="W69" s="947"/>
      <c r="X69" s="199"/>
    </row>
    <row r="70" spans="1:24" s="1" customFormat="1" ht="15" customHeight="1" x14ac:dyDescent="0.2">
      <c r="A70" s="192" t="s">
        <v>49</v>
      </c>
      <c r="B70" s="203">
        <v>1</v>
      </c>
      <c r="C70" s="194">
        <f>B70/C$58</f>
        <v>7.6923076923076927E-2</v>
      </c>
      <c r="D70" s="203">
        <v>2</v>
      </c>
      <c r="E70" s="195">
        <f>D70/E$58</f>
        <v>0.125</v>
      </c>
      <c r="F70" s="204">
        <v>2</v>
      </c>
      <c r="G70" s="195">
        <f>F70/G$58</f>
        <v>0.125</v>
      </c>
      <c r="H70" s="204">
        <v>3</v>
      </c>
      <c r="I70" s="195">
        <f>H70/I$58</f>
        <v>0.1875</v>
      </c>
      <c r="J70" s="204">
        <f>2</f>
        <v>2</v>
      </c>
      <c r="K70" s="195">
        <f>J70/K$58</f>
        <v>0.1111111111111111</v>
      </c>
      <c r="L70" s="204">
        <v>4</v>
      </c>
      <c r="M70" s="195">
        <f>L70/M$58</f>
        <v>0.26666666666666666</v>
      </c>
      <c r="N70" s="204">
        <v>3</v>
      </c>
      <c r="O70" s="195">
        <f>N70/O$58</f>
        <v>0.1875</v>
      </c>
      <c r="P70" s="204">
        <v>3</v>
      </c>
      <c r="Q70" s="195">
        <f>P70/Q$58</f>
        <v>0.21428571428571427</v>
      </c>
      <c r="R70" s="204">
        <v>3</v>
      </c>
      <c r="S70" s="195">
        <f>R70/S$58</f>
        <v>0.21428571428571427</v>
      </c>
      <c r="T70" s="204"/>
      <c r="U70" s="197" t="e">
        <f>T70/U$58</f>
        <v>#DIV/0!</v>
      </c>
      <c r="V70" s="198"/>
      <c r="W70" s="947">
        <f t="shared" si="18"/>
        <v>3.25</v>
      </c>
      <c r="X70" s="199" t="e">
        <f t="shared" si="19"/>
        <v>#DIV/0!</v>
      </c>
    </row>
    <row r="71" spans="1:24" s="1" customFormat="1" ht="15" customHeight="1" thickBot="1" x14ac:dyDescent="0.25">
      <c r="A71" s="521" t="s">
        <v>50</v>
      </c>
      <c r="B71" s="527">
        <v>12</v>
      </c>
      <c r="C71" s="523">
        <f>B71/C$58</f>
        <v>0.92307692307692313</v>
      </c>
      <c r="D71" s="527">
        <v>14</v>
      </c>
      <c r="E71" s="524">
        <f>D71/E$58</f>
        <v>0.875</v>
      </c>
      <c r="F71" s="528">
        <v>14</v>
      </c>
      <c r="G71" s="524">
        <f>F71/G$58</f>
        <v>0.875</v>
      </c>
      <c r="H71" s="528">
        <v>13</v>
      </c>
      <c r="I71" s="524">
        <f>H71/I$58</f>
        <v>0.8125</v>
      </c>
      <c r="J71" s="528">
        <f>7+9</f>
        <v>16</v>
      </c>
      <c r="K71" s="524">
        <f>J71/K$58</f>
        <v>0.88888888888888884</v>
      </c>
      <c r="L71" s="528">
        <v>11</v>
      </c>
      <c r="M71" s="524">
        <f>L71/M$58</f>
        <v>0.73333333333333328</v>
      </c>
      <c r="N71" s="528">
        <f>4+9</f>
        <v>13</v>
      </c>
      <c r="O71" s="524">
        <f>N71/O$58</f>
        <v>0.8125</v>
      </c>
      <c r="P71" s="528">
        <v>11</v>
      </c>
      <c r="Q71" s="524">
        <f>P71/Q$58</f>
        <v>0.7857142857142857</v>
      </c>
      <c r="R71" s="528">
        <v>11</v>
      </c>
      <c r="S71" s="524">
        <f>R71/S$58</f>
        <v>0.7857142857142857</v>
      </c>
      <c r="T71" s="528"/>
      <c r="U71" s="526" t="e">
        <f>T71/U$58</f>
        <v>#DIV/0!</v>
      </c>
      <c r="V71" s="198"/>
      <c r="W71" s="947">
        <f t="shared" si="18"/>
        <v>11.5</v>
      </c>
      <c r="X71" s="199" t="e">
        <f t="shared" si="19"/>
        <v>#DIV/0!</v>
      </c>
    </row>
    <row r="72" spans="1:24" s="1" customFormat="1" ht="18" customHeight="1" x14ac:dyDescent="0.2">
      <c r="A72" s="723" t="s">
        <v>51</v>
      </c>
      <c r="B72" s="519"/>
      <c r="C72" s="510"/>
      <c r="D72" s="519"/>
      <c r="E72" s="511"/>
      <c r="F72" s="520"/>
      <c r="G72" s="511"/>
      <c r="H72" s="520"/>
      <c r="I72" s="511"/>
      <c r="J72" s="520"/>
      <c r="K72" s="511"/>
      <c r="L72" s="520"/>
      <c r="M72" s="511"/>
      <c r="N72" s="520"/>
      <c r="O72" s="511"/>
      <c r="P72" s="520"/>
      <c r="Q72" s="511"/>
      <c r="R72" s="520"/>
      <c r="S72" s="511"/>
      <c r="T72" s="520"/>
      <c r="U72" s="513"/>
      <c r="V72" s="198"/>
      <c r="W72" s="947"/>
      <c r="X72" s="199"/>
    </row>
    <row r="73" spans="1:24" s="1" customFormat="1" ht="15" customHeight="1" x14ac:dyDescent="0.2">
      <c r="A73" s="192" t="s">
        <v>52</v>
      </c>
      <c r="B73" s="205">
        <v>6</v>
      </c>
      <c r="C73" s="194">
        <f>B73/C$58</f>
        <v>0.46153846153846156</v>
      </c>
      <c r="D73" s="205">
        <v>7</v>
      </c>
      <c r="E73" s="195">
        <f>D73/E$58</f>
        <v>0.4375</v>
      </c>
      <c r="F73" s="206">
        <v>8</v>
      </c>
      <c r="G73" s="195">
        <f>F73/G$58</f>
        <v>0.5</v>
      </c>
      <c r="H73" s="206">
        <v>7</v>
      </c>
      <c r="I73" s="195">
        <f>H73/I$58</f>
        <v>0.4375</v>
      </c>
      <c r="J73" s="206">
        <f>1+6</f>
        <v>7</v>
      </c>
      <c r="K73" s="195">
        <f>J73/K$58</f>
        <v>0.3888888888888889</v>
      </c>
      <c r="L73" s="206">
        <v>7</v>
      </c>
      <c r="M73" s="195">
        <f>L73/M$58</f>
        <v>0.46666666666666667</v>
      </c>
      <c r="N73" s="206">
        <v>7</v>
      </c>
      <c r="O73" s="195">
        <f>N73/O$58</f>
        <v>0.4375</v>
      </c>
      <c r="P73" s="206">
        <v>8</v>
      </c>
      <c r="Q73" s="195">
        <f>P73/Q$58</f>
        <v>0.5714285714285714</v>
      </c>
      <c r="R73" s="206">
        <v>8</v>
      </c>
      <c r="S73" s="195">
        <f>R73/S$58</f>
        <v>0.5714285714285714</v>
      </c>
      <c r="T73" s="206"/>
      <c r="U73" s="197" t="e">
        <f>T73/U$58</f>
        <v>#DIV/0!</v>
      </c>
      <c r="V73" s="198"/>
      <c r="W73" s="947">
        <f t="shared" si="18"/>
        <v>7.5</v>
      </c>
      <c r="X73" s="199" t="e">
        <f t="shared" si="19"/>
        <v>#DIV/0!</v>
      </c>
    </row>
    <row r="74" spans="1:24" s="1" customFormat="1" ht="15" customHeight="1" x14ac:dyDescent="0.2">
      <c r="A74" s="192" t="s">
        <v>53</v>
      </c>
      <c r="B74" s="205">
        <v>6</v>
      </c>
      <c r="C74" s="194">
        <f>B74/C$58</f>
        <v>0.46153846153846156</v>
      </c>
      <c r="D74" s="205">
        <v>8</v>
      </c>
      <c r="E74" s="195">
        <f>D74/E$58</f>
        <v>0.5</v>
      </c>
      <c r="F74" s="206">
        <v>7</v>
      </c>
      <c r="G74" s="195">
        <f>F74/G$58</f>
        <v>0.4375</v>
      </c>
      <c r="H74" s="206">
        <v>6</v>
      </c>
      <c r="I74" s="195">
        <f>H74/I$58</f>
        <v>0.375</v>
      </c>
      <c r="J74" s="206">
        <f>5</f>
        <v>5</v>
      </c>
      <c r="K74" s="195">
        <f>J74/K$58</f>
        <v>0.27777777777777779</v>
      </c>
      <c r="L74" s="206">
        <v>6</v>
      </c>
      <c r="M74" s="195">
        <f>L74/M$58</f>
        <v>0.4</v>
      </c>
      <c r="N74" s="206">
        <v>5</v>
      </c>
      <c r="O74" s="195">
        <f>N74/O$58</f>
        <v>0.3125</v>
      </c>
      <c r="P74" s="206">
        <v>4</v>
      </c>
      <c r="Q74" s="195">
        <f>P74/Q$58</f>
        <v>0.2857142857142857</v>
      </c>
      <c r="R74" s="206">
        <v>4</v>
      </c>
      <c r="S74" s="195">
        <f>R74/S$58</f>
        <v>0.2857142857142857</v>
      </c>
      <c r="T74" s="206"/>
      <c r="U74" s="197" t="e">
        <f>T74/U$58</f>
        <v>#DIV/0!</v>
      </c>
      <c r="V74" s="198"/>
      <c r="W74" s="947">
        <f t="shared" si="18"/>
        <v>4.75</v>
      </c>
      <c r="X74" s="199" t="e">
        <f t="shared" si="19"/>
        <v>#DIV/0!</v>
      </c>
    </row>
    <row r="75" spans="1:24" s="1" customFormat="1" ht="15" customHeight="1" thickBot="1" x14ac:dyDescent="0.25">
      <c r="A75" s="521" t="s">
        <v>54</v>
      </c>
      <c r="B75" s="527">
        <v>1</v>
      </c>
      <c r="C75" s="523">
        <f>B75/C$58</f>
        <v>7.6923076923076927E-2</v>
      </c>
      <c r="D75" s="527">
        <v>1</v>
      </c>
      <c r="E75" s="524">
        <f>D75/E$58</f>
        <v>6.25E-2</v>
      </c>
      <c r="F75" s="528">
        <v>1</v>
      </c>
      <c r="G75" s="524">
        <f>F75/G$58</f>
        <v>6.25E-2</v>
      </c>
      <c r="H75" s="528">
        <v>3</v>
      </c>
      <c r="I75" s="524">
        <f>H75/I$58</f>
        <v>0.1875</v>
      </c>
      <c r="J75" s="528">
        <f>6</f>
        <v>6</v>
      </c>
      <c r="K75" s="524">
        <f>J75/K$58</f>
        <v>0.33333333333333331</v>
      </c>
      <c r="L75" s="528">
        <v>2</v>
      </c>
      <c r="M75" s="524">
        <f>L75/M$58</f>
        <v>0.13333333333333333</v>
      </c>
      <c r="N75" s="528">
        <v>4</v>
      </c>
      <c r="O75" s="524">
        <f>N75/O$58</f>
        <v>0.25</v>
      </c>
      <c r="P75" s="528">
        <v>2</v>
      </c>
      <c r="Q75" s="524">
        <f>P75/Q$58</f>
        <v>0.14285714285714285</v>
      </c>
      <c r="R75" s="528">
        <v>2</v>
      </c>
      <c r="S75" s="524">
        <f>R75/S$58</f>
        <v>0.14285714285714285</v>
      </c>
      <c r="T75" s="528"/>
      <c r="U75" s="526" t="e">
        <f>T75/U$58</f>
        <v>#DIV/0!</v>
      </c>
      <c r="V75" s="198"/>
      <c r="W75" s="947">
        <f t="shared" si="18"/>
        <v>2.5</v>
      </c>
      <c r="X75" s="199" t="e">
        <f t="shared" si="19"/>
        <v>#DIV/0!</v>
      </c>
    </row>
    <row r="76" spans="1:24" s="1" customFormat="1" ht="18" customHeight="1" x14ac:dyDescent="0.2">
      <c r="A76" s="723" t="s">
        <v>55</v>
      </c>
      <c r="B76" s="519"/>
      <c r="C76" s="510"/>
      <c r="D76" s="519"/>
      <c r="E76" s="511"/>
      <c r="F76" s="520"/>
      <c r="G76" s="511"/>
      <c r="H76" s="520"/>
      <c r="I76" s="511"/>
      <c r="J76" s="520"/>
      <c r="K76" s="511"/>
      <c r="L76" s="520"/>
      <c r="M76" s="511"/>
      <c r="N76" s="520"/>
      <c r="O76" s="511"/>
      <c r="P76" s="520"/>
      <c r="Q76" s="511"/>
      <c r="R76" s="520"/>
      <c r="S76" s="511"/>
      <c r="T76" s="520"/>
      <c r="U76" s="513"/>
      <c r="V76" s="198"/>
      <c r="W76" s="947"/>
      <c r="X76" s="199"/>
    </row>
    <row r="77" spans="1:24" s="1" customFormat="1" ht="15" customHeight="1" x14ac:dyDescent="0.2">
      <c r="A77" s="192" t="s">
        <v>56</v>
      </c>
      <c r="B77" s="205">
        <v>7</v>
      </c>
      <c r="C77" s="194">
        <f>B77/C$58</f>
        <v>0.53846153846153844</v>
      </c>
      <c r="D77" s="205">
        <v>9</v>
      </c>
      <c r="E77" s="195">
        <f>D77/E$58</f>
        <v>0.5625</v>
      </c>
      <c r="F77" s="206">
        <v>8</v>
      </c>
      <c r="G77" s="195">
        <f>F77/G$58</f>
        <v>0.5</v>
      </c>
      <c r="H77" s="206">
        <v>7</v>
      </c>
      <c r="I77" s="195">
        <f>H77/I$58</f>
        <v>0.4375</v>
      </c>
      <c r="J77" s="206">
        <f>1+6</f>
        <v>7</v>
      </c>
      <c r="K77" s="195">
        <f>J77/K$58</f>
        <v>0.3888888888888889</v>
      </c>
      <c r="L77" s="206">
        <v>8</v>
      </c>
      <c r="M77" s="195">
        <f>L77/M$58</f>
        <v>0.53333333333333333</v>
      </c>
      <c r="N77" s="206">
        <v>8</v>
      </c>
      <c r="O77" s="195">
        <f>N77/O$58</f>
        <v>0.5</v>
      </c>
      <c r="P77" s="206">
        <v>7</v>
      </c>
      <c r="Q77" s="195">
        <f>P77/Q$58</f>
        <v>0.5</v>
      </c>
      <c r="R77" s="206">
        <v>8</v>
      </c>
      <c r="S77" s="195">
        <f>R77/S$58</f>
        <v>0.5714285714285714</v>
      </c>
      <c r="T77" s="206"/>
      <c r="U77" s="197" t="e">
        <f>T77/U$58</f>
        <v>#DIV/0!</v>
      </c>
      <c r="V77" s="198"/>
      <c r="W77" s="947">
        <f t="shared" si="18"/>
        <v>7.75</v>
      </c>
      <c r="X77" s="199" t="e">
        <f t="shared" si="19"/>
        <v>#DIV/0!</v>
      </c>
    </row>
    <row r="78" spans="1:24" s="1" customFormat="1" ht="15" customHeight="1" x14ac:dyDescent="0.2">
      <c r="A78" s="192" t="s">
        <v>57</v>
      </c>
      <c r="B78" s="205">
        <v>6</v>
      </c>
      <c r="C78" s="194">
        <f>B78/C$58</f>
        <v>0.46153846153846156</v>
      </c>
      <c r="D78" s="205">
        <v>7</v>
      </c>
      <c r="E78" s="195">
        <f>D78/E$58</f>
        <v>0.4375</v>
      </c>
      <c r="F78" s="206">
        <v>8</v>
      </c>
      <c r="G78" s="195">
        <f>F78/G$58</f>
        <v>0.5</v>
      </c>
      <c r="H78" s="206">
        <v>7</v>
      </c>
      <c r="I78" s="195">
        <f>H78/I$58</f>
        <v>0.4375</v>
      </c>
      <c r="J78" s="206">
        <f>3+5</f>
        <v>8</v>
      </c>
      <c r="K78" s="195">
        <f>J78/K$58</f>
        <v>0.44444444444444442</v>
      </c>
      <c r="L78" s="206">
        <v>6</v>
      </c>
      <c r="M78" s="195">
        <f>L78/M$58</f>
        <v>0.4</v>
      </c>
      <c r="N78" s="206">
        <v>7</v>
      </c>
      <c r="O78" s="195">
        <f>N78/O$58</f>
        <v>0.4375</v>
      </c>
      <c r="P78" s="206">
        <v>6</v>
      </c>
      <c r="Q78" s="195">
        <f>P78/Q$58</f>
        <v>0.42857142857142855</v>
      </c>
      <c r="R78" s="206">
        <v>6</v>
      </c>
      <c r="S78" s="195">
        <f>R78/S$58</f>
        <v>0.42857142857142855</v>
      </c>
      <c r="T78" s="206"/>
      <c r="U78" s="197" t="e">
        <f>T78/U$58</f>
        <v>#DIV/0!</v>
      </c>
      <c r="V78" s="198"/>
      <c r="W78" s="947">
        <f t="shared" si="18"/>
        <v>6.25</v>
      </c>
      <c r="X78" s="199" t="e">
        <f t="shared" si="19"/>
        <v>#DIV/0!</v>
      </c>
    </row>
    <row r="79" spans="1:24" s="1" customFormat="1" ht="15" customHeight="1" x14ac:dyDescent="0.2">
      <c r="A79" s="192" t="s">
        <v>58</v>
      </c>
      <c r="B79" s="205">
        <v>0</v>
      </c>
      <c r="C79" s="194">
        <f>B79/C$58</f>
        <v>0</v>
      </c>
      <c r="D79" s="205">
        <v>0</v>
      </c>
      <c r="E79" s="195">
        <f>D79/E$58</f>
        <v>0</v>
      </c>
      <c r="F79" s="206">
        <v>0</v>
      </c>
      <c r="G79" s="195">
        <f>F79/G$58</f>
        <v>0</v>
      </c>
      <c r="H79" s="206">
        <v>2</v>
      </c>
      <c r="I79" s="195">
        <f>H79/I$58</f>
        <v>0.125</v>
      </c>
      <c r="J79" s="206">
        <f>3</f>
        <v>3</v>
      </c>
      <c r="K79" s="195">
        <f>J79/K$58</f>
        <v>0.16666666666666666</v>
      </c>
      <c r="L79" s="206">
        <v>1</v>
      </c>
      <c r="M79" s="195">
        <f>L79/M$58</f>
        <v>6.6666666666666666E-2</v>
      </c>
      <c r="N79" s="206">
        <v>1</v>
      </c>
      <c r="O79" s="195">
        <f>N79/O$58</f>
        <v>6.25E-2</v>
      </c>
      <c r="P79" s="206">
        <v>1</v>
      </c>
      <c r="Q79" s="195">
        <f>P79/Q$58</f>
        <v>7.1428571428571425E-2</v>
      </c>
      <c r="R79" s="206">
        <v>0</v>
      </c>
      <c r="S79" s="195">
        <f>R79/S$58</f>
        <v>0</v>
      </c>
      <c r="T79" s="206"/>
      <c r="U79" s="197" t="e">
        <f>T79/U$58</f>
        <v>#DIV/0!</v>
      </c>
      <c r="V79" s="191"/>
      <c r="W79" s="947">
        <f t="shared" si="18"/>
        <v>0.75</v>
      </c>
      <c r="X79" s="199" t="e">
        <f t="shared" si="19"/>
        <v>#DIV/0!</v>
      </c>
    </row>
    <row r="80" spans="1:24" s="1" customFormat="1" ht="15" customHeight="1" thickBot="1" x14ac:dyDescent="0.25">
      <c r="A80" s="207" t="s">
        <v>59</v>
      </c>
      <c r="B80" s="208">
        <v>0</v>
      </c>
      <c r="C80" s="209">
        <f>B80/C$58</f>
        <v>0</v>
      </c>
      <c r="D80" s="208">
        <v>0</v>
      </c>
      <c r="E80" s="210">
        <f>D80/E$58</f>
        <v>0</v>
      </c>
      <c r="F80" s="211">
        <v>0</v>
      </c>
      <c r="G80" s="210">
        <f>F80/G$58</f>
        <v>0</v>
      </c>
      <c r="H80" s="211">
        <v>0</v>
      </c>
      <c r="I80" s="210">
        <f>H80/I$58</f>
        <v>0</v>
      </c>
      <c r="J80" s="211">
        <v>0</v>
      </c>
      <c r="K80" s="210">
        <f>J80/K$58</f>
        <v>0</v>
      </c>
      <c r="L80" s="211">
        <v>0</v>
      </c>
      <c r="M80" s="210">
        <f>L80/M$58</f>
        <v>0</v>
      </c>
      <c r="N80" s="211">
        <v>0</v>
      </c>
      <c r="O80" s="210">
        <f>N80/O$58</f>
        <v>0</v>
      </c>
      <c r="P80" s="211">
        <v>0</v>
      </c>
      <c r="Q80" s="210">
        <f>P80/Q$58</f>
        <v>0</v>
      </c>
      <c r="R80" s="211">
        <v>0</v>
      </c>
      <c r="S80" s="210">
        <f>R80/S$58</f>
        <v>0</v>
      </c>
      <c r="T80" s="211"/>
      <c r="U80" s="212" t="e">
        <f>T80/U$58</f>
        <v>#DIV/0!</v>
      </c>
      <c r="V80" s="191"/>
      <c r="W80" s="953">
        <f t="shared" si="18"/>
        <v>0</v>
      </c>
      <c r="X80" s="213" t="e">
        <f t="shared" si="19"/>
        <v>#DIV/0!</v>
      </c>
    </row>
    <row r="81" spans="1:20" ht="13.5" thickTop="1" x14ac:dyDescent="0.2">
      <c r="A81" s="488" t="s">
        <v>153</v>
      </c>
    </row>
    <row r="82" spans="1:20" x14ac:dyDescent="0.2">
      <c r="A82" s="1"/>
      <c r="H82" s="36" t="s">
        <v>14</v>
      </c>
      <c r="J82" s="36" t="s">
        <v>14</v>
      </c>
      <c r="L82" s="36" t="s">
        <v>14</v>
      </c>
      <c r="N82" s="36" t="s">
        <v>14</v>
      </c>
      <c r="P82" s="36" t="s">
        <v>14</v>
      </c>
      <c r="R82" s="36" t="s">
        <v>14</v>
      </c>
      <c r="T82" s="36"/>
    </row>
    <row r="83" spans="1:20" x14ac:dyDescent="0.2">
      <c r="A83" s="1"/>
    </row>
    <row r="84" spans="1:20" x14ac:dyDescent="0.2">
      <c r="A84" s="1"/>
    </row>
    <row r="85" spans="1:20" x14ac:dyDescent="0.2">
      <c r="A85" s="1"/>
    </row>
    <row r="86" spans="1:20" x14ac:dyDescent="0.2">
      <c r="A86" s="1"/>
    </row>
    <row r="87" spans="1:20" x14ac:dyDescent="0.2">
      <c r="A87" s="1"/>
    </row>
    <row r="88" spans="1:20" x14ac:dyDescent="0.2">
      <c r="A88" s="1"/>
    </row>
    <row r="89" spans="1:20" x14ac:dyDescent="0.2">
      <c r="A89" s="1"/>
    </row>
    <row r="90" spans="1:20" x14ac:dyDescent="0.2">
      <c r="A90" s="1"/>
    </row>
    <row r="91" spans="1:20" x14ac:dyDescent="0.2">
      <c r="A91" s="1"/>
    </row>
    <row r="92" spans="1:20" x14ac:dyDescent="0.2">
      <c r="A92" s="1"/>
    </row>
    <row r="93" spans="1:20" x14ac:dyDescent="0.2">
      <c r="A93" s="1"/>
    </row>
    <row r="94" spans="1:20" x14ac:dyDescent="0.2">
      <c r="A94" s="1"/>
    </row>
    <row r="95" spans="1:20" x14ac:dyDescent="0.2">
      <c r="A95" s="1"/>
    </row>
    <row r="96" spans="1:20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</sheetData>
  <mergeCells count="77">
    <mergeCell ref="R41:S41"/>
    <mergeCell ref="W41:X41"/>
    <mergeCell ref="P41:Q41"/>
    <mergeCell ref="B41:C41"/>
    <mergeCell ref="D41:E41"/>
    <mergeCell ref="F41:G41"/>
    <mergeCell ref="H41:I41"/>
    <mergeCell ref="J41:K41"/>
    <mergeCell ref="L41:M41"/>
    <mergeCell ref="N41:O41"/>
    <mergeCell ref="T41:U41"/>
    <mergeCell ref="J38:K38"/>
    <mergeCell ref="L38:M38"/>
    <mergeCell ref="N38:O38"/>
    <mergeCell ref="B38:C38"/>
    <mergeCell ref="D38:E38"/>
    <mergeCell ref="F38:G38"/>
    <mergeCell ref="H38:I38"/>
    <mergeCell ref="P38:Q38"/>
    <mergeCell ref="R38:S38"/>
    <mergeCell ref="W38:X38"/>
    <mergeCell ref="R31:S31"/>
    <mergeCell ref="W31:X31"/>
    <mergeCell ref="P31:Q31"/>
    <mergeCell ref="T31:U31"/>
    <mergeCell ref="T38:U38"/>
    <mergeCell ref="B31:C31"/>
    <mergeCell ref="D31:E31"/>
    <mergeCell ref="J28:K28"/>
    <mergeCell ref="L28:M28"/>
    <mergeCell ref="N28:O28"/>
    <mergeCell ref="B28:C28"/>
    <mergeCell ref="D28:E28"/>
    <mergeCell ref="F28:G28"/>
    <mergeCell ref="H28:I28"/>
    <mergeCell ref="F31:G31"/>
    <mergeCell ref="H31:I31"/>
    <mergeCell ref="J31:K31"/>
    <mergeCell ref="L31:M31"/>
    <mergeCell ref="N31:O31"/>
    <mergeCell ref="P28:Q28"/>
    <mergeCell ref="R28:S28"/>
    <mergeCell ref="W28:X28"/>
    <mergeCell ref="R22:S22"/>
    <mergeCell ref="W22:X22"/>
    <mergeCell ref="P22:Q22"/>
    <mergeCell ref="T22:U22"/>
    <mergeCell ref="T28:U28"/>
    <mergeCell ref="B22:C22"/>
    <mergeCell ref="D22:E22"/>
    <mergeCell ref="F22:G22"/>
    <mergeCell ref="H22:I22"/>
    <mergeCell ref="J22:K22"/>
    <mergeCell ref="L22:M22"/>
    <mergeCell ref="N22:O22"/>
    <mergeCell ref="L9:M9"/>
    <mergeCell ref="N9:O9"/>
    <mergeCell ref="P9:Q9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W46:X46"/>
    <mergeCell ref="T46:U46"/>
    <mergeCell ref="W9:X9"/>
    <mergeCell ref="B9:C9"/>
    <mergeCell ref="D9:E9"/>
    <mergeCell ref="F9:G9"/>
    <mergeCell ref="H9:I9"/>
    <mergeCell ref="J9:K9"/>
    <mergeCell ref="R9:S9"/>
    <mergeCell ref="T9:U9"/>
  </mergeCells>
  <pageMargins left="0.5" right="0.5" top="0.5" bottom="0.5" header="0.3" footer="0.3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44" max="21" man="1"/>
  </rowBreaks>
  <colBreaks count="1" manualBreakCount="1">
    <brk id="21" max="1048575" man="1"/>
  </colBreaks>
  <ignoredErrors>
    <ignoredError sqref="I61:J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21"/>
  <sheetViews>
    <sheetView zoomScaleNormal="100" zoomScaleSheetLayoutView="100" workbookViewId="0">
      <pane xSplit="1" ySplit="8" topLeftCell="Q9" activePane="bottomRight" state="frozen"/>
      <selection activeCell="T35" sqref="T35:U35"/>
      <selection pane="topRight" activeCell="T35" sqref="T35:U35"/>
      <selection pane="bottomLeft" activeCell="T35" sqref="T35:U35"/>
      <selection pane="bottomRight" activeCell="T35" sqref="T35:U35"/>
    </sheetView>
  </sheetViews>
  <sheetFormatPr defaultColWidth="10.28515625" defaultRowHeight="12.75" x14ac:dyDescent="0.2"/>
  <cols>
    <col min="1" max="1" width="35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9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29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29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29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</row>
    <row r="5" spans="1:29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29" s="1" customFormat="1" ht="18.75" customHeight="1" x14ac:dyDescent="0.2">
      <c r="A6" s="701" t="s">
        <v>179</v>
      </c>
      <c r="F6" s="2"/>
      <c r="G6" s="2"/>
      <c r="H6" s="2"/>
      <c r="I6" s="2"/>
    </row>
    <row r="7" spans="1:29" s="1" customFormat="1" x14ac:dyDescent="0.2">
      <c r="A7" s="461">
        <v>3670055030</v>
      </c>
      <c r="F7" s="2"/>
      <c r="G7" s="2"/>
      <c r="H7" s="2"/>
      <c r="I7" s="2"/>
    </row>
    <row r="8" spans="1:29" s="1" customFormat="1" thickBot="1" x14ac:dyDescent="0.25">
      <c r="A8" s="462"/>
      <c r="B8" s="463"/>
      <c r="C8" s="463"/>
      <c r="D8" s="463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18" customHeight="1" thickTop="1" thickBot="1" x14ac:dyDescent="0.25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W9" s="1044" t="s">
        <v>9</v>
      </c>
      <c r="X9" s="1045"/>
    </row>
    <row r="10" spans="1:29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710" t="s">
        <v>166</v>
      </c>
      <c r="T10" s="709" t="s">
        <v>165</v>
      </c>
      <c r="U10" s="712" t="s">
        <v>166</v>
      </c>
      <c r="W10" s="713" t="s">
        <v>165</v>
      </c>
      <c r="X10" s="714" t="s">
        <v>166</v>
      </c>
    </row>
    <row r="11" spans="1:29" ht="15" customHeight="1" x14ac:dyDescent="0.2">
      <c r="A11" s="79" t="s">
        <v>149</v>
      </c>
      <c r="B11" s="7"/>
      <c r="C11" s="437"/>
      <c r="D11" s="6"/>
      <c r="E11" s="312"/>
      <c r="F11" s="7"/>
      <c r="G11" s="312"/>
      <c r="H11" s="7"/>
      <c r="I11" s="312"/>
      <c r="J11" s="7"/>
      <c r="K11" s="312"/>
      <c r="L11" s="7"/>
      <c r="M11" s="312"/>
      <c r="N11" s="7"/>
      <c r="O11" s="312"/>
      <c r="P11" s="7"/>
      <c r="Q11" s="312"/>
      <c r="R11" s="7"/>
      <c r="S11" s="312"/>
      <c r="T11" s="7"/>
      <c r="U11" s="8"/>
      <c r="V11" s="433"/>
      <c r="W11" s="434"/>
      <c r="X11" s="632"/>
    </row>
    <row r="12" spans="1:29" s="13" customFormat="1" ht="15" customHeight="1" x14ac:dyDescent="0.2">
      <c r="A12" s="10" t="s">
        <v>10</v>
      </c>
      <c r="B12" s="11">
        <v>95</v>
      </c>
      <c r="C12" s="60"/>
      <c r="D12" s="12">
        <v>89</v>
      </c>
      <c r="E12" s="62"/>
      <c r="F12" s="11">
        <v>88</v>
      </c>
      <c r="G12" s="62"/>
      <c r="H12" s="11">
        <v>86</v>
      </c>
      <c r="I12" s="62"/>
      <c r="J12" s="11">
        <v>95</v>
      </c>
      <c r="K12" s="62"/>
      <c r="L12" s="11">
        <v>105</v>
      </c>
      <c r="M12" s="62"/>
      <c r="N12" s="11">
        <v>99</v>
      </c>
      <c r="O12" s="62"/>
      <c r="P12" s="11">
        <v>110</v>
      </c>
      <c r="Q12" s="64"/>
      <c r="R12" s="11">
        <f>39+45</f>
        <v>84</v>
      </c>
      <c r="S12" s="62"/>
      <c r="T12" s="68">
        <v>75</v>
      </c>
      <c r="U12" s="66"/>
      <c r="W12" s="9">
        <f>AVERAGE(N12,L12,R12,T12,P12)</f>
        <v>94.6</v>
      </c>
      <c r="X12" s="633"/>
    </row>
    <row r="13" spans="1:29" s="13" customFormat="1" ht="15" customHeight="1" thickBot="1" x14ac:dyDescent="0.25">
      <c r="A13" s="15" t="s">
        <v>11</v>
      </c>
      <c r="B13" s="17">
        <v>223</v>
      </c>
      <c r="C13" s="61"/>
      <c r="D13" s="47">
        <v>186</v>
      </c>
      <c r="E13" s="63"/>
      <c r="F13" s="17">
        <v>154</v>
      </c>
      <c r="G13" s="63"/>
      <c r="H13" s="17">
        <v>168</v>
      </c>
      <c r="I13" s="63"/>
      <c r="J13" s="17">
        <v>172</v>
      </c>
      <c r="K13" s="63"/>
      <c r="L13" s="17">
        <v>155</v>
      </c>
      <c r="M13" s="63"/>
      <c r="N13" s="17">
        <v>168</v>
      </c>
      <c r="O13" s="63"/>
      <c r="P13" s="17">
        <v>165</v>
      </c>
      <c r="Q13" s="65"/>
      <c r="R13" s="17">
        <f>66+93</f>
        <v>159</v>
      </c>
      <c r="S13" s="63"/>
      <c r="T13" s="17">
        <v>131</v>
      </c>
      <c r="U13" s="67"/>
      <c r="W13" s="9">
        <f>AVERAGE(N13,L13,R13,T13,P13)</f>
        <v>155.6</v>
      </c>
      <c r="X13" s="634"/>
    </row>
    <row r="14" spans="1:29" s="39" customFormat="1" ht="15" customHeight="1" thickBot="1" x14ac:dyDescent="0.25">
      <c r="A14" s="52" t="s">
        <v>12</v>
      </c>
      <c r="B14" s="48">
        <f>SUM(B12:B13)</f>
        <v>318</v>
      </c>
      <c r="C14" s="53">
        <v>61</v>
      </c>
      <c r="D14" s="48">
        <f>SUM(D12:D13)</f>
        <v>275</v>
      </c>
      <c r="E14" s="53">
        <v>67</v>
      </c>
      <c r="F14" s="48">
        <f>SUM(F12:F13)</f>
        <v>242</v>
      </c>
      <c r="G14" s="53">
        <v>49</v>
      </c>
      <c r="H14" s="48">
        <f>SUM(H12:H13)</f>
        <v>254</v>
      </c>
      <c r="I14" s="53">
        <v>53</v>
      </c>
      <c r="J14" s="410">
        <f>SUM(J12:J13)</f>
        <v>267</v>
      </c>
      <c r="K14" s="53">
        <v>50</v>
      </c>
      <c r="L14" s="48">
        <f>SUM(L12:L13)</f>
        <v>260</v>
      </c>
      <c r="M14" s="53">
        <v>56</v>
      </c>
      <c r="N14" s="410">
        <f>SUM(N12:N13)</f>
        <v>267</v>
      </c>
      <c r="O14" s="53">
        <v>57</v>
      </c>
      <c r="P14" s="48">
        <f>SUM(P12:P13)</f>
        <v>275</v>
      </c>
      <c r="Q14" s="536">
        <v>54</v>
      </c>
      <c r="R14" s="537">
        <f>SUM(R12:R13)</f>
        <v>243</v>
      </c>
      <c r="S14" s="53">
        <v>54</v>
      </c>
      <c r="T14" s="537">
        <f>SUM(T12:T13)</f>
        <v>206</v>
      </c>
      <c r="U14" s="106">
        <f>SUM(U12:U13)</f>
        <v>0</v>
      </c>
      <c r="W14" s="256">
        <f>AVERAGE(N14,L14,R14,T14,P14)</f>
        <v>250.2</v>
      </c>
      <c r="X14" s="635">
        <f>AVERAGE(O14,M14,S14,K14,Q14)</f>
        <v>54.2</v>
      </c>
    </row>
    <row r="15" spans="1:29" s="39" customFormat="1" ht="15" customHeight="1" x14ac:dyDescent="0.2">
      <c r="A15" s="94" t="s">
        <v>76</v>
      </c>
      <c r="B15" s="96"/>
      <c r="C15" s="97"/>
      <c r="D15" s="96"/>
      <c r="E15" s="98"/>
      <c r="F15" s="99"/>
      <c r="G15" s="98"/>
      <c r="H15" s="99"/>
      <c r="I15" s="98"/>
      <c r="J15" s="100">
        <v>2</v>
      </c>
      <c r="K15" s="101">
        <v>2</v>
      </c>
      <c r="L15" s="100">
        <v>13</v>
      </c>
      <c r="M15" s="101">
        <v>1</v>
      </c>
      <c r="N15" s="100">
        <v>23</v>
      </c>
      <c r="O15" s="101">
        <v>6</v>
      </c>
      <c r="P15" s="100">
        <v>32</v>
      </c>
      <c r="Q15" s="102">
        <v>11</v>
      </c>
      <c r="R15" s="100">
        <v>34</v>
      </c>
      <c r="S15" s="101">
        <v>7</v>
      </c>
      <c r="T15" s="936">
        <v>39</v>
      </c>
      <c r="U15" s="937"/>
      <c r="W15" s="9">
        <f>AVERAGE(N15,L15,R15,T15,P15)</f>
        <v>28.2</v>
      </c>
      <c r="X15" s="764">
        <f t="shared" ref="X15:X16" si="0">AVERAGE(O15,M15,S15,K15,Q15)</f>
        <v>5.4</v>
      </c>
    </row>
    <row r="16" spans="1:29" s="13" customFormat="1" ht="15" customHeight="1" thickBot="1" x14ac:dyDescent="0.25">
      <c r="A16" s="405" t="s">
        <v>15</v>
      </c>
      <c r="B16" s="89">
        <v>3</v>
      </c>
      <c r="C16" s="90">
        <v>1</v>
      </c>
      <c r="D16" s="89">
        <v>5</v>
      </c>
      <c r="E16" s="91">
        <v>0</v>
      </c>
      <c r="F16" s="92">
        <v>6</v>
      </c>
      <c r="G16" s="91">
        <v>3</v>
      </c>
      <c r="H16" s="92">
        <v>8</v>
      </c>
      <c r="I16" s="91">
        <v>3</v>
      </c>
      <c r="J16" s="92">
        <v>11</v>
      </c>
      <c r="K16" s="91">
        <v>2</v>
      </c>
      <c r="L16" s="92">
        <v>11</v>
      </c>
      <c r="M16" s="91">
        <v>4</v>
      </c>
      <c r="N16" s="92">
        <v>6</v>
      </c>
      <c r="O16" s="91">
        <v>4</v>
      </c>
      <c r="P16" s="92">
        <v>7</v>
      </c>
      <c r="Q16" s="93">
        <v>2</v>
      </c>
      <c r="R16" s="92">
        <v>8</v>
      </c>
      <c r="S16" s="91">
        <v>4</v>
      </c>
      <c r="T16" s="88">
        <v>4</v>
      </c>
      <c r="U16" s="766"/>
      <c r="W16" s="9">
        <f>AVERAGE(N16,L16,R16,T16,P16)</f>
        <v>7.2</v>
      </c>
      <c r="X16" s="765">
        <f t="shared" si="0"/>
        <v>3.2</v>
      </c>
    </row>
    <row r="17" spans="1:24" ht="18" customHeight="1" thickTop="1" thickBot="1" x14ac:dyDescent="0.25">
      <c r="A17" s="219" t="s">
        <v>62</v>
      </c>
      <c r="B17" s="1048"/>
      <c r="C17" s="1047"/>
      <c r="D17" s="1048"/>
      <c r="E17" s="1047"/>
      <c r="F17" s="1048"/>
      <c r="G17" s="1047"/>
      <c r="H17" s="1048"/>
      <c r="I17" s="1047"/>
      <c r="J17" s="1048"/>
      <c r="K17" s="1047"/>
      <c r="L17" s="1048"/>
      <c r="M17" s="1047"/>
      <c r="N17" s="1048"/>
      <c r="O17" s="1047"/>
      <c r="P17" s="1048"/>
      <c r="Q17" s="1047"/>
      <c r="R17" s="1048"/>
      <c r="S17" s="1047"/>
      <c r="T17" s="1048"/>
      <c r="U17" s="1042"/>
      <c r="V17" s="157"/>
      <c r="W17" s="1041"/>
      <c r="X17" s="1042"/>
    </row>
    <row r="18" spans="1:24" ht="15" customHeight="1" x14ac:dyDescent="0.2">
      <c r="A18" s="494" t="s">
        <v>170</v>
      </c>
      <c r="B18" s="222"/>
      <c r="C18" s="402"/>
      <c r="D18" s="403"/>
      <c r="E18" s="402"/>
      <c r="F18" s="403"/>
      <c r="G18" s="402"/>
      <c r="H18" s="403"/>
      <c r="I18" s="402"/>
      <c r="J18" s="403"/>
      <c r="K18" s="402"/>
      <c r="L18" s="403"/>
      <c r="M18" s="402"/>
      <c r="N18" s="403"/>
      <c r="O18" s="402"/>
      <c r="P18" s="403"/>
      <c r="Q18" s="402"/>
      <c r="R18" s="403"/>
      <c r="S18" s="402"/>
      <c r="T18" s="403"/>
      <c r="U18" s="404"/>
      <c r="V18" s="224"/>
      <c r="W18" s="641"/>
      <c r="X18" s="225" t="e">
        <f>AVERAGE(O18,M18,S18,U18,Q18)</f>
        <v>#DIV/0!</v>
      </c>
    </row>
    <row r="19" spans="1:24" ht="15" customHeight="1" x14ac:dyDescent="0.2">
      <c r="A19" s="490" t="s">
        <v>136</v>
      </c>
      <c r="B19" s="229"/>
      <c r="C19" s="231">
        <v>0.6</v>
      </c>
      <c r="D19" s="228"/>
      <c r="E19" s="231">
        <v>0.51</v>
      </c>
      <c r="F19" s="228"/>
      <c r="G19" s="231">
        <v>0.34</v>
      </c>
      <c r="H19" s="228"/>
      <c r="I19" s="231">
        <v>0.59</v>
      </c>
      <c r="J19" s="228"/>
      <c r="K19" s="231">
        <v>0.51</v>
      </c>
      <c r="L19" s="228"/>
      <c r="M19" s="231">
        <v>0.53</v>
      </c>
      <c r="N19" s="228"/>
      <c r="O19" s="231">
        <v>0.57999999999999996</v>
      </c>
      <c r="P19" s="228"/>
      <c r="Q19" s="286">
        <v>0.44</v>
      </c>
      <c r="R19" s="228"/>
      <c r="S19" s="1018"/>
      <c r="T19" s="228"/>
      <c r="U19" s="423"/>
      <c r="V19" s="224"/>
      <c r="W19" s="280"/>
      <c r="X19" s="225">
        <f t="shared" ref="X19:X22" si="1">AVERAGE(O19,M19,S19,K19,Q19)</f>
        <v>0.51500000000000001</v>
      </c>
    </row>
    <row r="20" spans="1:24" ht="15" customHeight="1" x14ac:dyDescent="0.2">
      <c r="A20" s="491" t="s">
        <v>137</v>
      </c>
      <c r="B20" s="228"/>
      <c r="C20" s="231">
        <v>0.81</v>
      </c>
      <c r="D20" s="228"/>
      <c r="E20" s="231">
        <v>0.88</v>
      </c>
      <c r="F20" s="228"/>
      <c r="G20" s="231">
        <v>0.91</v>
      </c>
      <c r="H20" s="228"/>
      <c r="I20" s="231">
        <v>0.88</v>
      </c>
      <c r="J20" s="228"/>
      <c r="K20" s="231">
        <v>0.93</v>
      </c>
      <c r="L20" s="228"/>
      <c r="M20" s="231">
        <v>0.96</v>
      </c>
      <c r="N20" s="228"/>
      <c r="O20" s="231">
        <v>0.96</v>
      </c>
      <c r="P20" s="228"/>
      <c r="Q20" s="286">
        <v>0.87</v>
      </c>
      <c r="R20" s="228"/>
      <c r="S20" s="1018"/>
      <c r="T20" s="228"/>
      <c r="U20" s="423"/>
      <c r="V20" s="224"/>
      <c r="W20" s="280"/>
      <c r="X20" s="225">
        <f t="shared" si="1"/>
        <v>0.93</v>
      </c>
    </row>
    <row r="21" spans="1:24" ht="27" customHeight="1" x14ac:dyDescent="0.2">
      <c r="A21" s="720" t="s">
        <v>138</v>
      </c>
      <c r="B21" s="400"/>
      <c r="C21" s="401">
        <v>0.33</v>
      </c>
      <c r="D21" s="400"/>
      <c r="E21" s="401">
        <v>0.36</v>
      </c>
      <c r="F21" s="400"/>
      <c r="G21" s="401">
        <v>0.53</v>
      </c>
      <c r="H21" s="400"/>
      <c r="I21" s="401">
        <v>0.35</v>
      </c>
      <c r="J21" s="400"/>
      <c r="K21" s="401">
        <v>0.33</v>
      </c>
      <c r="L21" s="400"/>
      <c r="M21" s="401">
        <v>0.4</v>
      </c>
      <c r="N21" s="400"/>
      <c r="O21" s="401">
        <v>0.28999999999999998</v>
      </c>
      <c r="P21" s="400"/>
      <c r="Q21" s="535">
        <v>0.5</v>
      </c>
      <c r="R21" s="400"/>
      <c r="S21" s="1020"/>
      <c r="T21" s="400"/>
      <c r="U21" s="438"/>
      <c r="V21" s="224"/>
      <c r="W21" s="642"/>
      <c r="X21" s="225">
        <f t="shared" si="1"/>
        <v>0.38</v>
      </c>
    </row>
    <row r="22" spans="1:24" ht="26.25" customHeight="1" thickBot="1" x14ac:dyDescent="0.25">
      <c r="A22" s="721" t="s">
        <v>139</v>
      </c>
      <c r="B22" s="302"/>
      <c r="C22" s="303">
        <v>0.08</v>
      </c>
      <c r="D22" s="302"/>
      <c r="E22" s="303">
        <v>0.05</v>
      </c>
      <c r="F22" s="302"/>
      <c r="G22" s="303">
        <v>0</v>
      </c>
      <c r="H22" s="302"/>
      <c r="I22" s="303">
        <v>0.05</v>
      </c>
      <c r="J22" s="302"/>
      <c r="K22" s="303">
        <v>0.02</v>
      </c>
      <c r="L22" s="302"/>
      <c r="M22" s="303">
        <v>0</v>
      </c>
      <c r="N22" s="302"/>
      <c r="O22" s="303">
        <v>0.02</v>
      </c>
      <c r="P22" s="302"/>
      <c r="Q22" s="534">
        <v>0.02</v>
      </c>
      <c r="R22" s="302"/>
      <c r="S22" s="1021"/>
      <c r="T22" s="302"/>
      <c r="U22" s="424"/>
      <c r="V22" s="224"/>
      <c r="W22" s="643"/>
      <c r="X22" s="225">
        <f t="shared" si="1"/>
        <v>1.4999999999999999E-2</v>
      </c>
    </row>
    <row r="23" spans="1:24" ht="18" customHeight="1" thickTop="1" thickBot="1" x14ac:dyDescent="0.25">
      <c r="A23" s="173" t="s">
        <v>67</v>
      </c>
      <c r="B23" s="1048"/>
      <c r="C23" s="1047"/>
      <c r="D23" s="1048"/>
      <c r="E23" s="1047"/>
      <c r="F23" s="1048"/>
      <c r="G23" s="1047"/>
      <c r="H23" s="1048"/>
      <c r="I23" s="1047"/>
      <c r="J23" s="1048"/>
      <c r="K23" s="1047"/>
      <c r="L23" s="1048"/>
      <c r="M23" s="1047"/>
      <c r="N23" s="1048"/>
      <c r="O23" s="1047"/>
      <c r="P23" s="1048"/>
      <c r="Q23" s="1047"/>
      <c r="R23" s="1048"/>
      <c r="S23" s="1047"/>
      <c r="T23" s="1048"/>
      <c r="U23" s="1042"/>
      <c r="V23" s="157"/>
      <c r="W23" s="1041"/>
      <c r="X23" s="1042"/>
    </row>
    <row r="24" spans="1:24" ht="15" customHeight="1" x14ac:dyDescent="0.2">
      <c r="A24" s="496" t="s">
        <v>115</v>
      </c>
      <c r="B24" s="220"/>
      <c r="C24" s="238">
        <v>24.3</v>
      </c>
      <c r="D24" s="239"/>
      <c r="E24" s="238">
        <v>24.3</v>
      </c>
      <c r="F24" s="239"/>
      <c r="G24" s="238">
        <v>24.2</v>
      </c>
      <c r="H24" s="239"/>
      <c r="I24" s="238">
        <v>24.2</v>
      </c>
      <c r="J24" s="239"/>
      <c r="K24" s="238">
        <v>24.3</v>
      </c>
      <c r="L24" s="239"/>
      <c r="M24" s="238">
        <v>24.6</v>
      </c>
      <c r="N24" s="239"/>
      <c r="O24" s="238">
        <v>24.6</v>
      </c>
      <c r="P24" s="239"/>
      <c r="Q24" s="238">
        <v>24.5</v>
      </c>
      <c r="R24" s="239"/>
      <c r="S24" s="238">
        <v>24</v>
      </c>
      <c r="T24" s="220"/>
      <c r="U24" s="288"/>
      <c r="V24" s="157"/>
      <c r="W24" s="287"/>
      <c r="X24" s="288">
        <f>AVERAGE(O24,M24,S24,U24,Q24)</f>
        <v>24.425000000000001</v>
      </c>
    </row>
    <row r="25" spans="1:24" ht="26.25" customHeight="1" thickBot="1" x14ac:dyDescent="0.25">
      <c r="A25" s="761" t="s">
        <v>116</v>
      </c>
      <c r="B25" s="235"/>
      <c r="C25" s="236">
        <v>22.2</v>
      </c>
      <c r="D25" s="235"/>
      <c r="E25" s="236">
        <v>22.4</v>
      </c>
      <c r="F25" s="235"/>
      <c r="G25" s="236">
        <v>22.5</v>
      </c>
      <c r="H25" s="235"/>
      <c r="I25" s="236">
        <v>21.7</v>
      </c>
      <c r="J25" s="235"/>
      <c r="K25" s="236">
        <v>21.7</v>
      </c>
      <c r="L25" s="235"/>
      <c r="M25" s="236">
        <v>22.1</v>
      </c>
      <c r="N25" s="235"/>
      <c r="O25" s="236">
        <v>22.1</v>
      </c>
      <c r="P25" s="235"/>
      <c r="Q25" s="236">
        <v>22.2</v>
      </c>
      <c r="R25" s="235"/>
      <c r="S25" s="236">
        <v>23</v>
      </c>
      <c r="T25" s="235"/>
      <c r="U25" s="290"/>
      <c r="V25" s="157"/>
      <c r="W25" s="289"/>
      <c r="X25" s="290">
        <f>AVERAGE(O25,M25,S25,U25,Q25)</f>
        <v>22.35</v>
      </c>
    </row>
    <row r="26" spans="1:24" ht="18" customHeight="1" thickTop="1" thickBot="1" x14ac:dyDescent="0.25">
      <c r="A26" s="245" t="s">
        <v>16</v>
      </c>
      <c r="B26" s="1048"/>
      <c r="C26" s="1047"/>
      <c r="D26" s="1048"/>
      <c r="E26" s="1047"/>
      <c r="F26" s="1048"/>
      <c r="G26" s="1047"/>
      <c r="H26" s="1048"/>
      <c r="I26" s="1047"/>
      <c r="J26" s="1048"/>
      <c r="K26" s="1047"/>
      <c r="L26" s="1048"/>
      <c r="M26" s="1047"/>
      <c r="N26" s="1048"/>
      <c r="O26" s="1047"/>
      <c r="P26" s="1048"/>
      <c r="Q26" s="1047"/>
      <c r="R26" s="1048"/>
      <c r="S26" s="1047"/>
      <c r="T26" s="1048"/>
      <c r="U26" s="1042"/>
      <c r="V26" s="157"/>
      <c r="W26" s="1041"/>
      <c r="X26" s="1042"/>
    </row>
    <row r="27" spans="1:24" ht="15" customHeight="1" x14ac:dyDescent="0.2">
      <c r="A27" s="493" t="s">
        <v>17</v>
      </c>
      <c r="B27" s="69"/>
      <c r="C27" s="204">
        <v>1126</v>
      </c>
      <c r="D27" s="70"/>
      <c r="E27" s="71">
        <v>1045</v>
      </c>
      <c r="F27" s="69"/>
      <c r="G27" s="71">
        <v>1150</v>
      </c>
      <c r="H27" s="69"/>
      <c r="I27" s="71">
        <v>1176</v>
      </c>
      <c r="J27" s="69"/>
      <c r="K27" s="71">
        <v>1692</v>
      </c>
      <c r="L27" s="69"/>
      <c r="M27" s="71">
        <v>1816</v>
      </c>
      <c r="N27" s="69"/>
      <c r="O27" s="71">
        <v>1926</v>
      </c>
      <c r="P27" s="69"/>
      <c r="Q27" s="71">
        <v>1763</v>
      </c>
      <c r="R27" s="69"/>
      <c r="S27" s="71">
        <v>1554</v>
      </c>
      <c r="T27" s="69"/>
      <c r="U27" s="976"/>
      <c r="V27" s="157"/>
      <c r="W27" s="246"/>
      <c r="X27" s="28">
        <f t="shared" ref="X27:X31" si="2">AVERAGE(O27,M27,S27,K27,Q27)</f>
        <v>1750.2</v>
      </c>
    </row>
    <row r="28" spans="1:24" ht="15" customHeight="1" x14ac:dyDescent="0.2">
      <c r="A28" s="493" t="s">
        <v>18</v>
      </c>
      <c r="B28" s="69"/>
      <c r="C28" s="204">
        <v>4371</v>
      </c>
      <c r="D28" s="70"/>
      <c r="E28" s="71">
        <v>4184</v>
      </c>
      <c r="F28" s="69"/>
      <c r="G28" s="71">
        <v>3996</v>
      </c>
      <c r="H28" s="69"/>
      <c r="I28" s="71">
        <v>4291</v>
      </c>
      <c r="J28" s="69"/>
      <c r="K28" s="71">
        <v>4758</v>
      </c>
      <c r="L28" s="69"/>
      <c r="M28" s="71">
        <v>5280</v>
      </c>
      <c r="N28" s="69"/>
      <c r="O28" s="71">
        <v>5281</v>
      </c>
      <c r="P28" s="69"/>
      <c r="Q28" s="71">
        <v>5756</v>
      </c>
      <c r="R28" s="69"/>
      <c r="S28" s="71">
        <v>5302</v>
      </c>
      <c r="T28" s="69"/>
      <c r="U28" s="976"/>
      <c r="V28" s="157"/>
      <c r="W28" s="247"/>
      <c r="X28" s="28">
        <f t="shared" si="2"/>
        <v>5275.4</v>
      </c>
    </row>
    <row r="29" spans="1:24" ht="15" customHeight="1" x14ac:dyDescent="0.2">
      <c r="A29" s="493" t="s">
        <v>19</v>
      </c>
      <c r="B29" s="69"/>
      <c r="C29" s="204">
        <v>57</v>
      </c>
      <c r="D29" s="70"/>
      <c r="E29" s="71">
        <v>125</v>
      </c>
      <c r="F29" s="69"/>
      <c r="G29" s="71">
        <v>152</v>
      </c>
      <c r="H29" s="69"/>
      <c r="I29" s="71">
        <v>256</v>
      </c>
      <c r="J29" s="69"/>
      <c r="K29" s="71">
        <v>329</v>
      </c>
      <c r="L29" s="69"/>
      <c r="M29" s="71">
        <v>279</v>
      </c>
      <c r="N29" s="69"/>
      <c r="O29" s="71">
        <v>215</v>
      </c>
      <c r="P29" s="69"/>
      <c r="Q29" s="71">
        <v>200</v>
      </c>
      <c r="R29" s="69"/>
      <c r="S29" s="71">
        <v>156</v>
      </c>
      <c r="T29" s="69"/>
      <c r="U29" s="976"/>
      <c r="V29" s="157"/>
      <c r="W29" s="247"/>
      <c r="X29" s="28">
        <f t="shared" si="2"/>
        <v>235.8</v>
      </c>
    </row>
    <row r="30" spans="1:24" ht="15" customHeight="1" thickBot="1" x14ac:dyDescent="0.25">
      <c r="A30" s="612" t="s">
        <v>20</v>
      </c>
      <c r="B30" s="44"/>
      <c r="C30" s="613">
        <v>138</v>
      </c>
      <c r="D30" s="614"/>
      <c r="E30" s="102">
        <v>108</v>
      </c>
      <c r="F30" s="44"/>
      <c r="G30" s="102">
        <v>145</v>
      </c>
      <c r="H30" s="44"/>
      <c r="I30" s="102">
        <v>216</v>
      </c>
      <c r="J30" s="44"/>
      <c r="K30" s="102">
        <v>164</v>
      </c>
      <c r="L30" s="44"/>
      <c r="M30" s="102">
        <v>112</v>
      </c>
      <c r="N30" s="44"/>
      <c r="O30" s="102">
        <v>77</v>
      </c>
      <c r="P30" s="44"/>
      <c r="Q30" s="102">
        <v>138</v>
      </c>
      <c r="R30" s="44"/>
      <c r="S30" s="102">
        <v>86</v>
      </c>
      <c r="T30" s="44"/>
      <c r="U30" s="966"/>
      <c r="V30" s="157"/>
      <c r="W30" s="248"/>
      <c r="X30" s="277">
        <f t="shared" si="2"/>
        <v>115.4</v>
      </c>
    </row>
    <row r="31" spans="1:24" ht="15" customHeight="1" thickBot="1" x14ac:dyDescent="0.25">
      <c r="A31" s="615" t="s">
        <v>21</v>
      </c>
      <c r="B31" s="72"/>
      <c r="C31" s="73">
        <f>SUM(C27:C30)</f>
        <v>5692</v>
      </c>
      <c r="D31" s="74"/>
      <c r="E31" s="75">
        <f>SUM(E27:E30)</f>
        <v>5462</v>
      </c>
      <c r="F31" s="72"/>
      <c r="G31" s="75">
        <f>SUM(G27:G30)</f>
        <v>5443</v>
      </c>
      <c r="H31" s="72"/>
      <c r="I31" s="75">
        <f>SUM(I27:I30)</f>
        <v>5939</v>
      </c>
      <c r="J31" s="72"/>
      <c r="K31" s="75">
        <f>SUM(K27:K30)</f>
        <v>6943</v>
      </c>
      <c r="L31" s="72"/>
      <c r="M31" s="75">
        <f>SUM(M27:M30)</f>
        <v>7487</v>
      </c>
      <c r="N31" s="72"/>
      <c r="O31" s="75">
        <f>SUM(O27:O30)</f>
        <v>7499</v>
      </c>
      <c r="P31" s="72"/>
      <c r="Q31" s="75">
        <f>SUM(Q27:Q30)</f>
        <v>7857</v>
      </c>
      <c r="R31" s="72"/>
      <c r="S31" s="75">
        <f>SUM(S27:S30)</f>
        <v>7098</v>
      </c>
      <c r="T31" s="72"/>
      <c r="U31" s="977">
        <f>SUM(U27:U30)</f>
        <v>0</v>
      </c>
      <c r="V31" s="157"/>
      <c r="W31" s="260"/>
      <c r="X31" s="279">
        <f t="shared" si="2"/>
        <v>7376.8</v>
      </c>
    </row>
    <row r="32" spans="1:24" ht="15" customHeight="1" thickTop="1" thickBot="1" x14ac:dyDescent="0.25">
      <c r="A32" s="826" t="s">
        <v>182</v>
      </c>
      <c r="B32" s="250"/>
      <c r="C32" s="251"/>
      <c r="D32" s="250"/>
      <c r="E32" s="251"/>
      <c r="F32" s="250"/>
      <c r="G32" s="251"/>
      <c r="H32" s="250"/>
      <c r="I32" s="251"/>
      <c r="J32" s="250"/>
      <c r="K32" s="251"/>
      <c r="L32" s="250"/>
      <c r="M32" s="251"/>
      <c r="N32" s="250"/>
      <c r="O32" s="251"/>
      <c r="P32" s="250"/>
      <c r="Q32" s="251"/>
      <c r="R32" s="250"/>
      <c r="S32" s="251"/>
      <c r="T32" s="250"/>
      <c r="U32" s="251"/>
      <c r="V32" s="252"/>
      <c r="W32" s="253"/>
      <c r="X32" s="251"/>
    </row>
    <row r="33" spans="1:27" ht="18" customHeight="1" thickTop="1" thickBot="1" x14ac:dyDescent="0.25">
      <c r="A33" s="469" t="s">
        <v>22</v>
      </c>
      <c r="B33" s="1039" t="s">
        <v>23</v>
      </c>
      <c r="C33" s="1043"/>
      <c r="D33" s="1039" t="s">
        <v>24</v>
      </c>
      <c r="E33" s="1040"/>
      <c r="F33" s="1039" t="s">
        <v>25</v>
      </c>
      <c r="G33" s="1040"/>
      <c r="H33" s="1039" t="s">
        <v>26</v>
      </c>
      <c r="I33" s="1040"/>
      <c r="J33" s="1039" t="s">
        <v>27</v>
      </c>
      <c r="K33" s="1040"/>
      <c r="L33" s="1039" t="s">
        <v>28</v>
      </c>
      <c r="M33" s="1040"/>
      <c r="N33" s="1039" t="s">
        <v>29</v>
      </c>
      <c r="O33" s="1040"/>
      <c r="P33" s="1039" t="s">
        <v>30</v>
      </c>
      <c r="Q33" s="1040"/>
      <c r="R33" s="1039" t="s">
        <v>31</v>
      </c>
      <c r="S33" s="1040"/>
      <c r="T33" s="1039" t="s">
        <v>200</v>
      </c>
      <c r="U33" s="1051"/>
      <c r="V33" s="175"/>
      <c r="W33" s="1041" t="s">
        <v>9</v>
      </c>
      <c r="X33" s="1042"/>
      <c r="Y33" s="32"/>
      <c r="Z33" s="32"/>
      <c r="AA33" s="33"/>
    </row>
    <row r="34" spans="1:27" ht="15" customHeight="1" x14ac:dyDescent="0.2">
      <c r="A34" s="716" t="s">
        <v>167</v>
      </c>
      <c r="B34" s="176"/>
      <c r="C34" s="177">
        <v>0.79400000000000004</v>
      </c>
      <c r="D34" s="178"/>
      <c r="E34" s="179">
        <v>0.76300000000000001</v>
      </c>
      <c r="F34" s="180"/>
      <c r="G34" s="179">
        <v>0.70799999999999996</v>
      </c>
      <c r="H34" s="180"/>
      <c r="I34" s="179">
        <v>0.71799999999999997</v>
      </c>
      <c r="J34" s="180"/>
      <c r="K34" s="179">
        <v>0.73299999999999998</v>
      </c>
      <c r="L34" s="180"/>
      <c r="M34" s="179">
        <v>0.73599999999999999</v>
      </c>
      <c r="N34" s="180"/>
      <c r="O34" s="179">
        <v>0.71699999999999997</v>
      </c>
      <c r="P34" s="180"/>
      <c r="Q34" s="179">
        <v>0.71499999999999997</v>
      </c>
      <c r="R34" s="180"/>
      <c r="S34" s="179">
        <v>0.72</v>
      </c>
      <c r="T34" s="180"/>
      <c r="U34" s="181">
        <v>0.64400000000000002</v>
      </c>
      <c r="V34" s="182"/>
      <c r="W34" s="183"/>
      <c r="X34" s="184">
        <f>AVERAGE(O34,M34,S34,U34,Q34)</f>
        <v>0.70640000000000003</v>
      </c>
      <c r="Y34" s="32"/>
      <c r="Z34" s="32"/>
      <c r="AA34" s="33"/>
    </row>
    <row r="35" spans="1:27" ht="15" customHeight="1" x14ac:dyDescent="0.2">
      <c r="A35" s="717" t="s">
        <v>168</v>
      </c>
      <c r="B35" s="185"/>
      <c r="C35" s="186">
        <v>7.0000000000000001E-3</v>
      </c>
      <c r="D35" s="185"/>
      <c r="E35" s="186">
        <v>0.01</v>
      </c>
      <c r="F35" s="187"/>
      <c r="G35" s="186">
        <v>7.0000000000000001E-3</v>
      </c>
      <c r="H35" s="187"/>
      <c r="I35" s="186">
        <v>1.6E-2</v>
      </c>
      <c r="J35" s="187"/>
      <c r="K35" s="186">
        <v>2.5000000000000001E-2</v>
      </c>
      <c r="L35" s="187"/>
      <c r="M35" s="186">
        <v>2.5000000000000001E-2</v>
      </c>
      <c r="N35" s="187"/>
      <c r="O35" s="186">
        <v>1.2999999999999999E-2</v>
      </c>
      <c r="P35" s="187"/>
      <c r="Q35" s="186">
        <v>2.1999999999999999E-2</v>
      </c>
      <c r="R35" s="187"/>
      <c r="S35" s="186">
        <v>0.02</v>
      </c>
      <c r="T35" s="187"/>
      <c r="U35" s="188">
        <v>0.06</v>
      </c>
      <c r="V35" s="182"/>
      <c r="W35" s="189"/>
      <c r="X35" s="190">
        <f>AVERAGE(O35,M35,S35,U35,Q35)</f>
        <v>2.7999999999999997E-2</v>
      </c>
      <c r="Y35" s="32"/>
      <c r="Z35" s="32"/>
      <c r="AA35" s="33"/>
    </row>
    <row r="36" spans="1:27" ht="15" customHeight="1" thickBot="1" x14ac:dyDescent="0.25">
      <c r="A36" s="718" t="s">
        <v>169</v>
      </c>
      <c r="B36" s="1058">
        <f>1-C34-C35</f>
        <v>0.19899999999999995</v>
      </c>
      <c r="C36" s="1055"/>
      <c r="D36" s="1058">
        <f>1-E34-E35</f>
        <v>0.22699999999999998</v>
      </c>
      <c r="E36" s="1055"/>
      <c r="F36" s="1058">
        <f>1-G34-G35</f>
        <v>0.28500000000000003</v>
      </c>
      <c r="G36" s="1055"/>
      <c r="H36" s="1058">
        <f>1-I34-I35</f>
        <v>0.26600000000000001</v>
      </c>
      <c r="I36" s="1055"/>
      <c r="J36" s="1058">
        <f>1-K34-K35</f>
        <v>0.24200000000000002</v>
      </c>
      <c r="K36" s="1055"/>
      <c r="L36" s="1058">
        <f>1-M34-M35</f>
        <v>0.23900000000000002</v>
      </c>
      <c r="M36" s="1055"/>
      <c r="N36" s="1058">
        <f>1-O34-O35</f>
        <v>0.27</v>
      </c>
      <c r="O36" s="1055"/>
      <c r="P36" s="1058">
        <f>1-Q34-Q35</f>
        <v>0.26300000000000001</v>
      </c>
      <c r="Q36" s="1055"/>
      <c r="R36" s="1058">
        <f>1-S34-S35</f>
        <v>0.26</v>
      </c>
      <c r="S36" s="1055"/>
      <c r="T36" s="1058">
        <f>1-U34-U35</f>
        <v>0.29599999999999999</v>
      </c>
      <c r="U36" s="1057"/>
      <c r="V36" s="182"/>
      <c r="W36" s="1056">
        <f>AVERAGE(N36,L36,R36,T36,P36)</f>
        <v>0.26559999999999995</v>
      </c>
      <c r="X36" s="1057" t="e">
        <f>AVERAGE(O36,M36,I36,K36,Q36)</f>
        <v>#DIV/0!</v>
      </c>
      <c r="Y36" s="34"/>
      <c r="Z36" s="32"/>
      <c r="AA36" s="33"/>
    </row>
    <row r="37" spans="1:27" s="3" customFormat="1" ht="18" customHeight="1" thickTop="1" thickBot="1" x14ac:dyDescent="0.25">
      <c r="A37" s="158" t="s">
        <v>60</v>
      </c>
      <c r="B37" s="159" t="s">
        <v>32</v>
      </c>
      <c r="C37" s="727" t="s">
        <v>65</v>
      </c>
      <c r="D37" s="728" t="s">
        <v>32</v>
      </c>
      <c r="E37" s="160" t="s">
        <v>65</v>
      </c>
      <c r="F37" s="159" t="s">
        <v>32</v>
      </c>
      <c r="G37" s="727" t="s">
        <v>65</v>
      </c>
      <c r="H37" s="728" t="s">
        <v>32</v>
      </c>
      <c r="I37" s="160" t="s">
        <v>65</v>
      </c>
      <c r="J37" s="159" t="s">
        <v>32</v>
      </c>
      <c r="K37" s="727" t="s">
        <v>65</v>
      </c>
      <c r="L37" s="728" t="s">
        <v>32</v>
      </c>
      <c r="M37" s="160" t="s">
        <v>65</v>
      </c>
      <c r="N37" s="159" t="s">
        <v>32</v>
      </c>
      <c r="O37" s="727" t="s">
        <v>65</v>
      </c>
      <c r="P37" s="728" t="s">
        <v>32</v>
      </c>
      <c r="Q37" s="160" t="s">
        <v>65</v>
      </c>
      <c r="R37" s="728" t="s">
        <v>32</v>
      </c>
      <c r="S37" s="160" t="s">
        <v>65</v>
      </c>
      <c r="T37" s="728" t="s">
        <v>32</v>
      </c>
      <c r="U37" s="161" t="s">
        <v>65</v>
      </c>
      <c r="V37" s="162"/>
      <c r="W37" s="729" t="s">
        <v>32</v>
      </c>
      <c r="X37" s="163" t="s">
        <v>65</v>
      </c>
    </row>
    <row r="38" spans="1:27" ht="15" customHeight="1" thickBot="1" x14ac:dyDescent="0.25">
      <c r="A38" s="468" t="s">
        <v>147</v>
      </c>
      <c r="B38" s="771"/>
      <c r="C38" s="772"/>
      <c r="D38" s="771"/>
      <c r="E38" s="772"/>
      <c r="F38" s="771"/>
      <c r="G38" s="772"/>
      <c r="H38" s="415">
        <v>1</v>
      </c>
      <c r="I38" s="416">
        <f>H38/SUM(H16)</f>
        <v>0.125</v>
      </c>
      <c r="J38" s="415">
        <v>5</v>
      </c>
      <c r="K38" s="416">
        <f>J38/SUM(J16)</f>
        <v>0.45454545454545453</v>
      </c>
      <c r="L38" s="415">
        <v>4</v>
      </c>
      <c r="M38" s="416">
        <f>L38/SUM(L16)</f>
        <v>0.36363636363636365</v>
      </c>
      <c r="N38" s="415">
        <v>2</v>
      </c>
      <c r="O38" s="416">
        <f>N38/SUM(N16)</f>
        <v>0.33333333333333331</v>
      </c>
      <c r="P38" s="415">
        <v>1</v>
      </c>
      <c r="Q38" s="416">
        <f>P38/SUM(P16)</f>
        <v>0.14285714285714285</v>
      </c>
      <c r="R38" s="415">
        <v>1</v>
      </c>
      <c r="S38" s="416">
        <f>R38/SUM(R16)</f>
        <v>0.125</v>
      </c>
      <c r="T38" s="644"/>
      <c r="U38" s="645">
        <f>T38/SUM(T16)</f>
        <v>0</v>
      </c>
      <c r="V38" s="157"/>
      <c r="W38" s="171">
        <f>AVERAGE(N38,L38,R38,T38,P38)</f>
        <v>2</v>
      </c>
      <c r="X38" s="170">
        <f>W38/W16</f>
        <v>0.27777777777777779</v>
      </c>
    </row>
    <row r="39" spans="1:27" ht="15" customHeight="1" thickTop="1" x14ac:dyDescent="0.2">
      <c r="A39" s="18" t="s">
        <v>178</v>
      </c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46"/>
      <c r="W39" s="21"/>
      <c r="X39" s="22"/>
    </row>
    <row r="40" spans="1:27" s="1" customFormat="1" ht="15" customHeight="1" thickBot="1" x14ac:dyDescent="0.25">
      <c r="A40" s="249"/>
      <c r="B40" s="250"/>
      <c r="C40" s="497"/>
      <c r="D40" s="250"/>
      <c r="E40" s="497"/>
      <c r="F40" s="250"/>
      <c r="G40" s="497"/>
      <c r="H40" s="250"/>
      <c r="I40" s="497"/>
      <c r="J40" s="250"/>
      <c r="K40" s="497"/>
      <c r="L40" s="250"/>
      <c r="M40" s="497"/>
      <c r="N40" s="250"/>
      <c r="O40" s="497"/>
      <c r="P40" s="250"/>
      <c r="Q40" s="497"/>
      <c r="R40" s="250"/>
      <c r="S40" s="497"/>
      <c r="T40" s="250"/>
      <c r="U40" s="497"/>
      <c r="V40" s="498"/>
      <c r="W40" s="498"/>
      <c r="X40" s="498"/>
    </row>
    <row r="41" spans="1:27" s="1" customFormat="1" ht="18.75" customHeight="1" thickTop="1" thickBot="1" x14ac:dyDescent="0.25">
      <c r="A41" s="174" t="s">
        <v>157</v>
      </c>
      <c r="B41" s="1039" t="s">
        <v>23</v>
      </c>
      <c r="C41" s="1043"/>
      <c r="D41" s="1039" t="s">
        <v>24</v>
      </c>
      <c r="E41" s="1040"/>
      <c r="F41" s="1039" t="s">
        <v>25</v>
      </c>
      <c r="G41" s="1040"/>
      <c r="H41" s="1039" t="s">
        <v>26</v>
      </c>
      <c r="I41" s="1040"/>
      <c r="J41" s="1039" t="s">
        <v>27</v>
      </c>
      <c r="K41" s="1040"/>
      <c r="L41" s="1039" t="s">
        <v>28</v>
      </c>
      <c r="M41" s="1040"/>
      <c r="N41" s="1039" t="s">
        <v>29</v>
      </c>
      <c r="O41" s="1040"/>
      <c r="P41" s="1039" t="s">
        <v>30</v>
      </c>
      <c r="Q41" s="1040"/>
      <c r="R41" s="1039" t="s">
        <v>31</v>
      </c>
      <c r="S41" s="1040"/>
      <c r="T41" s="1039" t="s">
        <v>200</v>
      </c>
      <c r="U41" s="1051"/>
      <c r="V41" s="191"/>
      <c r="W41" s="1041" t="s">
        <v>9</v>
      </c>
      <c r="X41" s="1042"/>
    </row>
    <row r="42" spans="1:27" s="1" customFormat="1" ht="24" x14ac:dyDescent="0.2">
      <c r="A42" s="500" t="s">
        <v>171</v>
      </c>
      <c r="B42" s="502"/>
      <c r="C42" s="503"/>
      <c r="D42" s="502"/>
      <c r="E42" s="504"/>
      <c r="F42" s="502"/>
      <c r="G42" s="504"/>
      <c r="H42" s="502"/>
      <c r="I42" s="504"/>
      <c r="J42" s="502"/>
      <c r="K42" s="504"/>
      <c r="L42" s="502"/>
      <c r="M42" s="504"/>
      <c r="N42" s="502"/>
      <c r="O42" s="504"/>
      <c r="P42" s="502"/>
      <c r="Q42" s="504"/>
      <c r="R42" s="502"/>
      <c r="S42" s="504"/>
      <c r="T42" s="502"/>
      <c r="U42" s="505"/>
      <c r="V42" s="501"/>
      <c r="W42" s="954"/>
      <c r="X42" s="955"/>
    </row>
    <row r="43" spans="1:27" s="1" customFormat="1" ht="15" customHeight="1" x14ac:dyDescent="0.2">
      <c r="A43" s="698" t="s">
        <v>145</v>
      </c>
      <c r="B43" s="187"/>
      <c r="C43" s="420">
        <v>5</v>
      </c>
      <c r="D43" s="187"/>
      <c r="E43" s="420">
        <v>5</v>
      </c>
      <c r="F43" s="187"/>
      <c r="G43" s="420">
        <v>5</v>
      </c>
      <c r="H43" s="187"/>
      <c r="I43" s="420">
        <v>5</v>
      </c>
      <c r="J43" s="187"/>
      <c r="K43" s="420">
        <v>7</v>
      </c>
      <c r="L43" s="187"/>
      <c r="M43" s="420">
        <v>4</v>
      </c>
      <c r="N43" s="187"/>
      <c r="O43" s="420">
        <v>6</v>
      </c>
      <c r="P43" s="187"/>
      <c r="Q43" s="420">
        <v>6</v>
      </c>
      <c r="R43" s="187"/>
      <c r="S43" s="420">
        <v>6</v>
      </c>
      <c r="T43" s="421"/>
      <c r="U43" s="422"/>
      <c r="V43" s="191"/>
      <c r="W43" s="956"/>
      <c r="X43" s="255">
        <f>AVERAGE(O43,M43,S43,U43,Q43)</f>
        <v>5.5</v>
      </c>
    </row>
    <row r="44" spans="1:27" s="1" customFormat="1" ht="24" x14ac:dyDescent="0.2">
      <c r="A44" s="698" t="s">
        <v>163</v>
      </c>
      <c r="B44" s="421"/>
      <c r="C44" s="506">
        <v>4</v>
      </c>
      <c r="D44" s="421"/>
      <c r="E44" s="506">
        <v>4</v>
      </c>
      <c r="F44" s="421"/>
      <c r="G44" s="506">
        <v>4</v>
      </c>
      <c r="H44" s="421"/>
      <c r="I44" s="506">
        <v>4</v>
      </c>
      <c r="J44" s="421"/>
      <c r="K44" s="506">
        <v>5</v>
      </c>
      <c r="L44" s="421"/>
      <c r="M44" s="506">
        <v>4</v>
      </c>
      <c r="N44" s="421"/>
      <c r="O44" s="506">
        <v>6</v>
      </c>
      <c r="P44" s="421"/>
      <c r="Q44" s="506">
        <v>6</v>
      </c>
      <c r="R44" s="421"/>
      <c r="S44" s="506">
        <v>6</v>
      </c>
      <c r="T44" s="421"/>
      <c r="U44" s="14"/>
      <c r="V44" s="191"/>
      <c r="W44" s="957"/>
      <c r="X44" s="958">
        <f>AVERAGE(O44,M44,S44,U44,Q44)</f>
        <v>5.5</v>
      </c>
    </row>
    <row r="45" spans="1:27" s="1" customFormat="1" ht="15" customHeight="1" thickBot="1" x14ac:dyDescent="0.25">
      <c r="A45" s="722" t="s">
        <v>146</v>
      </c>
      <c r="B45" s="560"/>
      <c r="C45" s="561">
        <v>4.3</v>
      </c>
      <c r="D45" s="560"/>
      <c r="E45" s="561">
        <v>3.95</v>
      </c>
      <c r="F45" s="560"/>
      <c r="G45" s="561">
        <v>3.85</v>
      </c>
      <c r="H45" s="560"/>
      <c r="I45" s="561">
        <v>3.95</v>
      </c>
      <c r="J45" s="560"/>
      <c r="K45" s="561">
        <v>5.65</v>
      </c>
      <c r="L45" s="560"/>
      <c r="M45" s="561">
        <v>2.9</v>
      </c>
      <c r="N45" s="560"/>
      <c r="O45" s="561">
        <v>5.15</v>
      </c>
      <c r="P45" s="560"/>
      <c r="Q45" s="561">
        <v>5.4</v>
      </c>
      <c r="R45" s="560"/>
      <c r="S45" s="561">
        <v>5.4</v>
      </c>
      <c r="T45" s="562"/>
      <c r="U45" s="566"/>
      <c r="V45" s="191"/>
      <c r="W45" s="959"/>
      <c r="X45" s="960">
        <f>AVERAGE(O45,M45,S45,U45,Q45)</f>
        <v>4.7125000000000004</v>
      </c>
    </row>
    <row r="46" spans="1:27" s="1" customFormat="1" ht="18" customHeight="1" thickBot="1" x14ac:dyDescent="0.25">
      <c r="A46" s="575" t="s">
        <v>160</v>
      </c>
      <c r="B46" s="564" t="s">
        <v>33</v>
      </c>
      <c r="C46" s="647" t="s">
        <v>34</v>
      </c>
      <c r="D46" s="646" t="s">
        <v>33</v>
      </c>
      <c r="E46" s="647" t="s">
        <v>34</v>
      </c>
      <c r="F46" s="646" t="s">
        <v>33</v>
      </c>
      <c r="G46" s="647" t="s">
        <v>34</v>
      </c>
      <c r="H46" s="646" t="s">
        <v>33</v>
      </c>
      <c r="I46" s="647" t="s">
        <v>34</v>
      </c>
      <c r="J46" s="646" t="s">
        <v>33</v>
      </c>
      <c r="K46" s="647" t="s">
        <v>34</v>
      </c>
      <c r="L46" s="646" t="s">
        <v>33</v>
      </c>
      <c r="M46" s="647" t="s">
        <v>34</v>
      </c>
      <c r="N46" s="646" t="s">
        <v>33</v>
      </c>
      <c r="O46" s="647" t="s">
        <v>34</v>
      </c>
      <c r="P46" s="646" t="s">
        <v>33</v>
      </c>
      <c r="Q46" s="647" t="s">
        <v>34</v>
      </c>
      <c r="R46" s="646" t="s">
        <v>33</v>
      </c>
      <c r="S46" s="647" t="s">
        <v>34</v>
      </c>
      <c r="T46" s="646" t="s">
        <v>33</v>
      </c>
      <c r="U46" s="656" t="s">
        <v>34</v>
      </c>
      <c r="V46" s="191"/>
      <c r="W46" s="665" t="s">
        <v>33</v>
      </c>
      <c r="X46" s="961" t="s">
        <v>152</v>
      </c>
    </row>
    <row r="47" spans="1:27" s="1" customFormat="1" ht="15" customHeight="1" x14ac:dyDescent="0.2">
      <c r="A47" s="723" t="s">
        <v>35</v>
      </c>
      <c r="B47" s="648"/>
      <c r="C47" s="649"/>
      <c r="D47" s="648"/>
      <c r="E47" s="649"/>
      <c r="F47" s="648"/>
      <c r="G47" s="649"/>
      <c r="H47" s="648"/>
      <c r="I47" s="649"/>
      <c r="J47" s="648"/>
      <c r="K47" s="649"/>
      <c r="L47" s="648"/>
      <c r="M47" s="649"/>
      <c r="N47" s="648"/>
      <c r="O47" s="649"/>
      <c r="P47" s="648"/>
      <c r="Q47" s="649"/>
      <c r="R47" s="648"/>
      <c r="S47" s="649"/>
      <c r="T47" s="648"/>
      <c r="U47" s="657"/>
      <c r="V47" s="191"/>
      <c r="W47" s="662"/>
      <c r="X47" s="946"/>
    </row>
    <row r="48" spans="1:27" s="1" customFormat="1" ht="15" customHeight="1" x14ac:dyDescent="0.2">
      <c r="A48" s="724" t="s">
        <v>36</v>
      </c>
      <c r="B48" s="82"/>
      <c r="C48" s="650">
        <v>8</v>
      </c>
      <c r="D48" s="82"/>
      <c r="E48" s="650">
        <v>9</v>
      </c>
      <c r="F48" s="82"/>
      <c r="G48" s="650">
        <v>9</v>
      </c>
      <c r="H48" s="82"/>
      <c r="I48" s="650">
        <v>9</v>
      </c>
      <c r="J48" s="654">
        <v>9</v>
      </c>
      <c r="K48" s="650">
        <v>9</v>
      </c>
      <c r="L48" s="654">
        <v>7</v>
      </c>
      <c r="M48" s="650">
        <v>7</v>
      </c>
      <c r="N48" s="654">
        <v>9</v>
      </c>
      <c r="O48" s="650">
        <v>9</v>
      </c>
      <c r="P48" s="654">
        <v>8</v>
      </c>
      <c r="Q48" s="650">
        <v>8</v>
      </c>
      <c r="R48" s="654">
        <v>9</v>
      </c>
      <c r="S48" s="650">
        <v>9</v>
      </c>
      <c r="T48" s="654"/>
      <c r="U48" s="148"/>
      <c r="V48" s="191"/>
      <c r="W48" s="947">
        <f>AVERAGE(N48,L48,R48,T48,P48)</f>
        <v>8.25</v>
      </c>
      <c r="X48" s="948">
        <f>AVERAGE(O48,M48,S48,U48,Q48)</f>
        <v>8.25</v>
      </c>
    </row>
    <row r="49" spans="1:24" s="1" customFormat="1" ht="15" customHeight="1" x14ac:dyDescent="0.2">
      <c r="A49" s="724" t="s">
        <v>37</v>
      </c>
      <c r="B49" s="82"/>
      <c r="C49" s="650">
        <v>0</v>
      </c>
      <c r="D49" s="82"/>
      <c r="E49" s="650">
        <v>0</v>
      </c>
      <c r="F49" s="82"/>
      <c r="G49" s="650">
        <v>0</v>
      </c>
      <c r="H49" s="82"/>
      <c r="I49" s="650">
        <v>0</v>
      </c>
      <c r="J49" s="654">
        <v>0</v>
      </c>
      <c r="K49" s="650">
        <v>0</v>
      </c>
      <c r="L49" s="654">
        <v>1</v>
      </c>
      <c r="M49" s="650">
        <v>2</v>
      </c>
      <c r="N49" s="654">
        <v>1</v>
      </c>
      <c r="O49" s="650">
        <v>2</v>
      </c>
      <c r="P49" s="654">
        <v>1</v>
      </c>
      <c r="Q49" s="650">
        <v>2</v>
      </c>
      <c r="R49" s="654">
        <v>0</v>
      </c>
      <c r="S49" s="650">
        <v>0</v>
      </c>
      <c r="T49" s="654"/>
      <c r="U49" s="148"/>
      <c r="V49" s="191"/>
      <c r="W49" s="947">
        <f t="shared" ref="W49:X52" si="3">AVERAGE(N49,L49,R49,T49,P49)</f>
        <v>0.75</v>
      </c>
      <c r="X49" s="948">
        <f t="shared" si="3"/>
        <v>1.5</v>
      </c>
    </row>
    <row r="50" spans="1:24" s="1" customFormat="1" ht="15" customHeight="1" x14ac:dyDescent="0.2">
      <c r="A50" s="725" t="s">
        <v>38</v>
      </c>
      <c r="B50" s="651"/>
      <c r="C50" s="652"/>
      <c r="D50" s="651"/>
      <c r="E50" s="652"/>
      <c r="F50" s="651"/>
      <c r="G50" s="652"/>
      <c r="H50" s="651"/>
      <c r="I50" s="652"/>
      <c r="J50" s="651"/>
      <c r="K50" s="652"/>
      <c r="L50" s="651"/>
      <c r="M50" s="652"/>
      <c r="N50" s="651"/>
      <c r="O50" s="652"/>
      <c r="P50" s="651"/>
      <c r="Q50" s="652"/>
      <c r="R50" s="651"/>
      <c r="S50" s="652"/>
      <c r="T50" s="654"/>
      <c r="U50" s="658"/>
      <c r="V50" s="191"/>
      <c r="W50" s="947"/>
      <c r="X50" s="948"/>
    </row>
    <row r="51" spans="1:24" s="1" customFormat="1" ht="15" customHeight="1" x14ac:dyDescent="0.2">
      <c r="A51" s="724" t="s">
        <v>36</v>
      </c>
      <c r="B51" s="82"/>
      <c r="C51" s="652">
        <v>0</v>
      </c>
      <c r="D51" s="82"/>
      <c r="E51" s="652">
        <v>0</v>
      </c>
      <c r="F51" s="82"/>
      <c r="G51" s="652">
        <v>0</v>
      </c>
      <c r="H51" s="82"/>
      <c r="I51" s="652">
        <v>0</v>
      </c>
      <c r="J51" s="654">
        <v>1</v>
      </c>
      <c r="K51" s="652">
        <v>1</v>
      </c>
      <c r="L51" s="654">
        <v>2</v>
      </c>
      <c r="M51" s="652">
        <v>2</v>
      </c>
      <c r="N51" s="654">
        <v>1</v>
      </c>
      <c r="O51" s="652">
        <v>1</v>
      </c>
      <c r="P51" s="654">
        <v>1</v>
      </c>
      <c r="Q51" s="652">
        <v>1</v>
      </c>
      <c r="R51" s="654">
        <v>2</v>
      </c>
      <c r="S51" s="652">
        <v>2</v>
      </c>
      <c r="T51" s="654"/>
      <c r="U51" s="658"/>
      <c r="V51" s="191"/>
      <c r="W51" s="947">
        <f t="shared" si="3"/>
        <v>1.5</v>
      </c>
      <c r="X51" s="948">
        <f t="shared" si="3"/>
        <v>1.5</v>
      </c>
    </row>
    <row r="52" spans="1:24" s="1" customFormat="1" ht="15" customHeight="1" thickBot="1" x14ac:dyDescent="0.25">
      <c r="A52" s="726" t="s">
        <v>37</v>
      </c>
      <c r="B52" s="82"/>
      <c r="C52" s="652">
        <v>0</v>
      </c>
      <c r="D52" s="82"/>
      <c r="E52" s="652">
        <v>0</v>
      </c>
      <c r="F52" s="82"/>
      <c r="G52" s="652">
        <v>0</v>
      </c>
      <c r="H52" s="82"/>
      <c r="I52" s="652">
        <v>0</v>
      </c>
      <c r="J52" s="654">
        <v>0</v>
      </c>
      <c r="K52" s="652">
        <v>0</v>
      </c>
      <c r="L52" s="654">
        <v>0</v>
      </c>
      <c r="M52" s="652">
        <v>0</v>
      </c>
      <c r="N52" s="654">
        <v>0</v>
      </c>
      <c r="O52" s="652">
        <v>0</v>
      </c>
      <c r="P52" s="654">
        <v>0.5</v>
      </c>
      <c r="Q52" s="652">
        <v>1</v>
      </c>
      <c r="R52" s="654">
        <v>0</v>
      </c>
      <c r="S52" s="652">
        <v>0</v>
      </c>
      <c r="T52" s="659"/>
      <c r="U52" s="660"/>
      <c r="V52" s="191"/>
      <c r="W52" s="947">
        <f t="shared" si="3"/>
        <v>0.125</v>
      </c>
      <c r="X52" s="948">
        <f t="shared" si="3"/>
        <v>0.25</v>
      </c>
    </row>
    <row r="53" spans="1:24" s="1" customFormat="1" ht="15" customHeight="1" thickBot="1" x14ac:dyDescent="0.25">
      <c r="A53" s="567" t="s">
        <v>21</v>
      </c>
      <c r="B53" s="568"/>
      <c r="C53" s="653">
        <f>SUM(C48:C52)</f>
        <v>8</v>
      </c>
      <c r="D53" s="759"/>
      <c r="E53" s="653">
        <f>SUM(E48:E52)</f>
        <v>9</v>
      </c>
      <c r="F53" s="759"/>
      <c r="G53" s="653">
        <f>SUM(G48:G52)</f>
        <v>9</v>
      </c>
      <c r="H53" s="759"/>
      <c r="I53" s="653">
        <f>SUM(I48:I52)</f>
        <v>9</v>
      </c>
      <c r="J53" s="655">
        <f t="shared" ref="J53:S53" si="4">SUM(J48:J52)</f>
        <v>10</v>
      </c>
      <c r="K53" s="653">
        <f t="shared" si="4"/>
        <v>10</v>
      </c>
      <c r="L53" s="655">
        <f t="shared" si="4"/>
        <v>10</v>
      </c>
      <c r="M53" s="653">
        <f t="shared" si="4"/>
        <v>11</v>
      </c>
      <c r="N53" s="655">
        <f t="shared" si="4"/>
        <v>11</v>
      </c>
      <c r="O53" s="653">
        <f t="shared" si="4"/>
        <v>12</v>
      </c>
      <c r="P53" s="655">
        <f t="shared" si="4"/>
        <v>10.5</v>
      </c>
      <c r="Q53" s="653">
        <f t="shared" si="4"/>
        <v>12</v>
      </c>
      <c r="R53" s="655">
        <f t="shared" si="4"/>
        <v>11</v>
      </c>
      <c r="S53" s="653">
        <f t="shared" si="4"/>
        <v>11</v>
      </c>
      <c r="T53" s="655">
        <f t="shared" ref="T53:U53" si="5">SUM(T48:T52)</f>
        <v>0</v>
      </c>
      <c r="U53" s="661">
        <f t="shared" si="5"/>
        <v>0</v>
      </c>
      <c r="V53" s="191"/>
      <c r="W53" s="949">
        <f>AVERAGE(N53,L53,R53,T53,P53)</f>
        <v>8.5</v>
      </c>
      <c r="X53" s="950">
        <f>AVERAGE(O53,M53,S53,U53,Q53)</f>
        <v>9.1999999999999993</v>
      </c>
    </row>
    <row r="54" spans="1:24" s="1" customFormat="1" ht="18" customHeight="1" thickBot="1" x14ac:dyDescent="0.25">
      <c r="A54" s="575" t="s">
        <v>161</v>
      </c>
      <c r="B54" s="554" t="s">
        <v>32</v>
      </c>
      <c r="C54" s="555" t="s">
        <v>39</v>
      </c>
      <c r="D54" s="554" t="s">
        <v>32</v>
      </c>
      <c r="E54" s="556" t="s">
        <v>39</v>
      </c>
      <c r="F54" s="557" t="s">
        <v>32</v>
      </c>
      <c r="G54" s="556" t="s">
        <v>39</v>
      </c>
      <c r="H54" s="557" t="s">
        <v>32</v>
      </c>
      <c r="I54" s="556" t="s">
        <v>39</v>
      </c>
      <c r="J54" s="557" t="s">
        <v>32</v>
      </c>
      <c r="K54" s="556" t="s">
        <v>39</v>
      </c>
      <c r="L54" s="557" t="s">
        <v>32</v>
      </c>
      <c r="M54" s="556" t="s">
        <v>39</v>
      </c>
      <c r="N54" s="557" t="s">
        <v>32</v>
      </c>
      <c r="O54" s="556" t="s">
        <v>39</v>
      </c>
      <c r="P54" s="557" t="s">
        <v>32</v>
      </c>
      <c r="Q54" s="556" t="s">
        <v>39</v>
      </c>
      <c r="R54" s="557" t="s">
        <v>32</v>
      </c>
      <c r="S54" s="556" t="s">
        <v>39</v>
      </c>
      <c r="T54" s="557" t="s">
        <v>32</v>
      </c>
      <c r="U54" s="558" t="s">
        <v>39</v>
      </c>
      <c r="V54" s="191"/>
      <c r="W54" s="951" t="s">
        <v>32</v>
      </c>
      <c r="X54" s="656" t="s">
        <v>39</v>
      </c>
    </row>
    <row r="55" spans="1:24" s="1" customFormat="1" ht="18" customHeight="1" x14ac:dyDescent="0.2">
      <c r="A55" s="723" t="s">
        <v>162</v>
      </c>
      <c r="B55" s="576"/>
      <c r="C55" s="577"/>
      <c r="D55" s="220"/>
      <c r="E55" s="629"/>
      <c r="F55" s="630"/>
      <c r="G55" s="629"/>
      <c r="H55" s="630"/>
      <c r="I55" s="629"/>
      <c r="J55" s="630"/>
      <c r="K55" s="629"/>
      <c r="L55" s="630"/>
      <c r="M55" s="629"/>
      <c r="N55" s="630"/>
      <c r="O55" s="629"/>
      <c r="P55" s="630"/>
      <c r="Q55" s="629"/>
      <c r="R55" s="630"/>
      <c r="S55" s="629"/>
      <c r="T55" s="630"/>
      <c r="U55" s="585"/>
      <c r="V55" s="191"/>
      <c r="W55" s="952"/>
      <c r="X55" s="585"/>
    </row>
    <row r="56" spans="1:24" s="1" customFormat="1" ht="15" customHeight="1" x14ac:dyDescent="0.2">
      <c r="A56" s="508" t="s">
        <v>40</v>
      </c>
      <c r="B56" s="509">
        <v>6</v>
      </c>
      <c r="C56" s="510">
        <f t="shared" ref="C56:C63" si="6">B56/C$53</f>
        <v>0.75</v>
      </c>
      <c r="D56" s="509">
        <v>7</v>
      </c>
      <c r="E56" s="511">
        <f t="shared" ref="E56:K63" si="7">D56/E$53</f>
        <v>0.77777777777777779</v>
      </c>
      <c r="F56" s="512">
        <v>7</v>
      </c>
      <c r="G56" s="511">
        <f t="shared" si="7"/>
        <v>0.77777777777777779</v>
      </c>
      <c r="H56" s="512">
        <v>7</v>
      </c>
      <c r="I56" s="511">
        <f t="shared" ref="I56:I63" si="8">H56/I$53</f>
        <v>0.77777777777777779</v>
      </c>
      <c r="J56" s="512">
        <f>6</f>
        <v>6</v>
      </c>
      <c r="K56" s="511">
        <f t="shared" si="7"/>
        <v>0.6</v>
      </c>
      <c r="L56" s="512">
        <v>8</v>
      </c>
      <c r="M56" s="511">
        <f t="shared" ref="M56:M61" si="9">L56/M$53</f>
        <v>0.72727272727272729</v>
      </c>
      <c r="N56" s="512">
        <v>8</v>
      </c>
      <c r="O56" s="511">
        <f t="shared" ref="O56:Q61" si="10">N56/O$53</f>
        <v>0.66666666666666663</v>
      </c>
      <c r="P56" s="512">
        <v>9</v>
      </c>
      <c r="Q56" s="511">
        <f t="shared" si="10"/>
        <v>0.75</v>
      </c>
      <c r="R56" s="512">
        <v>7</v>
      </c>
      <c r="S56" s="511">
        <f t="shared" ref="S56:S61" si="11">R56/S$53</f>
        <v>0.63636363636363635</v>
      </c>
      <c r="T56" s="512"/>
      <c r="U56" s="513" t="e">
        <f t="shared" ref="U56:U61" si="12">T56/U$53</f>
        <v>#DIV/0!</v>
      </c>
      <c r="V56" s="198"/>
      <c r="W56" s="947">
        <f t="shared" ref="W56:W75" si="13">AVERAGE(N56,L56,R56,T56,P56)</f>
        <v>8</v>
      </c>
      <c r="X56" s="199" t="e">
        <f>AVERAGE(O56,M56,U56,S56,Q56)</f>
        <v>#DIV/0!</v>
      </c>
    </row>
    <row r="57" spans="1:24" s="1" customFormat="1" ht="15" customHeight="1" x14ac:dyDescent="0.2">
      <c r="A57" s="200" t="s">
        <v>41</v>
      </c>
      <c r="B57" s="193">
        <v>0</v>
      </c>
      <c r="C57" s="194">
        <f t="shared" si="6"/>
        <v>0</v>
      </c>
      <c r="D57" s="193">
        <v>0</v>
      </c>
      <c r="E57" s="195">
        <f t="shared" si="7"/>
        <v>0</v>
      </c>
      <c r="F57" s="196">
        <v>0</v>
      </c>
      <c r="G57" s="195">
        <f t="shared" si="7"/>
        <v>0</v>
      </c>
      <c r="H57" s="196">
        <v>0</v>
      </c>
      <c r="I57" s="195">
        <f t="shared" si="8"/>
        <v>0</v>
      </c>
      <c r="J57" s="196">
        <f>0</f>
        <v>0</v>
      </c>
      <c r="K57" s="195">
        <f t="shared" si="7"/>
        <v>0</v>
      </c>
      <c r="L57" s="196">
        <v>0</v>
      </c>
      <c r="M57" s="195">
        <f t="shared" si="9"/>
        <v>0</v>
      </c>
      <c r="N57" s="196">
        <v>0</v>
      </c>
      <c r="O57" s="195">
        <f t="shared" si="10"/>
        <v>0</v>
      </c>
      <c r="P57" s="196">
        <v>0</v>
      </c>
      <c r="Q57" s="195">
        <f t="shared" si="10"/>
        <v>0</v>
      </c>
      <c r="R57" s="196">
        <v>0</v>
      </c>
      <c r="S57" s="195">
        <f t="shared" si="11"/>
        <v>0</v>
      </c>
      <c r="T57" s="196"/>
      <c r="U57" s="197" t="e">
        <f t="shared" si="12"/>
        <v>#DIV/0!</v>
      </c>
      <c r="V57" s="198"/>
      <c r="W57" s="947">
        <f t="shared" si="13"/>
        <v>0</v>
      </c>
      <c r="X57" s="199" t="e">
        <f t="shared" ref="X57:X75" si="14">AVERAGE(O57,M57,U57,S57,Q57)</f>
        <v>#DIV/0!</v>
      </c>
    </row>
    <row r="58" spans="1:24" s="1" customFormat="1" ht="15" customHeight="1" x14ac:dyDescent="0.2">
      <c r="A58" s="200" t="s">
        <v>42</v>
      </c>
      <c r="B58" s="193">
        <v>0</v>
      </c>
      <c r="C58" s="194">
        <f t="shared" si="6"/>
        <v>0</v>
      </c>
      <c r="D58" s="193">
        <v>0</v>
      </c>
      <c r="E58" s="195">
        <f t="shared" si="7"/>
        <v>0</v>
      </c>
      <c r="F58" s="196">
        <v>0</v>
      </c>
      <c r="G58" s="195">
        <f t="shared" si="7"/>
        <v>0</v>
      </c>
      <c r="H58" s="196">
        <v>0</v>
      </c>
      <c r="I58" s="195">
        <f t="shared" si="8"/>
        <v>0</v>
      </c>
      <c r="J58" s="196">
        <f>0</f>
        <v>0</v>
      </c>
      <c r="K58" s="195">
        <f t="shared" si="7"/>
        <v>0</v>
      </c>
      <c r="L58" s="196">
        <v>0</v>
      </c>
      <c r="M58" s="195">
        <f t="shared" si="9"/>
        <v>0</v>
      </c>
      <c r="N58" s="196">
        <v>0</v>
      </c>
      <c r="O58" s="195">
        <f t="shared" si="10"/>
        <v>0</v>
      </c>
      <c r="P58" s="196">
        <v>0</v>
      </c>
      <c r="Q58" s="195">
        <f t="shared" si="10"/>
        <v>0</v>
      </c>
      <c r="R58" s="196">
        <v>1</v>
      </c>
      <c r="S58" s="195">
        <f t="shared" si="11"/>
        <v>9.0909090909090912E-2</v>
      </c>
      <c r="T58" s="196"/>
      <c r="U58" s="197" t="e">
        <f t="shared" si="12"/>
        <v>#DIV/0!</v>
      </c>
      <c r="V58" s="198"/>
      <c r="W58" s="947">
        <f t="shared" si="13"/>
        <v>0.25</v>
      </c>
      <c r="X58" s="199" t="e">
        <f t="shared" si="14"/>
        <v>#DIV/0!</v>
      </c>
    </row>
    <row r="59" spans="1:24" s="1" customFormat="1" ht="15" customHeight="1" x14ac:dyDescent="0.2">
      <c r="A59" s="200" t="s">
        <v>43</v>
      </c>
      <c r="B59" s="193">
        <v>0</v>
      </c>
      <c r="C59" s="194">
        <f t="shared" si="6"/>
        <v>0</v>
      </c>
      <c r="D59" s="193">
        <v>0</v>
      </c>
      <c r="E59" s="195">
        <f t="shared" si="7"/>
        <v>0</v>
      </c>
      <c r="F59" s="196">
        <v>0</v>
      </c>
      <c r="G59" s="195">
        <f t="shared" si="7"/>
        <v>0</v>
      </c>
      <c r="H59" s="196">
        <v>0</v>
      </c>
      <c r="I59" s="195">
        <f t="shared" si="8"/>
        <v>0</v>
      </c>
      <c r="J59" s="196">
        <f>0</f>
        <v>0</v>
      </c>
      <c r="K59" s="195">
        <f t="shared" si="7"/>
        <v>0</v>
      </c>
      <c r="L59" s="196">
        <v>0</v>
      </c>
      <c r="M59" s="195">
        <f t="shared" si="9"/>
        <v>0</v>
      </c>
      <c r="N59" s="196">
        <v>0</v>
      </c>
      <c r="O59" s="195">
        <f t="shared" si="10"/>
        <v>0</v>
      </c>
      <c r="P59" s="196">
        <v>0</v>
      </c>
      <c r="Q59" s="195">
        <f t="shared" si="10"/>
        <v>0</v>
      </c>
      <c r="R59" s="196">
        <v>0</v>
      </c>
      <c r="S59" s="195">
        <f t="shared" si="11"/>
        <v>0</v>
      </c>
      <c r="T59" s="196"/>
      <c r="U59" s="197" t="e">
        <f t="shared" si="12"/>
        <v>#DIV/0!</v>
      </c>
      <c r="V59" s="198"/>
      <c r="W59" s="947">
        <f t="shared" si="13"/>
        <v>0</v>
      </c>
      <c r="X59" s="199" t="e">
        <f t="shared" si="14"/>
        <v>#DIV/0!</v>
      </c>
    </row>
    <row r="60" spans="1:24" s="1" customFormat="1" ht="15" customHeight="1" x14ac:dyDescent="0.2">
      <c r="A60" s="200" t="s">
        <v>44</v>
      </c>
      <c r="B60" s="193">
        <v>0</v>
      </c>
      <c r="C60" s="194">
        <f t="shared" si="6"/>
        <v>0</v>
      </c>
      <c r="D60" s="193">
        <v>1</v>
      </c>
      <c r="E60" s="195">
        <f t="shared" si="7"/>
        <v>0.1111111111111111</v>
      </c>
      <c r="F60" s="196">
        <v>2</v>
      </c>
      <c r="G60" s="195">
        <f t="shared" si="7"/>
        <v>0.22222222222222221</v>
      </c>
      <c r="H60" s="196">
        <v>2</v>
      </c>
      <c r="I60" s="195">
        <f t="shared" si="8"/>
        <v>0.22222222222222221</v>
      </c>
      <c r="J60" s="196">
        <f>2</f>
        <v>2</v>
      </c>
      <c r="K60" s="195">
        <f t="shared" si="7"/>
        <v>0.2</v>
      </c>
      <c r="L60" s="196">
        <v>2</v>
      </c>
      <c r="M60" s="195">
        <f t="shared" si="9"/>
        <v>0.18181818181818182</v>
      </c>
      <c r="N60" s="196">
        <v>1</v>
      </c>
      <c r="O60" s="195">
        <f t="shared" si="10"/>
        <v>8.3333333333333329E-2</v>
      </c>
      <c r="P60" s="196">
        <v>1</v>
      </c>
      <c r="Q60" s="195">
        <f t="shared" si="10"/>
        <v>8.3333333333333329E-2</v>
      </c>
      <c r="R60" s="196">
        <v>1</v>
      </c>
      <c r="S60" s="195">
        <f t="shared" si="11"/>
        <v>9.0909090909090912E-2</v>
      </c>
      <c r="T60" s="196"/>
      <c r="U60" s="197" t="e">
        <f t="shared" si="12"/>
        <v>#DIV/0!</v>
      </c>
      <c r="V60" s="198"/>
      <c r="W60" s="947">
        <f t="shared" si="13"/>
        <v>1.25</v>
      </c>
      <c r="X60" s="199" t="e">
        <f t="shared" si="14"/>
        <v>#DIV/0!</v>
      </c>
    </row>
    <row r="61" spans="1:24" s="1" customFormat="1" ht="15" customHeight="1" x14ac:dyDescent="0.2">
      <c r="A61" s="200" t="s">
        <v>45</v>
      </c>
      <c r="B61" s="193">
        <v>2</v>
      </c>
      <c r="C61" s="194">
        <f t="shared" si="6"/>
        <v>0.25</v>
      </c>
      <c r="D61" s="193">
        <v>1</v>
      </c>
      <c r="E61" s="195">
        <f t="shared" si="7"/>
        <v>0.1111111111111111</v>
      </c>
      <c r="F61" s="196">
        <v>0</v>
      </c>
      <c r="G61" s="195">
        <f t="shared" si="7"/>
        <v>0</v>
      </c>
      <c r="H61" s="196">
        <v>0</v>
      </c>
      <c r="I61" s="195">
        <f t="shared" si="8"/>
        <v>0</v>
      </c>
      <c r="J61" s="196">
        <f>1</f>
        <v>1</v>
      </c>
      <c r="K61" s="195">
        <f t="shared" si="7"/>
        <v>0.1</v>
      </c>
      <c r="L61" s="196">
        <v>0</v>
      </c>
      <c r="M61" s="195">
        <f t="shared" si="9"/>
        <v>0</v>
      </c>
      <c r="N61" s="196">
        <v>2</v>
      </c>
      <c r="O61" s="195">
        <f t="shared" si="10"/>
        <v>0.16666666666666666</v>
      </c>
      <c r="P61" s="196">
        <v>1</v>
      </c>
      <c r="Q61" s="195">
        <f t="shared" si="10"/>
        <v>8.3333333333333329E-2</v>
      </c>
      <c r="R61" s="196">
        <v>2</v>
      </c>
      <c r="S61" s="195">
        <f t="shared" si="11"/>
        <v>0.18181818181818182</v>
      </c>
      <c r="T61" s="196"/>
      <c r="U61" s="197" t="e">
        <f t="shared" si="12"/>
        <v>#DIV/0!</v>
      </c>
      <c r="V61" s="198"/>
      <c r="W61" s="947">
        <f t="shared" si="13"/>
        <v>1.25</v>
      </c>
      <c r="X61" s="199" t="e">
        <f t="shared" si="14"/>
        <v>#DIV/0!</v>
      </c>
    </row>
    <row r="62" spans="1:24" s="1" customFormat="1" ht="15" customHeight="1" x14ac:dyDescent="0.2">
      <c r="A62" s="200" t="s">
        <v>46</v>
      </c>
      <c r="B62" s="201"/>
      <c r="C62" s="194"/>
      <c r="D62" s="201"/>
      <c r="E62" s="195"/>
      <c r="F62" s="202"/>
      <c r="G62" s="195"/>
      <c r="H62" s="202">
        <v>0</v>
      </c>
      <c r="I62" s="195">
        <f t="shared" si="8"/>
        <v>0</v>
      </c>
      <c r="J62" s="202">
        <f>0</f>
        <v>0</v>
      </c>
      <c r="K62" s="195">
        <f>J62/K$53</f>
        <v>0</v>
      </c>
      <c r="L62" s="202">
        <v>0</v>
      </c>
      <c r="M62" s="195">
        <f>L62/M$53</f>
        <v>0</v>
      </c>
      <c r="N62" s="202">
        <v>0</v>
      </c>
      <c r="O62" s="195">
        <f>N62/O$53</f>
        <v>0</v>
      </c>
      <c r="P62" s="202">
        <v>0</v>
      </c>
      <c r="Q62" s="195">
        <f>P62/Q$53</f>
        <v>0</v>
      </c>
      <c r="R62" s="202">
        <v>0</v>
      </c>
      <c r="S62" s="195">
        <f>R62/S$53</f>
        <v>0</v>
      </c>
      <c r="T62" s="196"/>
      <c r="U62" s="197" t="e">
        <f>T62/U$53</f>
        <v>#DIV/0!</v>
      </c>
      <c r="V62" s="198"/>
      <c r="W62" s="947">
        <f t="shared" si="13"/>
        <v>0</v>
      </c>
      <c r="X62" s="199" t="e">
        <f t="shared" si="14"/>
        <v>#DIV/0!</v>
      </c>
    </row>
    <row r="63" spans="1:24" s="1" customFormat="1" ht="15" customHeight="1" thickBot="1" x14ac:dyDescent="0.25">
      <c r="A63" s="521" t="s">
        <v>47</v>
      </c>
      <c r="B63" s="522">
        <v>0</v>
      </c>
      <c r="C63" s="523">
        <f t="shared" si="6"/>
        <v>0</v>
      </c>
      <c r="D63" s="522">
        <v>0</v>
      </c>
      <c r="E63" s="524">
        <f t="shared" si="7"/>
        <v>0</v>
      </c>
      <c r="F63" s="525">
        <v>0</v>
      </c>
      <c r="G63" s="524">
        <f t="shared" si="7"/>
        <v>0</v>
      </c>
      <c r="H63" s="525">
        <v>0</v>
      </c>
      <c r="I63" s="524">
        <f t="shared" si="8"/>
        <v>0</v>
      </c>
      <c r="J63" s="525">
        <f>1</f>
        <v>1</v>
      </c>
      <c r="K63" s="524">
        <f t="shared" si="7"/>
        <v>0.1</v>
      </c>
      <c r="L63" s="525">
        <v>1</v>
      </c>
      <c r="M63" s="524">
        <f>L63/M$53</f>
        <v>9.0909090909090912E-2</v>
      </c>
      <c r="N63" s="525">
        <v>1</v>
      </c>
      <c r="O63" s="524">
        <f>N63/O$53</f>
        <v>8.3333333333333329E-2</v>
      </c>
      <c r="P63" s="525">
        <v>1</v>
      </c>
      <c r="Q63" s="524">
        <f>P63/Q$53</f>
        <v>8.3333333333333329E-2</v>
      </c>
      <c r="R63" s="525">
        <v>0</v>
      </c>
      <c r="S63" s="524">
        <f>R63/S$53</f>
        <v>0</v>
      </c>
      <c r="T63" s="525"/>
      <c r="U63" s="526" t="e">
        <f>T63/U$53</f>
        <v>#DIV/0!</v>
      </c>
      <c r="V63" s="198"/>
      <c r="W63" s="947">
        <f t="shared" si="13"/>
        <v>0.75</v>
      </c>
      <c r="X63" s="199" t="e">
        <f t="shared" si="14"/>
        <v>#DIV/0!</v>
      </c>
    </row>
    <row r="64" spans="1:24" s="1" customFormat="1" ht="18" customHeight="1" x14ac:dyDescent="0.2">
      <c r="A64" s="723" t="s">
        <v>48</v>
      </c>
      <c r="B64" s="514"/>
      <c r="C64" s="515"/>
      <c r="D64" s="514"/>
      <c r="E64" s="516"/>
      <c r="F64" s="517"/>
      <c r="G64" s="516"/>
      <c r="H64" s="517"/>
      <c r="I64" s="516"/>
      <c r="J64" s="517"/>
      <c r="K64" s="516"/>
      <c r="L64" s="517"/>
      <c r="M64" s="516"/>
      <c r="N64" s="517"/>
      <c r="O64" s="516"/>
      <c r="P64" s="517"/>
      <c r="Q64" s="516"/>
      <c r="R64" s="517"/>
      <c r="S64" s="516"/>
      <c r="T64" s="517"/>
      <c r="U64" s="518"/>
      <c r="V64" s="198"/>
      <c r="W64" s="947"/>
      <c r="X64" s="199"/>
    </row>
    <row r="65" spans="1:24" s="1" customFormat="1" ht="15" customHeight="1" x14ac:dyDescent="0.2">
      <c r="A65" s="192" t="s">
        <v>49</v>
      </c>
      <c r="B65" s="203">
        <v>5</v>
      </c>
      <c r="C65" s="194">
        <f>B65/C$53</f>
        <v>0.625</v>
      </c>
      <c r="D65" s="203">
        <v>4</v>
      </c>
      <c r="E65" s="195">
        <f>D65/E$53</f>
        <v>0.44444444444444442</v>
      </c>
      <c r="F65" s="204">
        <v>4</v>
      </c>
      <c r="G65" s="195">
        <f>F65/G$53</f>
        <v>0.44444444444444442</v>
      </c>
      <c r="H65" s="204">
        <v>4</v>
      </c>
      <c r="I65" s="195">
        <f>H65/I$53</f>
        <v>0.44444444444444442</v>
      </c>
      <c r="J65" s="204">
        <f>4</f>
        <v>4</v>
      </c>
      <c r="K65" s="195">
        <f>J65/K$53</f>
        <v>0.4</v>
      </c>
      <c r="L65" s="204">
        <v>4</v>
      </c>
      <c r="M65" s="195">
        <f>L65/M$53</f>
        <v>0.36363636363636365</v>
      </c>
      <c r="N65" s="204">
        <v>5</v>
      </c>
      <c r="O65" s="195">
        <f>N65/O$53</f>
        <v>0.41666666666666669</v>
      </c>
      <c r="P65" s="204">
        <v>4</v>
      </c>
      <c r="Q65" s="195">
        <f>P65/Q$53</f>
        <v>0.33333333333333331</v>
      </c>
      <c r="R65" s="204">
        <v>4</v>
      </c>
      <c r="S65" s="195">
        <f>R65/S$53</f>
        <v>0.36363636363636365</v>
      </c>
      <c r="T65" s="204"/>
      <c r="U65" s="197" t="e">
        <f>T65/U$53</f>
        <v>#DIV/0!</v>
      </c>
      <c r="V65" s="198"/>
      <c r="W65" s="947">
        <f t="shared" si="13"/>
        <v>4.25</v>
      </c>
      <c r="X65" s="199" t="e">
        <f t="shared" si="14"/>
        <v>#DIV/0!</v>
      </c>
    </row>
    <row r="66" spans="1:24" s="1" customFormat="1" ht="15" customHeight="1" thickBot="1" x14ac:dyDescent="0.25">
      <c r="A66" s="521" t="s">
        <v>50</v>
      </c>
      <c r="B66" s="527">
        <v>3</v>
      </c>
      <c r="C66" s="523">
        <f>B66/C$53</f>
        <v>0.375</v>
      </c>
      <c r="D66" s="527">
        <v>5</v>
      </c>
      <c r="E66" s="524">
        <f>D66/E$53</f>
        <v>0.55555555555555558</v>
      </c>
      <c r="F66" s="528">
        <v>5</v>
      </c>
      <c r="G66" s="524">
        <f>F66/G$53</f>
        <v>0.55555555555555558</v>
      </c>
      <c r="H66" s="528">
        <v>5</v>
      </c>
      <c r="I66" s="524">
        <f>H66/I$53</f>
        <v>0.55555555555555558</v>
      </c>
      <c r="J66" s="528">
        <f>6</f>
        <v>6</v>
      </c>
      <c r="K66" s="524">
        <f>J66/K$53</f>
        <v>0.6</v>
      </c>
      <c r="L66" s="528">
        <v>7</v>
      </c>
      <c r="M66" s="524">
        <f>L66/M$53</f>
        <v>0.63636363636363635</v>
      </c>
      <c r="N66" s="528">
        <v>7</v>
      </c>
      <c r="O66" s="524">
        <f>N66/O$53</f>
        <v>0.58333333333333337</v>
      </c>
      <c r="P66" s="528">
        <v>8</v>
      </c>
      <c r="Q66" s="524">
        <f>P66/Q$53</f>
        <v>0.66666666666666663</v>
      </c>
      <c r="R66" s="528">
        <v>7</v>
      </c>
      <c r="S66" s="524">
        <f>R66/S$53</f>
        <v>0.63636363636363635</v>
      </c>
      <c r="T66" s="528"/>
      <c r="U66" s="526" t="e">
        <f>T66/U$53</f>
        <v>#DIV/0!</v>
      </c>
      <c r="V66" s="198"/>
      <c r="W66" s="947">
        <f t="shared" si="13"/>
        <v>7.25</v>
      </c>
      <c r="X66" s="199" t="e">
        <f t="shared" si="14"/>
        <v>#DIV/0!</v>
      </c>
    </row>
    <row r="67" spans="1:24" s="1" customFormat="1" ht="18" customHeight="1" x14ac:dyDescent="0.2">
      <c r="A67" s="723" t="s">
        <v>51</v>
      </c>
      <c r="B67" s="519"/>
      <c r="C67" s="510"/>
      <c r="D67" s="519"/>
      <c r="E67" s="511"/>
      <c r="F67" s="520"/>
      <c r="G67" s="511"/>
      <c r="H67" s="520"/>
      <c r="I67" s="511"/>
      <c r="J67" s="520"/>
      <c r="K67" s="511"/>
      <c r="L67" s="520"/>
      <c r="M67" s="511"/>
      <c r="N67" s="520"/>
      <c r="O67" s="511"/>
      <c r="P67" s="520"/>
      <c r="Q67" s="511"/>
      <c r="R67" s="520"/>
      <c r="S67" s="511"/>
      <c r="T67" s="520"/>
      <c r="U67" s="513"/>
      <c r="V67" s="198"/>
      <c r="W67" s="947"/>
      <c r="X67" s="199"/>
    </row>
    <row r="68" spans="1:24" s="1" customFormat="1" ht="15" customHeight="1" x14ac:dyDescent="0.2">
      <c r="A68" s="192" t="s">
        <v>52</v>
      </c>
      <c r="B68" s="205">
        <v>3</v>
      </c>
      <c r="C68" s="194">
        <f>B68/C$53</f>
        <v>0.375</v>
      </c>
      <c r="D68" s="205">
        <v>3</v>
      </c>
      <c r="E68" s="195">
        <f>D68/E$53</f>
        <v>0.33333333333333331</v>
      </c>
      <c r="F68" s="206">
        <v>3</v>
      </c>
      <c r="G68" s="195">
        <f>F68/G$53</f>
        <v>0.33333333333333331</v>
      </c>
      <c r="H68" s="206">
        <v>3</v>
      </c>
      <c r="I68" s="195">
        <f>H68/I$53</f>
        <v>0.33333333333333331</v>
      </c>
      <c r="J68" s="206">
        <f>3</f>
        <v>3</v>
      </c>
      <c r="K68" s="195">
        <f>J68/K$53</f>
        <v>0.3</v>
      </c>
      <c r="L68" s="206">
        <v>2</v>
      </c>
      <c r="M68" s="195">
        <f>L68/M$53</f>
        <v>0.18181818181818182</v>
      </c>
      <c r="N68" s="206">
        <v>6</v>
      </c>
      <c r="O68" s="195">
        <f>N68/O$53</f>
        <v>0.5</v>
      </c>
      <c r="P68" s="206">
        <v>8</v>
      </c>
      <c r="Q68" s="195">
        <f>P68/Q$53</f>
        <v>0.66666666666666663</v>
      </c>
      <c r="R68" s="206">
        <v>4</v>
      </c>
      <c r="S68" s="195">
        <f>R68/S$53</f>
        <v>0.36363636363636365</v>
      </c>
      <c r="T68" s="206"/>
      <c r="U68" s="197" t="e">
        <f>T68/U$53</f>
        <v>#DIV/0!</v>
      </c>
      <c r="V68" s="198"/>
      <c r="W68" s="947">
        <f t="shared" si="13"/>
        <v>5</v>
      </c>
      <c r="X68" s="199" t="e">
        <f t="shared" si="14"/>
        <v>#DIV/0!</v>
      </c>
    </row>
    <row r="69" spans="1:24" s="1" customFormat="1" ht="15" customHeight="1" x14ac:dyDescent="0.2">
      <c r="A69" s="192" t="s">
        <v>53</v>
      </c>
      <c r="B69" s="205">
        <v>2</v>
      </c>
      <c r="C69" s="194">
        <f>B69/C$53</f>
        <v>0.25</v>
      </c>
      <c r="D69" s="205">
        <v>2</v>
      </c>
      <c r="E69" s="195">
        <f>D69/E$53</f>
        <v>0.22222222222222221</v>
      </c>
      <c r="F69" s="206">
        <v>2</v>
      </c>
      <c r="G69" s="195">
        <f>F69/G$53</f>
        <v>0.22222222222222221</v>
      </c>
      <c r="H69" s="206">
        <v>2</v>
      </c>
      <c r="I69" s="195">
        <f>H69/I$53</f>
        <v>0.22222222222222221</v>
      </c>
      <c r="J69" s="206">
        <f>4</f>
        <v>4</v>
      </c>
      <c r="K69" s="195">
        <f>J69/K$53</f>
        <v>0.4</v>
      </c>
      <c r="L69" s="206">
        <v>1</v>
      </c>
      <c r="M69" s="195">
        <f>L69/M$53</f>
        <v>9.0909090909090912E-2</v>
      </c>
      <c r="N69" s="206">
        <v>3</v>
      </c>
      <c r="O69" s="195">
        <f>N69/O$53</f>
        <v>0.25</v>
      </c>
      <c r="P69" s="206">
        <v>2</v>
      </c>
      <c r="Q69" s="195">
        <f>P69/Q$53</f>
        <v>0.16666666666666666</v>
      </c>
      <c r="R69" s="206">
        <v>3</v>
      </c>
      <c r="S69" s="195">
        <f>R69/S$53</f>
        <v>0.27272727272727271</v>
      </c>
      <c r="T69" s="206"/>
      <c r="U69" s="197" t="e">
        <f>T69/U$53</f>
        <v>#DIV/0!</v>
      </c>
      <c r="V69" s="198"/>
      <c r="W69" s="947">
        <f t="shared" si="13"/>
        <v>2.25</v>
      </c>
      <c r="X69" s="199" t="e">
        <f t="shared" si="14"/>
        <v>#DIV/0!</v>
      </c>
    </row>
    <row r="70" spans="1:24" s="1" customFormat="1" ht="15" customHeight="1" thickBot="1" x14ac:dyDescent="0.25">
      <c r="A70" s="521" t="s">
        <v>54</v>
      </c>
      <c r="B70" s="527">
        <v>3</v>
      </c>
      <c r="C70" s="523">
        <f>B70/C$53</f>
        <v>0.375</v>
      </c>
      <c r="D70" s="527">
        <v>4</v>
      </c>
      <c r="E70" s="524">
        <f>D70/E$53</f>
        <v>0.44444444444444442</v>
      </c>
      <c r="F70" s="528">
        <v>4</v>
      </c>
      <c r="G70" s="524">
        <f>F70/G$53</f>
        <v>0.44444444444444442</v>
      </c>
      <c r="H70" s="528">
        <v>4</v>
      </c>
      <c r="I70" s="524">
        <f>H70/I$53</f>
        <v>0.44444444444444442</v>
      </c>
      <c r="J70" s="528">
        <f>3</f>
        <v>3</v>
      </c>
      <c r="K70" s="524">
        <f>J70/K$53</f>
        <v>0.3</v>
      </c>
      <c r="L70" s="528">
        <v>4</v>
      </c>
      <c r="M70" s="524">
        <f>L70/M$53</f>
        <v>0.36363636363636365</v>
      </c>
      <c r="N70" s="528">
        <v>3</v>
      </c>
      <c r="O70" s="524">
        <f>N70/O$53</f>
        <v>0.25</v>
      </c>
      <c r="P70" s="528">
        <v>2</v>
      </c>
      <c r="Q70" s="524">
        <f>P70/Q$53</f>
        <v>0.16666666666666666</v>
      </c>
      <c r="R70" s="528">
        <v>4</v>
      </c>
      <c r="S70" s="524">
        <f>R70/S$53</f>
        <v>0.36363636363636365</v>
      </c>
      <c r="T70" s="528"/>
      <c r="U70" s="526" t="e">
        <f>T70/U$53</f>
        <v>#DIV/0!</v>
      </c>
      <c r="V70" s="198"/>
      <c r="W70" s="947">
        <f t="shared" si="13"/>
        <v>3.25</v>
      </c>
      <c r="X70" s="199" t="e">
        <f t="shared" si="14"/>
        <v>#DIV/0!</v>
      </c>
    </row>
    <row r="71" spans="1:24" s="1" customFormat="1" ht="18" customHeight="1" x14ac:dyDescent="0.2">
      <c r="A71" s="723" t="s">
        <v>55</v>
      </c>
      <c r="B71" s="519"/>
      <c r="C71" s="510"/>
      <c r="D71" s="519"/>
      <c r="E71" s="511"/>
      <c r="F71" s="520"/>
      <c r="G71" s="511"/>
      <c r="H71" s="520"/>
      <c r="I71" s="511"/>
      <c r="J71" s="520"/>
      <c r="K71" s="511"/>
      <c r="L71" s="520"/>
      <c r="M71" s="511"/>
      <c r="N71" s="520"/>
      <c r="O71" s="511"/>
      <c r="P71" s="520"/>
      <c r="Q71" s="511"/>
      <c r="R71" s="520"/>
      <c r="S71" s="511"/>
      <c r="T71" s="520"/>
      <c r="U71" s="513"/>
      <c r="V71" s="198"/>
      <c r="W71" s="947"/>
      <c r="X71" s="199"/>
    </row>
    <row r="72" spans="1:24" s="1" customFormat="1" ht="15" customHeight="1" x14ac:dyDescent="0.2">
      <c r="A72" s="192" t="s">
        <v>56</v>
      </c>
      <c r="B72" s="205">
        <v>4</v>
      </c>
      <c r="C72" s="194">
        <f>B72/C$53</f>
        <v>0.5</v>
      </c>
      <c r="D72" s="205">
        <v>5</v>
      </c>
      <c r="E72" s="195">
        <f>D72/E$53</f>
        <v>0.55555555555555558</v>
      </c>
      <c r="F72" s="206">
        <v>5</v>
      </c>
      <c r="G72" s="195">
        <f>F72/G$53</f>
        <v>0.55555555555555558</v>
      </c>
      <c r="H72" s="206">
        <v>5</v>
      </c>
      <c r="I72" s="195">
        <f>H72/I$53</f>
        <v>0.55555555555555558</v>
      </c>
      <c r="J72" s="206">
        <f>6</f>
        <v>6</v>
      </c>
      <c r="K72" s="195">
        <f>J72/K$53</f>
        <v>0.6</v>
      </c>
      <c r="L72" s="206">
        <v>7</v>
      </c>
      <c r="M72" s="195">
        <f>L72/M$53</f>
        <v>0.63636363636363635</v>
      </c>
      <c r="N72" s="206">
        <v>8</v>
      </c>
      <c r="O72" s="195">
        <f>N72/O$53</f>
        <v>0.66666666666666663</v>
      </c>
      <c r="P72" s="206">
        <v>9</v>
      </c>
      <c r="Q72" s="195">
        <f>P72/Q$53</f>
        <v>0.75</v>
      </c>
      <c r="R72" s="206">
        <v>9</v>
      </c>
      <c r="S72" s="195">
        <f>R72/S$53</f>
        <v>0.81818181818181823</v>
      </c>
      <c r="T72" s="206"/>
      <c r="U72" s="197" t="e">
        <f>T72/U$53</f>
        <v>#DIV/0!</v>
      </c>
      <c r="V72" s="198"/>
      <c r="W72" s="947">
        <f t="shared" si="13"/>
        <v>8.25</v>
      </c>
      <c r="X72" s="199" t="e">
        <f t="shared" si="14"/>
        <v>#DIV/0!</v>
      </c>
    </row>
    <row r="73" spans="1:24" s="1" customFormat="1" ht="15" customHeight="1" x14ac:dyDescent="0.2">
      <c r="A73" s="192" t="s">
        <v>57</v>
      </c>
      <c r="B73" s="205">
        <v>4</v>
      </c>
      <c r="C73" s="194">
        <f>B73/C$53</f>
        <v>0.5</v>
      </c>
      <c r="D73" s="205">
        <v>4</v>
      </c>
      <c r="E73" s="195">
        <f>D73/E$53</f>
        <v>0.44444444444444442</v>
      </c>
      <c r="F73" s="206">
        <v>4</v>
      </c>
      <c r="G73" s="195">
        <f>F73/G$53</f>
        <v>0.44444444444444442</v>
      </c>
      <c r="H73" s="206">
        <v>4</v>
      </c>
      <c r="I73" s="195">
        <f>H73/I$53</f>
        <v>0.44444444444444442</v>
      </c>
      <c r="J73" s="206">
        <f>4</f>
        <v>4</v>
      </c>
      <c r="K73" s="195">
        <f>J73/K$53</f>
        <v>0.4</v>
      </c>
      <c r="L73" s="206">
        <v>4</v>
      </c>
      <c r="M73" s="195">
        <f>L73/M$53</f>
        <v>0.36363636363636365</v>
      </c>
      <c r="N73" s="206">
        <v>4</v>
      </c>
      <c r="O73" s="195">
        <f>N73/O$53</f>
        <v>0.33333333333333331</v>
      </c>
      <c r="P73" s="206">
        <v>3</v>
      </c>
      <c r="Q73" s="195">
        <f>P73/Q$53</f>
        <v>0.25</v>
      </c>
      <c r="R73" s="206">
        <v>2</v>
      </c>
      <c r="S73" s="195">
        <f>R73/S$53</f>
        <v>0.18181818181818182</v>
      </c>
      <c r="T73" s="206"/>
      <c r="U73" s="197" t="e">
        <f>T73/U$53</f>
        <v>#DIV/0!</v>
      </c>
      <c r="V73" s="198"/>
      <c r="W73" s="947">
        <f t="shared" si="13"/>
        <v>3.25</v>
      </c>
      <c r="X73" s="199" t="e">
        <f t="shared" si="14"/>
        <v>#DIV/0!</v>
      </c>
    </row>
    <row r="74" spans="1:24" s="1" customFormat="1" ht="15" customHeight="1" x14ac:dyDescent="0.2">
      <c r="A74" s="192" t="s">
        <v>58</v>
      </c>
      <c r="B74" s="205">
        <v>0</v>
      </c>
      <c r="C74" s="194">
        <f>B74/C$53</f>
        <v>0</v>
      </c>
      <c r="D74" s="205">
        <v>0</v>
      </c>
      <c r="E74" s="195">
        <f>D74/E$53</f>
        <v>0</v>
      </c>
      <c r="F74" s="206">
        <v>0</v>
      </c>
      <c r="G74" s="195">
        <f>F74/G$53</f>
        <v>0</v>
      </c>
      <c r="H74" s="206">
        <v>0</v>
      </c>
      <c r="I74" s="195">
        <f>H74/I$53</f>
        <v>0</v>
      </c>
      <c r="J74" s="206">
        <f>0</f>
        <v>0</v>
      </c>
      <c r="K74" s="195">
        <f>J74/K$53</f>
        <v>0</v>
      </c>
      <c r="L74" s="206">
        <v>0</v>
      </c>
      <c r="M74" s="195">
        <f>L74/M$53</f>
        <v>0</v>
      </c>
      <c r="N74" s="206">
        <v>0</v>
      </c>
      <c r="O74" s="195">
        <f>N74/O$53</f>
        <v>0</v>
      </c>
      <c r="P74" s="206">
        <v>0</v>
      </c>
      <c r="Q74" s="195">
        <f>P74/Q$53</f>
        <v>0</v>
      </c>
      <c r="R74" s="206">
        <v>0</v>
      </c>
      <c r="S74" s="195">
        <f>R74/S$53</f>
        <v>0</v>
      </c>
      <c r="T74" s="206"/>
      <c r="U74" s="197" t="e">
        <f>T74/U$53</f>
        <v>#DIV/0!</v>
      </c>
      <c r="V74" s="191"/>
      <c r="W74" s="947">
        <f t="shared" si="13"/>
        <v>0</v>
      </c>
      <c r="X74" s="199" t="e">
        <f t="shared" si="14"/>
        <v>#DIV/0!</v>
      </c>
    </row>
    <row r="75" spans="1:24" s="1" customFormat="1" ht="15" customHeight="1" thickBot="1" x14ac:dyDescent="0.25">
      <c r="A75" s="207" t="s">
        <v>59</v>
      </c>
      <c r="B75" s="208">
        <v>0</v>
      </c>
      <c r="C75" s="209">
        <f>B75/C$53</f>
        <v>0</v>
      </c>
      <c r="D75" s="208">
        <v>0</v>
      </c>
      <c r="E75" s="210">
        <f>D75/E$53</f>
        <v>0</v>
      </c>
      <c r="F75" s="211">
        <v>0</v>
      </c>
      <c r="G75" s="210">
        <f>F75/G$53</f>
        <v>0</v>
      </c>
      <c r="H75" s="211">
        <v>0</v>
      </c>
      <c r="I75" s="210">
        <f>H75/I$53</f>
        <v>0</v>
      </c>
      <c r="J75" s="211">
        <f>0</f>
        <v>0</v>
      </c>
      <c r="K75" s="210">
        <f>J75/K$53</f>
        <v>0</v>
      </c>
      <c r="L75" s="211">
        <v>0</v>
      </c>
      <c r="M75" s="210">
        <f>L75/M$53</f>
        <v>0</v>
      </c>
      <c r="N75" s="211">
        <v>0</v>
      </c>
      <c r="O75" s="210">
        <f>N75/O$53</f>
        <v>0</v>
      </c>
      <c r="P75" s="211">
        <v>0</v>
      </c>
      <c r="Q75" s="210">
        <f>P75/Q$53</f>
        <v>0</v>
      </c>
      <c r="R75" s="211">
        <v>0</v>
      </c>
      <c r="S75" s="210">
        <f>R75/S$53</f>
        <v>0</v>
      </c>
      <c r="T75" s="211"/>
      <c r="U75" s="212" t="e">
        <f>T75/U$53</f>
        <v>#DIV/0!</v>
      </c>
      <c r="V75" s="191"/>
      <c r="W75" s="953">
        <f t="shared" si="13"/>
        <v>0</v>
      </c>
      <c r="X75" s="213" t="e">
        <f t="shared" si="14"/>
        <v>#DIV/0!</v>
      </c>
    </row>
    <row r="76" spans="1:24" ht="13.5" thickTop="1" x14ac:dyDescent="0.2">
      <c r="A76" s="488" t="s">
        <v>153</v>
      </c>
      <c r="H76" s="36" t="s">
        <v>14</v>
      </c>
      <c r="J76" s="36" t="s">
        <v>14</v>
      </c>
      <c r="L76" s="36" t="s">
        <v>14</v>
      </c>
      <c r="N76" s="36" t="s">
        <v>14</v>
      </c>
      <c r="P76" s="36" t="s">
        <v>14</v>
      </c>
      <c r="R76" s="36" t="s">
        <v>14</v>
      </c>
      <c r="T76" s="36" t="s">
        <v>14</v>
      </c>
    </row>
    <row r="77" spans="1:24" x14ac:dyDescent="0.2">
      <c r="A77" s="1"/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</sheetData>
  <mergeCells count="77">
    <mergeCell ref="R36:S36"/>
    <mergeCell ref="W36:X36"/>
    <mergeCell ref="P36:Q36"/>
    <mergeCell ref="B36:C36"/>
    <mergeCell ref="D36:E36"/>
    <mergeCell ref="F36:G36"/>
    <mergeCell ref="H36:I36"/>
    <mergeCell ref="J36:K36"/>
    <mergeCell ref="L36:M36"/>
    <mergeCell ref="N36:O36"/>
    <mergeCell ref="T36:U36"/>
    <mergeCell ref="J33:K33"/>
    <mergeCell ref="L33:M33"/>
    <mergeCell ref="N33:O33"/>
    <mergeCell ref="B33:C33"/>
    <mergeCell ref="D33:E33"/>
    <mergeCell ref="F33:G33"/>
    <mergeCell ref="H33:I33"/>
    <mergeCell ref="P33:Q33"/>
    <mergeCell ref="R33:S33"/>
    <mergeCell ref="W33:X33"/>
    <mergeCell ref="R26:S26"/>
    <mergeCell ref="W26:X26"/>
    <mergeCell ref="P26:Q26"/>
    <mergeCell ref="T26:U26"/>
    <mergeCell ref="T33:U33"/>
    <mergeCell ref="B26:C26"/>
    <mergeCell ref="D26:E26"/>
    <mergeCell ref="J23:K23"/>
    <mergeCell ref="L23:M23"/>
    <mergeCell ref="N23:O23"/>
    <mergeCell ref="B23:C23"/>
    <mergeCell ref="D23:E23"/>
    <mergeCell ref="F23:G23"/>
    <mergeCell ref="H23:I23"/>
    <mergeCell ref="F26:G26"/>
    <mergeCell ref="H26:I26"/>
    <mergeCell ref="J26:K26"/>
    <mergeCell ref="L26:M26"/>
    <mergeCell ref="N26:O26"/>
    <mergeCell ref="P23:Q23"/>
    <mergeCell ref="R23:S23"/>
    <mergeCell ref="W23:X23"/>
    <mergeCell ref="R17:S17"/>
    <mergeCell ref="W17:X17"/>
    <mergeCell ref="P17:Q17"/>
    <mergeCell ref="T17:U17"/>
    <mergeCell ref="T23:U23"/>
    <mergeCell ref="B17:C17"/>
    <mergeCell ref="D17:E17"/>
    <mergeCell ref="F17:G17"/>
    <mergeCell ref="H17:I17"/>
    <mergeCell ref="J17:K17"/>
    <mergeCell ref="L17:M17"/>
    <mergeCell ref="N17:O17"/>
    <mergeCell ref="L9:M9"/>
    <mergeCell ref="N9:O9"/>
    <mergeCell ref="P9:Q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W41:X41"/>
    <mergeCell ref="T41:U41"/>
    <mergeCell ref="W9:X9"/>
    <mergeCell ref="B9:C9"/>
    <mergeCell ref="D9:E9"/>
    <mergeCell ref="F9:G9"/>
    <mergeCell ref="H9:I9"/>
    <mergeCell ref="J9:K9"/>
    <mergeCell ref="R9:S9"/>
    <mergeCell ref="T9:U9"/>
  </mergeCells>
  <pageMargins left="0.5" right="0.5" top="0.5" bottom="0.5" header="0.3" footer="0.3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39" max="16383" man="1"/>
  </rowBreaks>
  <colBreaks count="1" manualBreakCount="1">
    <brk id="21" max="1048575" man="1"/>
  </colBreaks>
  <ignoredErrors>
    <ignoredError sqref="I56:J7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6"/>
  <sheetViews>
    <sheetView zoomScaleNormal="100" zoomScaleSheetLayoutView="100" workbookViewId="0">
      <pane xSplit="1" ySplit="8" topLeftCell="T9" activePane="bottomRight" state="frozen"/>
      <selection activeCell="T35" sqref="T35:U35"/>
      <selection pane="topRight" activeCell="T35" sqref="T35:U35"/>
      <selection pane="bottomLeft" activeCell="T35" sqref="T35:U35"/>
      <selection pane="bottomRight" activeCell="T35" sqref="T35:U35"/>
    </sheetView>
  </sheetViews>
  <sheetFormatPr defaultColWidth="10.28515625" defaultRowHeight="12.75" x14ac:dyDescent="0.2"/>
  <cols>
    <col min="1" max="1" width="36.7109375" customWidth="1"/>
    <col min="2" max="2" width="7.7109375" hidden="1" customWidth="1"/>
    <col min="3" max="3" width="12.570312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9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29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29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29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</row>
    <row r="5" spans="1:29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29" s="1" customFormat="1" x14ac:dyDescent="0.2">
      <c r="A6" s="3" t="s">
        <v>198</v>
      </c>
      <c r="F6" s="2"/>
      <c r="G6" s="2"/>
      <c r="H6" s="2"/>
      <c r="I6" s="2"/>
    </row>
    <row r="7" spans="1:29" s="1" customFormat="1" x14ac:dyDescent="0.2">
      <c r="A7" s="465">
        <v>3670055040</v>
      </c>
      <c r="F7" s="2"/>
      <c r="G7" s="2"/>
      <c r="H7" s="2"/>
      <c r="I7" s="2"/>
      <c r="T7" s="1023"/>
    </row>
    <row r="8" spans="1:29" s="1" customFormat="1" ht="15" customHeight="1" thickBot="1" x14ac:dyDescent="0.25">
      <c r="A8" s="460"/>
      <c r="B8" s="463"/>
      <c r="C8" s="463"/>
      <c r="D8" s="463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18" customHeight="1" thickTop="1" thickBot="1" x14ac:dyDescent="0.25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59" t="s">
        <v>199</v>
      </c>
      <c r="U9" s="1038"/>
      <c r="W9" s="1044" t="s">
        <v>9</v>
      </c>
      <c r="X9" s="1045"/>
    </row>
    <row r="10" spans="1:29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984" t="s">
        <v>166</v>
      </c>
      <c r="T10" s="845" t="s">
        <v>165</v>
      </c>
      <c r="U10" s="712" t="s">
        <v>166</v>
      </c>
      <c r="W10" s="713" t="s">
        <v>165</v>
      </c>
      <c r="X10" s="714" t="s">
        <v>166</v>
      </c>
    </row>
    <row r="11" spans="1:29" ht="15" customHeight="1" x14ac:dyDescent="0.2">
      <c r="A11" s="79" t="s">
        <v>177</v>
      </c>
      <c r="B11" s="7"/>
      <c r="C11" s="437"/>
      <c r="D11" s="6"/>
      <c r="E11" s="312"/>
      <c r="F11" s="7"/>
      <c r="G11" s="312"/>
      <c r="H11" s="7"/>
      <c r="I11" s="312"/>
      <c r="J11" s="7"/>
      <c r="K11" s="312"/>
      <c r="L11" s="7"/>
      <c r="M11" s="312"/>
      <c r="N11" s="7"/>
      <c r="O11" s="312"/>
      <c r="P11" s="7"/>
      <c r="Q11" s="312"/>
      <c r="R11" s="7"/>
      <c r="S11" s="312"/>
      <c r="T11" s="7"/>
      <c r="U11" s="8"/>
      <c r="V11" s="433"/>
      <c r="W11" s="434"/>
      <c r="X11" s="764"/>
    </row>
    <row r="12" spans="1:29" s="13" customFormat="1" ht="15" customHeight="1" x14ac:dyDescent="0.2">
      <c r="A12" s="10" t="s">
        <v>10</v>
      </c>
      <c r="B12" s="11">
        <v>82</v>
      </c>
      <c r="C12" s="60"/>
      <c r="D12" s="12">
        <v>82</v>
      </c>
      <c r="E12" s="62"/>
      <c r="F12" s="11">
        <v>105</v>
      </c>
      <c r="G12" s="62"/>
      <c r="H12" s="11">
        <v>91</v>
      </c>
      <c r="I12" s="62"/>
      <c r="J12" s="11">
        <v>104</v>
      </c>
      <c r="K12" s="62"/>
      <c r="L12" s="11">
        <v>144</v>
      </c>
      <c r="M12" s="62"/>
      <c r="N12" s="11">
        <v>133</v>
      </c>
      <c r="O12" s="62"/>
      <c r="P12" s="11">
        <v>144</v>
      </c>
      <c r="Q12" s="64"/>
      <c r="R12" s="68">
        <f>34+45+3+23+34</f>
        <v>139</v>
      </c>
      <c r="S12" s="62"/>
      <c r="T12" s="68">
        <v>126</v>
      </c>
      <c r="U12" s="66"/>
      <c r="W12" s="9">
        <f>AVERAGE(N12,L12,R12,TJ12,P12)</f>
        <v>140</v>
      </c>
      <c r="X12" s="633"/>
    </row>
    <row r="13" spans="1:29" s="13" customFormat="1" ht="15" customHeight="1" thickBot="1" x14ac:dyDescent="0.25">
      <c r="A13" s="15" t="s">
        <v>11</v>
      </c>
      <c r="B13" s="17">
        <v>143</v>
      </c>
      <c r="C13" s="61"/>
      <c r="D13" s="47">
        <v>142</v>
      </c>
      <c r="E13" s="63"/>
      <c r="F13" s="17">
        <v>145</v>
      </c>
      <c r="G13" s="63"/>
      <c r="H13" s="17">
        <v>128</v>
      </c>
      <c r="I13" s="63"/>
      <c r="J13" s="17">
        <v>138</v>
      </c>
      <c r="K13" s="63"/>
      <c r="L13" s="17">
        <v>124</v>
      </c>
      <c r="M13" s="63"/>
      <c r="N13" s="17">
        <v>155</v>
      </c>
      <c r="O13" s="63"/>
      <c r="P13" s="17">
        <v>177</v>
      </c>
      <c r="Q13" s="65"/>
      <c r="R13" s="17">
        <f>48+81+18+39</f>
        <v>186</v>
      </c>
      <c r="S13" s="63"/>
      <c r="T13" s="17">
        <v>179</v>
      </c>
      <c r="U13" s="67"/>
      <c r="W13" s="9">
        <f>AVERAGE(N13,L13,R13,TJ13,P13)</f>
        <v>160.5</v>
      </c>
      <c r="X13" s="634"/>
    </row>
    <row r="14" spans="1:29" s="39" customFormat="1" ht="15" customHeight="1" thickBot="1" x14ac:dyDescent="0.25">
      <c r="A14" s="52" t="s">
        <v>12</v>
      </c>
      <c r="B14" s="48">
        <f t="shared" ref="B14:R14" si="0">SUM(B12:B13)</f>
        <v>225</v>
      </c>
      <c r="C14" s="53">
        <v>51</v>
      </c>
      <c r="D14" s="410">
        <f t="shared" si="0"/>
        <v>224</v>
      </c>
      <c r="E14" s="53">
        <v>37</v>
      </c>
      <c r="F14" s="410">
        <f t="shared" si="0"/>
        <v>250</v>
      </c>
      <c r="G14" s="411">
        <v>56</v>
      </c>
      <c r="H14" s="410">
        <f t="shared" si="0"/>
        <v>219</v>
      </c>
      <c r="I14" s="411">
        <v>48</v>
      </c>
      <c r="J14" s="410">
        <f t="shared" si="0"/>
        <v>242</v>
      </c>
      <c r="K14" s="411">
        <v>50</v>
      </c>
      <c r="L14" s="410">
        <f t="shared" si="0"/>
        <v>268</v>
      </c>
      <c r="M14" s="411">
        <v>38</v>
      </c>
      <c r="N14" s="410">
        <f t="shared" si="0"/>
        <v>288</v>
      </c>
      <c r="O14" s="53">
        <v>51</v>
      </c>
      <c r="P14" s="48">
        <f t="shared" si="0"/>
        <v>321</v>
      </c>
      <c r="Q14" s="536">
        <v>46</v>
      </c>
      <c r="R14" s="537">
        <f t="shared" si="0"/>
        <v>325</v>
      </c>
      <c r="S14" s="53">
        <v>70</v>
      </c>
      <c r="T14" s="48">
        <v>305</v>
      </c>
      <c r="U14" s="757">
        <f t="shared" ref="U14" si="1">SUM(U12:U13)</f>
        <v>0</v>
      </c>
      <c r="W14" s="256">
        <f>AVERAGE(N14,L14,R14,T14,P14)</f>
        <v>301.39999999999998</v>
      </c>
      <c r="X14" s="635">
        <f>AVERAGE(O14,M14,S14,K14,Q14)</f>
        <v>51</v>
      </c>
    </row>
    <row r="15" spans="1:29" s="791" customFormat="1" ht="15" customHeight="1" x14ac:dyDescent="0.2">
      <c r="A15" s="807" t="s">
        <v>140</v>
      </c>
      <c r="B15" s="808">
        <v>112</v>
      </c>
      <c r="C15" s="809">
        <f>18+1</f>
        <v>19</v>
      </c>
      <c r="D15" s="808">
        <f>95+11</f>
        <v>106</v>
      </c>
      <c r="E15" s="810">
        <v>8</v>
      </c>
      <c r="F15" s="811">
        <v>112</v>
      </c>
      <c r="G15" s="810">
        <v>14</v>
      </c>
      <c r="H15" s="811">
        <v>120</v>
      </c>
      <c r="I15" s="810">
        <v>15</v>
      </c>
      <c r="J15" s="811">
        <v>124</v>
      </c>
      <c r="K15" s="810">
        <v>12</v>
      </c>
      <c r="L15" s="811">
        <v>117</v>
      </c>
      <c r="M15" s="810">
        <v>10</v>
      </c>
      <c r="N15" s="811">
        <v>109</v>
      </c>
      <c r="O15" s="810">
        <v>11</v>
      </c>
      <c r="P15" s="811">
        <v>113</v>
      </c>
      <c r="Q15" s="810">
        <v>10</v>
      </c>
      <c r="R15" s="811">
        <v>114</v>
      </c>
      <c r="S15" s="797">
        <v>15</v>
      </c>
      <c r="T15" s="811">
        <v>84</v>
      </c>
      <c r="U15" s="812"/>
      <c r="W15" s="813">
        <f>AVERAGE(N15,L15,R15,T15,P15)</f>
        <v>107.4</v>
      </c>
      <c r="X15" s="812">
        <f t="shared" ref="X15:X17" si="2">AVERAGE(O15,M15,S15,K15,Q15)</f>
        <v>11.6</v>
      </c>
    </row>
    <row r="16" spans="1:29" s="39" customFormat="1" ht="15" customHeight="1" x14ac:dyDescent="0.2">
      <c r="A16" s="801" t="s">
        <v>77</v>
      </c>
      <c r="B16" s="802">
        <v>6</v>
      </c>
      <c r="C16" s="470">
        <v>4</v>
      </c>
      <c r="D16" s="802">
        <v>2</v>
      </c>
      <c r="E16" s="803">
        <v>0</v>
      </c>
      <c r="F16" s="804">
        <v>3</v>
      </c>
      <c r="G16" s="803">
        <v>2</v>
      </c>
      <c r="H16" s="804">
        <v>4</v>
      </c>
      <c r="I16" s="803">
        <v>1</v>
      </c>
      <c r="J16" s="804">
        <v>4</v>
      </c>
      <c r="K16" s="803">
        <v>3</v>
      </c>
      <c r="L16" s="804">
        <v>9</v>
      </c>
      <c r="M16" s="803">
        <v>0</v>
      </c>
      <c r="N16" s="804">
        <v>10</v>
      </c>
      <c r="O16" s="803">
        <v>5</v>
      </c>
      <c r="P16" s="804">
        <v>9</v>
      </c>
      <c r="Q16" s="805">
        <v>2</v>
      </c>
      <c r="R16" s="806">
        <v>11</v>
      </c>
      <c r="S16" s="996">
        <v>6</v>
      </c>
      <c r="T16" s="982">
        <v>12</v>
      </c>
      <c r="U16" s="998"/>
      <c r="W16" s="9">
        <f>AVERAGE(N16,L16,R16,TJ16,P16)</f>
        <v>9.75</v>
      </c>
      <c r="X16" s="636">
        <f t="shared" si="2"/>
        <v>3.2</v>
      </c>
    </row>
    <row r="17" spans="1:24" s="39" customFormat="1" ht="15" customHeight="1" thickBot="1" x14ac:dyDescent="0.25">
      <c r="A17" s="15" t="s">
        <v>78</v>
      </c>
      <c r="B17" s="827">
        <v>22</v>
      </c>
      <c r="C17" s="611">
        <v>4</v>
      </c>
      <c r="D17" s="827">
        <v>20</v>
      </c>
      <c r="E17" s="101">
        <v>4</v>
      </c>
      <c r="F17" s="100">
        <v>20</v>
      </c>
      <c r="G17" s="101">
        <v>4</v>
      </c>
      <c r="H17" s="100">
        <v>18</v>
      </c>
      <c r="I17" s="101">
        <v>5</v>
      </c>
      <c r="J17" s="100">
        <v>18</v>
      </c>
      <c r="K17" s="101">
        <v>6</v>
      </c>
      <c r="L17" s="100">
        <v>15</v>
      </c>
      <c r="M17" s="101">
        <v>3</v>
      </c>
      <c r="N17" s="100">
        <v>14</v>
      </c>
      <c r="O17" s="101">
        <v>2</v>
      </c>
      <c r="P17" s="100">
        <v>20</v>
      </c>
      <c r="Q17" s="102">
        <v>0</v>
      </c>
      <c r="R17" s="828">
        <v>25</v>
      </c>
      <c r="S17" s="997">
        <v>5</v>
      </c>
      <c r="T17" s="983">
        <v>20</v>
      </c>
      <c r="U17" s="999"/>
      <c r="W17" s="9">
        <f>AVERAGE(N17,L17,R17,TJ17,P17)</f>
        <v>18.5</v>
      </c>
      <c r="X17" s="834">
        <f t="shared" si="2"/>
        <v>3.2</v>
      </c>
    </row>
    <row r="18" spans="1:24" s="39" customFormat="1" ht="15" customHeight="1" x14ac:dyDescent="0.2">
      <c r="A18" s="829" t="s">
        <v>79</v>
      </c>
      <c r="B18" s="830"/>
      <c r="C18" s="831"/>
      <c r="D18" s="830"/>
      <c r="E18" s="832"/>
      <c r="F18" s="830"/>
      <c r="G18" s="832"/>
      <c r="H18" s="830"/>
      <c r="I18" s="832"/>
      <c r="J18" s="830"/>
      <c r="K18" s="832"/>
      <c r="L18" s="830"/>
      <c r="M18" s="832"/>
      <c r="N18" s="830"/>
      <c r="O18" s="832"/>
      <c r="P18" s="830"/>
      <c r="Q18" s="832"/>
      <c r="R18" s="830"/>
      <c r="S18" s="832"/>
      <c r="T18" s="830"/>
      <c r="U18" s="833"/>
      <c r="V18" s="439"/>
      <c r="W18" s="835"/>
      <c r="X18" s="764"/>
    </row>
    <row r="19" spans="1:24" s="13" customFormat="1" ht="15" customHeight="1" x14ac:dyDescent="0.2">
      <c r="A19" s="10" t="s">
        <v>10</v>
      </c>
      <c r="B19" s="11">
        <v>74</v>
      </c>
      <c r="C19" s="60"/>
      <c r="D19" s="12">
        <v>89</v>
      </c>
      <c r="E19" s="62"/>
      <c r="F19" s="11">
        <v>67</v>
      </c>
      <c r="G19" s="62"/>
      <c r="H19" s="11">
        <v>89</v>
      </c>
      <c r="I19" s="62"/>
      <c r="J19" s="11">
        <v>85</v>
      </c>
      <c r="K19" s="62"/>
      <c r="L19" s="11">
        <v>80</v>
      </c>
      <c r="M19" s="62"/>
      <c r="N19" s="11">
        <v>79</v>
      </c>
      <c r="O19" s="62"/>
      <c r="P19" s="11">
        <v>53</v>
      </c>
      <c r="Q19" s="62"/>
      <c r="R19" s="68">
        <f>24+18</f>
        <v>42</v>
      </c>
      <c r="S19" s="62"/>
      <c r="T19" s="68">
        <v>43</v>
      </c>
      <c r="U19" s="66"/>
      <c r="W19" s="9">
        <f>AVERAGE(N19,L19,R19,TJ19,P19)</f>
        <v>63.5</v>
      </c>
      <c r="X19" s="633"/>
    </row>
    <row r="20" spans="1:24" s="13" customFormat="1" ht="15" customHeight="1" thickBot="1" x14ac:dyDescent="0.25">
      <c r="A20" s="15" t="s">
        <v>11</v>
      </c>
      <c r="B20" s="17">
        <v>53</v>
      </c>
      <c r="C20" s="61"/>
      <c r="D20" s="47">
        <v>45</v>
      </c>
      <c r="E20" s="768"/>
      <c r="F20" s="17">
        <v>49</v>
      </c>
      <c r="G20" s="63"/>
      <c r="H20" s="17">
        <v>68</v>
      </c>
      <c r="I20" s="63"/>
      <c r="J20" s="17">
        <v>54</v>
      </c>
      <c r="K20" s="63"/>
      <c r="L20" s="17">
        <v>54</v>
      </c>
      <c r="M20" s="63"/>
      <c r="N20" s="17">
        <v>59</v>
      </c>
      <c r="O20" s="63"/>
      <c r="P20" s="17">
        <v>59</v>
      </c>
      <c r="Q20" s="65"/>
      <c r="R20" s="17">
        <f>33+34</f>
        <v>67</v>
      </c>
      <c r="S20" s="63"/>
      <c r="T20" s="17">
        <v>55</v>
      </c>
      <c r="U20" s="67"/>
      <c r="W20" s="9">
        <f>AVERAGE(N20,L20,R20,TJ20,P20)</f>
        <v>59.75</v>
      </c>
      <c r="X20" s="634"/>
    </row>
    <row r="21" spans="1:24" s="39" customFormat="1" ht="15" customHeight="1" thickBot="1" x14ac:dyDescent="0.25">
      <c r="A21" s="52" t="s">
        <v>12</v>
      </c>
      <c r="B21" s="48">
        <f t="shared" ref="B21" si="3">SUM(B19:B20)</f>
        <v>127</v>
      </c>
      <c r="C21" s="53">
        <v>19</v>
      </c>
      <c r="D21" s="48">
        <f t="shared" ref="D21" si="4">SUM(D19:D20)</f>
        <v>134</v>
      </c>
      <c r="E21" s="53">
        <v>16</v>
      </c>
      <c r="F21" s="48">
        <f t="shared" ref="F21" si="5">SUM(F19:F20)</f>
        <v>116</v>
      </c>
      <c r="G21" s="53">
        <v>9</v>
      </c>
      <c r="H21" s="48">
        <f t="shared" ref="H21" si="6">SUM(H19:H20)</f>
        <v>157</v>
      </c>
      <c r="I21" s="53">
        <v>21</v>
      </c>
      <c r="J21" s="48">
        <f t="shared" ref="J21" si="7">SUM(J19:J20)</f>
        <v>139</v>
      </c>
      <c r="K21" s="53">
        <v>20</v>
      </c>
      <c r="L21" s="48">
        <f t="shared" ref="L21" si="8">SUM(L19:L20)</f>
        <v>134</v>
      </c>
      <c r="M21" s="53">
        <v>19</v>
      </c>
      <c r="N21" s="48">
        <f t="shared" ref="N21" si="9">SUM(N19:N20)</f>
        <v>138</v>
      </c>
      <c r="O21" s="53">
        <v>22</v>
      </c>
      <c r="P21" s="48">
        <f t="shared" ref="P21" si="10">SUM(P19:P20)</f>
        <v>112</v>
      </c>
      <c r="Q21" s="53">
        <v>23</v>
      </c>
      <c r="R21" s="48">
        <f t="shared" ref="R21" si="11">SUM(R19:R20)</f>
        <v>109</v>
      </c>
      <c r="S21" s="53">
        <v>21</v>
      </c>
      <c r="T21" s="48">
        <v>98</v>
      </c>
      <c r="U21" s="757">
        <f t="shared" ref="U21" si="12">SUM(U19:U20)</f>
        <v>0</v>
      </c>
      <c r="W21" s="256">
        <f>AVERAGE(N21,L21,R21,T21,P21)</f>
        <v>118.2</v>
      </c>
      <c r="X21" s="635">
        <f>AVERAGE(O21,M21,S21,K21,Q21)</f>
        <v>21</v>
      </c>
    </row>
    <row r="22" spans="1:24" x14ac:dyDescent="0.2">
      <c r="A22" s="79" t="s">
        <v>74</v>
      </c>
      <c r="B22" s="7"/>
      <c r="C22" s="437"/>
      <c r="D22" s="6"/>
      <c r="E22" s="312"/>
      <c r="F22" s="7"/>
      <c r="G22" s="312"/>
      <c r="H22" s="7"/>
      <c r="I22" s="312"/>
      <c r="J22" s="7"/>
      <c r="K22" s="312"/>
      <c r="L22" s="7"/>
      <c r="M22" s="312"/>
      <c r="N22" s="7"/>
      <c r="O22" s="312"/>
      <c r="P22" s="7"/>
      <c r="Q22" s="312"/>
      <c r="R22" s="7"/>
      <c r="S22" s="312"/>
      <c r="T22" s="7"/>
      <c r="U22" s="8"/>
      <c r="V22" s="433"/>
      <c r="W22" s="434"/>
      <c r="X22" s="14"/>
    </row>
    <row r="23" spans="1:24" s="13" customFormat="1" ht="15" x14ac:dyDescent="0.2">
      <c r="A23" s="10" t="s">
        <v>10</v>
      </c>
      <c r="B23" s="11">
        <v>47</v>
      </c>
      <c r="C23" s="60"/>
      <c r="D23" s="12">
        <v>41</v>
      </c>
      <c r="E23" s="62"/>
      <c r="F23" s="11">
        <v>43</v>
      </c>
      <c r="G23" s="62"/>
      <c r="H23" s="11">
        <v>46</v>
      </c>
      <c r="I23" s="62"/>
      <c r="J23" s="11">
        <v>45</v>
      </c>
      <c r="K23" s="62"/>
      <c r="L23" s="11">
        <v>52</v>
      </c>
      <c r="M23" s="62"/>
      <c r="N23" s="11">
        <v>60</v>
      </c>
      <c r="O23" s="62"/>
      <c r="P23" s="11">
        <v>67</v>
      </c>
      <c r="Q23" s="64"/>
      <c r="R23" s="68">
        <v>80</v>
      </c>
      <c r="S23" s="62"/>
      <c r="T23" s="68">
        <v>48</v>
      </c>
      <c r="U23" s="66"/>
      <c r="W23" s="9">
        <f>AVERAGE(N23,L23,R23,TJ23,P23)</f>
        <v>64.75</v>
      </c>
      <c r="X23" s="633"/>
    </row>
    <row r="24" spans="1:24" s="13" customFormat="1" ht="15.75" thickBot="1" x14ac:dyDescent="0.25">
      <c r="A24" s="15" t="s">
        <v>11</v>
      </c>
      <c r="B24" s="17">
        <v>182</v>
      </c>
      <c r="C24" s="61"/>
      <c r="D24" s="47">
        <v>197</v>
      </c>
      <c r="E24" s="63"/>
      <c r="F24" s="17">
        <v>200</v>
      </c>
      <c r="G24" s="63"/>
      <c r="H24" s="17">
        <v>203</v>
      </c>
      <c r="I24" s="63"/>
      <c r="J24" s="17">
        <v>213</v>
      </c>
      <c r="K24" s="63"/>
      <c r="L24" s="17">
        <v>229</v>
      </c>
      <c r="M24" s="63"/>
      <c r="N24" s="17">
        <v>218</v>
      </c>
      <c r="O24" s="63"/>
      <c r="P24" s="17">
        <v>210</v>
      </c>
      <c r="Q24" s="65"/>
      <c r="R24" s="17">
        <f>52+158</f>
        <v>210</v>
      </c>
      <c r="S24" s="63"/>
      <c r="T24" s="17">
        <v>223</v>
      </c>
      <c r="U24" s="67"/>
      <c r="W24" s="9">
        <f>AVERAGE(N24,L24,R24,TJ24,P24)</f>
        <v>216.75</v>
      </c>
      <c r="X24" s="634"/>
    </row>
    <row r="25" spans="1:24" s="39" customFormat="1" ht="13.5" thickBot="1" x14ac:dyDescent="0.25">
      <c r="A25" s="52" t="s">
        <v>12</v>
      </c>
      <c r="B25" s="48">
        <f t="shared" ref="B25:R25" si="13">SUM(B23:B24)</f>
        <v>229</v>
      </c>
      <c r="C25" s="412">
        <v>50</v>
      </c>
      <c r="D25" s="410">
        <f t="shared" si="13"/>
        <v>238</v>
      </c>
      <c r="E25" s="53">
        <v>57</v>
      </c>
      <c r="F25" s="48">
        <f t="shared" si="13"/>
        <v>243</v>
      </c>
      <c r="G25" s="53">
        <v>48</v>
      </c>
      <c r="H25" s="410">
        <f t="shared" si="13"/>
        <v>249</v>
      </c>
      <c r="I25" s="53">
        <v>65</v>
      </c>
      <c r="J25" s="48">
        <f t="shared" si="13"/>
        <v>258</v>
      </c>
      <c r="K25" s="53">
        <v>56</v>
      </c>
      <c r="L25" s="48">
        <f t="shared" si="13"/>
        <v>281</v>
      </c>
      <c r="M25" s="53">
        <v>67</v>
      </c>
      <c r="N25" s="48">
        <f t="shared" si="13"/>
        <v>278</v>
      </c>
      <c r="O25" s="53">
        <v>77</v>
      </c>
      <c r="P25" s="48">
        <f t="shared" si="13"/>
        <v>277</v>
      </c>
      <c r="Q25" s="53">
        <v>78</v>
      </c>
      <c r="R25" s="48">
        <f t="shared" si="13"/>
        <v>290</v>
      </c>
      <c r="S25" s="53">
        <v>60</v>
      </c>
      <c r="T25" s="48">
        <v>271</v>
      </c>
      <c r="U25" s="757">
        <f t="shared" ref="U25" si="14">SUM(U23:U24)</f>
        <v>0</v>
      </c>
      <c r="W25" s="256">
        <f>AVERAGE(N25,L25,R25,T25,P25)</f>
        <v>279.39999999999998</v>
      </c>
      <c r="X25" s="635">
        <f>AVERAGE(O25,M25,S25,K25,Q25)</f>
        <v>67.599999999999994</v>
      </c>
    </row>
    <row r="26" spans="1:24" x14ac:dyDescent="0.2">
      <c r="A26" s="95" t="s">
        <v>75</v>
      </c>
      <c r="B26" s="7"/>
      <c r="C26" s="437"/>
      <c r="D26" s="6"/>
      <c r="E26" s="312"/>
      <c r="F26" s="7"/>
      <c r="G26" s="312"/>
      <c r="H26" s="7"/>
      <c r="I26" s="312"/>
      <c r="J26" s="7"/>
      <c r="K26" s="312"/>
      <c r="L26" s="7"/>
      <c r="M26" s="312"/>
      <c r="N26" s="7"/>
      <c r="O26" s="312"/>
      <c r="P26" s="7"/>
      <c r="Q26" s="312"/>
      <c r="R26" s="7"/>
      <c r="S26" s="985"/>
      <c r="T26" s="7"/>
      <c r="U26" s="435"/>
      <c r="V26" s="433"/>
      <c r="W26" s="436"/>
      <c r="X26" s="636"/>
    </row>
    <row r="27" spans="1:24" ht="13.5" thickBot="1" x14ac:dyDescent="0.25">
      <c r="A27" s="103" t="s">
        <v>15</v>
      </c>
      <c r="B27" s="104"/>
      <c r="C27" s="105"/>
      <c r="D27" s="80">
        <v>0</v>
      </c>
      <c r="E27" s="25">
        <v>0</v>
      </c>
      <c r="F27" s="81">
        <v>1</v>
      </c>
      <c r="G27" s="25">
        <v>0</v>
      </c>
      <c r="H27" s="81">
        <v>8</v>
      </c>
      <c r="I27" s="25">
        <v>0</v>
      </c>
      <c r="J27" s="81">
        <v>18</v>
      </c>
      <c r="K27" s="25">
        <v>3</v>
      </c>
      <c r="L27" s="81">
        <v>22</v>
      </c>
      <c r="M27" s="25">
        <v>8</v>
      </c>
      <c r="N27" s="81">
        <v>14</v>
      </c>
      <c r="O27" s="25">
        <v>4</v>
      </c>
      <c r="P27" s="81">
        <v>26</v>
      </c>
      <c r="Q27" s="71">
        <v>6</v>
      </c>
      <c r="R27" s="7">
        <v>28</v>
      </c>
      <c r="S27" s="312">
        <v>9</v>
      </c>
      <c r="T27" s="7">
        <v>27</v>
      </c>
      <c r="U27" s="83"/>
      <c r="W27" s="9">
        <f>AVERAGE(N27,L27,R27,TJ27,P27)</f>
        <v>22.5</v>
      </c>
      <c r="X27" s="632">
        <f>AVERAGE(O27,M27,S27,K27,Q27)</f>
        <v>6</v>
      </c>
    </row>
    <row r="28" spans="1:24" ht="18" customHeight="1" thickTop="1" thickBot="1" x14ac:dyDescent="0.25">
      <c r="A28" s="219" t="s">
        <v>62</v>
      </c>
      <c r="B28" s="1048"/>
      <c r="C28" s="1047"/>
      <c r="D28" s="1048"/>
      <c r="E28" s="1047"/>
      <c r="F28" s="1048"/>
      <c r="G28" s="1047"/>
      <c r="H28" s="1048"/>
      <c r="I28" s="1047"/>
      <c r="J28" s="1048"/>
      <c r="K28" s="1047"/>
      <c r="L28" s="1048"/>
      <c r="M28" s="1047"/>
      <c r="N28" s="1048"/>
      <c r="O28" s="1047"/>
      <c r="P28" s="1048"/>
      <c r="Q28" s="1047"/>
      <c r="R28" s="1048"/>
      <c r="S28" s="1047"/>
      <c r="T28" s="1046"/>
      <c r="U28" s="1042"/>
      <c r="V28" s="157"/>
      <c r="W28" s="1041"/>
      <c r="X28" s="1042"/>
    </row>
    <row r="29" spans="1:24" ht="15" customHeight="1" x14ac:dyDescent="0.2">
      <c r="A29" s="494" t="s">
        <v>170</v>
      </c>
      <c r="B29" s="220"/>
      <c r="C29" s="221"/>
      <c r="D29" s="222"/>
      <c r="E29" s="221"/>
      <c r="F29" s="222"/>
      <c r="G29" s="221"/>
      <c r="H29" s="222"/>
      <c r="I29" s="221"/>
      <c r="J29" s="222"/>
      <c r="K29" s="221"/>
      <c r="L29" s="222"/>
      <c r="M29" s="221"/>
      <c r="N29" s="222"/>
      <c r="O29" s="221"/>
      <c r="P29" s="222"/>
      <c r="Q29" s="221"/>
      <c r="R29" s="222"/>
      <c r="S29" s="221"/>
      <c r="T29" s="979"/>
      <c r="U29" s="223"/>
      <c r="V29" s="224"/>
      <c r="W29" s="282"/>
      <c r="X29" s="225" t="e">
        <f>AVERAGE(O29,M29,S29,U29,Q29)</f>
        <v>#DIV/0!</v>
      </c>
    </row>
    <row r="30" spans="1:24" ht="15" customHeight="1" x14ac:dyDescent="0.2">
      <c r="A30" s="493" t="s">
        <v>111</v>
      </c>
      <c r="B30" s="226"/>
      <c r="C30" s="227">
        <v>0.46</v>
      </c>
      <c r="D30" s="228"/>
      <c r="E30" s="227">
        <v>0.3</v>
      </c>
      <c r="F30" s="228"/>
      <c r="G30" s="227">
        <v>0.3</v>
      </c>
      <c r="H30" s="228"/>
      <c r="I30" s="227">
        <v>0.52</v>
      </c>
      <c r="J30" s="228"/>
      <c r="K30" s="227">
        <v>0.33</v>
      </c>
      <c r="L30" s="228"/>
      <c r="M30" s="227">
        <v>0.43</v>
      </c>
      <c r="N30" s="228"/>
      <c r="O30" s="227">
        <v>0.5</v>
      </c>
      <c r="P30" s="229"/>
      <c r="Q30" s="286">
        <v>0.42</v>
      </c>
      <c r="R30" s="229"/>
      <c r="S30" s="1022"/>
      <c r="T30" s="980"/>
      <c r="U30" s="440"/>
      <c r="V30" s="224"/>
      <c r="W30" s="283"/>
      <c r="X30" s="225">
        <f t="shared" ref="X30:X33" si="15">AVERAGE(O30,M30,S30,K30,Q30)</f>
        <v>0.42</v>
      </c>
    </row>
    <row r="31" spans="1:24" ht="15" customHeight="1" x14ac:dyDescent="0.2">
      <c r="A31" s="495" t="s">
        <v>112</v>
      </c>
      <c r="B31" s="230"/>
      <c r="C31" s="284">
        <v>0.47</v>
      </c>
      <c r="D31" s="228"/>
      <c r="E31" s="231">
        <v>0.33</v>
      </c>
      <c r="F31" s="228"/>
      <c r="G31" s="231">
        <v>0.43</v>
      </c>
      <c r="H31" s="228"/>
      <c r="I31" s="231">
        <v>0.4</v>
      </c>
      <c r="J31" s="228"/>
      <c r="K31" s="231">
        <v>0.37</v>
      </c>
      <c r="L31" s="228"/>
      <c r="M31" s="231">
        <v>0.42</v>
      </c>
      <c r="N31" s="228"/>
      <c r="O31" s="231">
        <v>0.5</v>
      </c>
      <c r="P31" s="228"/>
      <c r="Q31" s="286">
        <v>0.64</v>
      </c>
      <c r="R31" s="228"/>
      <c r="S31" s="1018"/>
      <c r="T31" s="227"/>
      <c r="U31" s="423"/>
      <c r="V31" s="224"/>
      <c r="W31" s="283"/>
      <c r="X31" s="225">
        <f t="shared" si="15"/>
        <v>0.48250000000000004</v>
      </c>
    </row>
    <row r="32" spans="1:24" ht="15" customHeight="1" x14ac:dyDescent="0.2">
      <c r="A32" s="493" t="s">
        <v>113</v>
      </c>
      <c r="B32" s="230"/>
      <c r="C32" s="284">
        <v>0.46</v>
      </c>
      <c r="D32" s="228"/>
      <c r="E32" s="231">
        <v>0.56999999999999995</v>
      </c>
      <c r="F32" s="228"/>
      <c r="G32" s="231">
        <v>0.63</v>
      </c>
      <c r="H32" s="228"/>
      <c r="I32" s="231">
        <v>0.45</v>
      </c>
      <c r="J32" s="228"/>
      <c r="K32" s="231">
        <v>0.57999999999999996</v>
      </c>
      <c r="L32" s="228"/>
      <c r="M32" s="231">
        <v>0.43</v>
      </c>
      <c r="N32" s="228"/>
      <c r="O32" s="231">
        <v>0.5</v>
      </c>
      <c r="P32" s="228"/>
      <c r="Q32" s="286">
        <v>0.51</v>
      </c>
      <c r="R32" s="228"/>
      <c r="S32" s="1018"/>
      <c r="T32" s="227"/>
      <c r="U32" s="423"/>
      <c r="V32" s="224"/>
      <c r="W32" s="283"/>
      <c r="X32" s="225">
        <f t="shared" si="15"/>
        <v>0.50499999999999989</v>
      </c>
    </row>
    <row r="33" spans="1:27" ht="15" customHeight="1" x14ac:dyDescent="0.2">
      <c r="A33" s="493" t="s">
        <v>114</v>
      </c>
      <c r="B33" s="232"/>
      <c r="C33" s="284">
        <v>0.53</v>
      </c>
      <c r="D33" s="233"/>
      <c r="E33" s="234">
        <v>0.6</v>
      </c>
      <c r="F33" s="233"/>
      <c r="G33" s="234">
        <v>0.56999999999999995</v>
      </c>
      <c r="H33" s="233"/>
      <c r="I33" s="234">
        <v>0.53</v>
      </c>
      <c r="J33" s="233"/>
      <c r="K33" s="234">
        <v>0.47</v>
      </c>
      <c r="L33" s="233"/>
      <c r="M33" s="234">
        <v>0.53</v>
      </c>
      <c r="N33" s="233"/>
      <c r="O33" s="234">
        <v>0.5</v>
      </c>
      <c r="P33" s="233"/>
      <c r="Q33" s="530">
        <v>0.32</v>
      </c>
      <c r="R33" s="233"/>
      <c r="S33" s="1019"/>
      <c r="T33" s="981"/>
      <c r="U33" s="441"/>
      <c r="V33" s="224"/>
      <c r="W33" s="280"/>
      <c r="X33" s="225">
        <f t="shared" si="15"/>
        <v>0.45500000000000002</v>
      </c>
    </row>
    <row r="34" spans="1:27" ht="15" customHeight="1" thickBot="1" x14ac:dyDescent="0.25">
      <c r="A34" s="492" t="s">
        <v>66</v>
      </c>
      <c r="B34" s="235"/>
      <c r="C34" s="236"/>
      <c r="D34" s="235"/>
      <c r="E34" s="236"/>
      <c r="F34" s="235"/>
      <c r="G34" s="236"/>
      <c r="H34" s="235"/>
      <c r="I34" s="236"/>
      <c r="J34" s="235"/>
      <c r="K34" s="236"/>
      <c r="L34" s="235"/>
      <c r="M34" s="236"/>
      <c r="N34" s="235"/>
      <c r="O34" s="236"/>
      <c r="P34" s="235"/>
      <c r="Q34" s="236"/>
      <c r="R34" s="235"/>
      <c r="S34" s="236"/>
      <c r="T34" s="680"/>
      <c r="U34" s="237"/>
      <c r="V34" s="157"/>
      <c r="W34" s="281"/>
      <c r="X34" s="225" t="e">
        <f t="shared" ref="X34" si="16">AVERAGE(O34,M34,S34,U34,Q34)</f>
        <v>#DIV/0!</v>
      </c>
    </row>
    <row r="35" spans="1:27" ht="18" customHeight="1" thickTop="1" thickBot="1" x14ac:dyDescent="0.25">
      <c r="A35" s="173" t="s">
        <v>67</v>
      </c>
      <c r="B35" s="1048"/>
      <c r="C35" s="1047"/>
      <c r="D35" s="1048"/>
      <c r="E35" s="1047"/>
      <c r="F35" s="1048"/>
      <c r="G35" s="1047"/>
      <c r="H35" s="1048"/>
      <c r="I35" s="1047"/>
      <c r="J35" s="1048"/>
      <c r="K35" s="1047"/>
      <c r="L35" s="1048"/>
      <c r="M35" s="1047"/>
      <c r="N35" s="1048"/>
      <c r="O35" s="1047"/>
      <c r="P35" s="1048"/>
      <c r="Q35" s="1047"/>
      <c r="R35" s="1048"/>
      <c r="S35" s="1047"/>
      <c r="T35" s="1046"/>
      <c r="U35" s="1042"/>
      <c r="V35" s="157"/>
      <c r="W35" s="1041"/>
      <c r="X35" s="1042"/>
    </row>
    <row r="36" spans="1:27" ht="15" customHeight="1" x14ac:dyDescent="0.2">
      <c r="A36" s="496" t="s">
        <v>109</v>
      </c>
      <c r="B36" s="220"/>
      <c r="C36" s="238">
        <v>24.3</v>
      </c>
      <c r="D36" s="239"/>
      <c r="E36" s="238">
        <v>25.3</v>
      </c>
      <c r="F36" s="239"/>
      <c r="G36" s="238">
        <v>24.5</v>
      </c>
      <c r="H36" s="239"/>
      <c r="I36" s="238">
        <v>25.2</v>
      </c>
      <c r="J36" s="239"/>
      <c r="K36" s="238">
        <v>24.7</v>
      </c>
      <c r="L36" s="239"/>
      <c r="M36" s="238">
        <v>24.5</v>
      </c>
      <c r="N36" s="239"/>
      <c r="O36" s="238">
        <v>25.2</v>
      </c>
      <c r="P36" s="239"/>
      <c r="Q36" s="238">
        <v>25.4</v>
      </c>
      <c r="R36" s="239"/>
      <c r="S36" s="238">
        <v>25.2</v>
      </c>
      <c r="T36" s="978"/>
      <c r="U36" s="240"/>
      <c r="V36" s="157"/>
      <c r="W36" s="287"/>
      <c r="X36" s="288">
        <f>AVERAGE(O36,M36,S36,U36,Q36)</f>
        <v>25.075000000000003</v>
      </c>
    </row>
    <row r="37" spans="1:27" ht="15" customHeight="1" thickBot="1" x14ac:dyDescent="0.25">
      <c r="A37" s="492" t="s">
        <v>110</v>
      </c>
      <c r="B37" s="242"/>
      <c r="C37" s="243">
        <v>23.3</v>
      </c>
      <c r="D37" s="242"/>
      <c r="E37" s="243">
        <v>23.8</v>
      </c>
      <c r="F37" s="242"/>
      <c r="G37" s="243">
        <v>23.5</v>
      </c>
      <c r="H37" s="242"/>
      <c r="I37" s="243">
        <v>23.6</v>
      </c>
      <c r="J37" s="242"/>
      <c r="K37" s="243">
        <v>24</v>
      </c>
      <c r="L37" s="242"/>
      <c r="M37" s="243">
        <v>24</v>
      </c>
      <c r="N37" s="242"/>
      <c r="O37" s="243">
        <v>24</v>
      </c>
      <c r="P37" s="242"/>
      <c r="Q37" s="243">
        <v>24</v>
      </c>
      <c r="R37" s="242"/>
      <c r="S37" s="243">
        <v>24.6</v>
      </c>
      <c r="T37" s="683"/>
      <c r="U37" s="244"/>
      <c r="V37" s="157"/>
      <c r="W37" s="289"/>
      <c r="X37" s="663">
        <f>AVERAGE(O37,M37,S37,U37,Q37)</f>
        <v>24.15</v>
      </c>
    </row>
    <row r="38" spans="1:27" ht="18" customHeight="1" thickTop="1" thickBot="1" x14ac:dyDescent="0.25">
      <c r="A38" s="245" t="s">
        <v>16</v>
      </c>
      <c r="B38" s="1048"/>
      <c r="C38" s="1047"/>
      <c r="D38" s="1048"/>
      <c r="E38" s="1047"/>
      <c r="F38" s="1048"/>
      <c r="G38" s="1047"/>
      <c r="H38" s="1048"/>
      <c r="I38" s="1047"/>
      <c r="J38" s="1048"/>
      <c r="K38" s="1047"/>
      <c r="L38" s="1048"/>
      <c r="M38" s="1047"/>
      <c r="N38" s="1048"/>
      <c r="O38" s="1047"/>
      <c r="P38" s="1048"/>
      <c r="Q38" s="1047"/>
      <c r="R38" s="1048"/>
      <c r="S38" s="1047"/>
      <c r="T38" s="1046"/>
      <c r="U38" s="1042"/>
      <c r="V38" s="157"/>
      <c r="W38" s="1041"/>
      <c r="X38" s="1042"/>
    </row>
    <row r="39" spans="1:27" ht="15" customHeight="1" x14ac:dyDescent="0.2">
      <c r="A39" s="493" t="s">
        <v>17</v>
      </c>
      <c r="B39" s="69"/>
      <c r="C39" s="204">
        <v>2839</v>
      </c>
      <c r="D39" s="70"/>
      <c r="E39" s="71">
        <v>2924</v>
      </c>
      <c r="F39" s="69"/>
      <c r="G39" s="71">
        <v>3076</v>
      </c>
      <c r="H39" s="69"/>
      <c r="I39" s="71">
        <v>3108</v>
      </c>
      <c r="J39" s="69"/>
      <c r="K39" s="71">
        <v>3060</v>
      </c>
      <c r="L39" s="69"/>
      <c r="M39" s="71">
        <v>3120</v>
      </c>
      <c r="N39" s="69"/>
      <c r="O39" s="71">
        <v>3304</v>
      </c>
      <c r="P39" s="69"/>
      <c r="Q39" s="71">
        <v>3263</v>
      </c>
      <c r="R39" s="69"/>
      <c r="S39" s="25">
        <v>3342</v>
      </c>
      <c r="T39" s="69"/>
      <c r="U39" s="976"/>
      <c r="V39" s="157"/>
      <c r="W39" s="246"/>
      <c r="X39" s="28">
        <f t="shared" ref="X39:X43" si="17">AVERAGE(O39,M39,S39,K39,Q39)</f>
        <v>3217.8</v>
      </c>
    </row>
    <row r="40" spans="1:27" ht="15" customHeight="1" x14ac:dyDescent="0.2">
      <c r="A40" s="493" t="s">
        <v>18</v>
      </c>
      <c r="B40" s="69"/>
      <c r="C40" s="204">
        <v>4449</v>
      </c>
      <c r="D40" s="70"/>
      <c r="E40" s="71">
        <v>4311</v>
      </c>
      <c r="F40" s="69"/>
      <c r="G40" s="71">
        <v>4827</v>
      </c>
      <c r="H40" s="69"/>
      <c r="I40" s="71">
        <v>4726</v>
      </c>
      <c r="J40" s="69"/>
      <c r="K40" s="71">
        <v>5053</v>
      </c>
      <c r="L40" s="69"/>
      <c r="M40" s="71">
        <v>5218</v>
      </c>
      <c r="N40" s="69"/>
      <c r="O40" s="71">
        <v>5504</v>
      </c>
      <c r="P40" s="69"/>
      <c r="Q40" s="71">
        <v>5405</v>
      </c>
      <c r="R40" s="69"/>
      <c r="S40" s="25">
        <v>5867</v>
      </c>
      <c r="T40" s="69"/>
      <c r="U40" s="976"/>
      <c r="V40" s="157"/>
      <c r="W40" s="247"/>
      <c r="X40" s="28">
        <f t="shared" si="17"/>
        <v>5409.4</v>
      </c>
    </row>
    <row r="41" spans="1:27" ht="15" customHeight="1" x14ac:dyDescent="0.2">
      <c r="A41" s="493" t="s">
        <v>19</v>
      </c>
      <c r="B41" s="69"/>
      <c r="C41" s="204">
        <v>289</v>
      </c>
      <c r="D41" s="70"/>
      <c r="E41" s="71">
        <v>265</v>
      </c>
      <c r="F41" s="69"/>
      <c r="G41" s="71">
        <v>297</v>
      </c>
      <c r="H41" s="69"/>
      <c r="I41" s="71">
        <v>392</v>
      </c>
      <c r="J41" s="69"/>
      <c r="K41" s="71">
        <v>504</v>
      </c>
      <c r="L41" s="69"/>
      <c r="M41" s="71">
        <v>548</v>
      </c>
      <c r="N41" s="69"/>
      <c r="O41" s="71">
        <v>610</v>
      </c>
      <c r="P41" s="69"/>
      <c r="Q41" s="71">
        <v>573</v>
      </c>
      <c r="R41" s="69"/>
      <c r="S41" s="25">
        <v>606</v>
      </c>
      <c r="T41" s="69"/>
      <c r="U41" s="976"/>
      <c r="V41" s="157"/>
      <c r="W41" s="247"/>
      <c r="X41" s="28">
        <f t="shared" si="17"/>
        <v>568.20000000000005</v>
      </c>
    </row>
    <row r="42" spans="1:27" ht="15" customHeight="1" thickBot="1" x14ac:dyDescent="0.25">
      <c r="A42" s="612" t="s">
        <v>20</v>
      </c>
      <c r="B42" s="44"/>
      <c r="C42" s="204">
        <v>190</v>
      </c>
      <c r="D42" s="70"/>
      <c r="E42" s="71">
        <v>192</v>
      </c>
      <c r="F42" s="69"/>
      <c r="G42" s="71">
        <v>188</v>
      </c>
      <c r="H42" s="69"/>
      <c r="I42" s="71">
        <v>157</v>
      </c>
      <c r="J42" s="69"/>
      <c r="K42" s="71">
        <v>160</v>
      </c>
      <c r="L42" s="69"/>
      <c r="M42" s="71">
        <v>107</v>
      </c>
      <c r="N42" s="69"/>
      <c r="O42" s="71">
        <v>100</v>
      </c>
      <c r="P42" s="69"/>
      <c r="Q42" s="71">
        <v>256</v>
      </c>
      <c r="R42" s="44"/>
      <c r="S42" s="397">
        <v>163</v>
      </c>
      <c r="T42" s="44"/>
      <c r="U42" s="966"/>
      <c r="V42" s="157"/>
      <c r="W42" s="248"/>
      <c r="X42" s="277">
        <f t="shared" si="17"/>
        <v>157.19999999999999</v>
      </c>
    </row>
    <row r="43" spans="1:27" ht="15" customHeight="1" thickBot="1" x14ac:dyDescent="0.25">
      <c r="A43" s="615" t="s">
        <v>21</v>
      </c>
      <c r="B43" s="72"/>
      <c r="C43" s="73">
        <f>SUM(C39:C42)</f>
        <v>7767</v>
      </c>
      <c r="D43" s="74"/>
      <c r="E43" s="75">
        <f>SUM(E39:E42)</f>
        <v>7692</v>
      </c>
      <c r="F43" s="72"/>
      <c r="G43" s="75">
        <f>SUM(G39:G42)</f>
        <v>8388</v>
      </c>
      <c r="H43" s="72"/>
      <c r="I43" s="75">
        <f>SUM(I39:I42)</f>
        <v>8383</v>
      </c>
      <c r="J43" s="72"/>
      <c r="K43" s="75">
        <f>SUM(K39:K42)</f>
        <v>8777</v>
      </c>
      <c r="L43" s="72"/>
      <c r="M43" s="75">
        <f>SUM(M39:M42)</f>
        <v>8993</v>
      </c>
      <c r="N43" s="72"/>
      <c r="O43" s="75">
        <f>SUM(O39:O42)</f>
        <v>9518</v>
      </c>
      <c r="P43" s="72"/>
      <c r="Q43" s="75">
        <f>SUM(Q39:Q42)</f>
        <v>9497</v>
      </c>
      <c r="R43" s="72"/>
      <c r="S43" s="50">
        <f>SUM(S39:S42)</f>
        <v>9978</v>
      </c>
      <c r="T43" s="72"/>
      <c r="U43" s="977">
        <f>SUM(U39:U42)</f>
        <v>0</v>
      </c>
      <c r="V43" s="157"/>
      <c r="W43" s="260"/>
      <c r="X43" s="279">
        <f t="shared" si="17"/>
        <v>9352.6</v>
      </c>
    </row>
    <row r="44" spans="1:27" ht="15" customHeight="1" thickTop="1" thickBot="1" x14ac:dyDescent="0.25">
      <c r="A44" s="826" t="s">
        <v>183</v>
      </c>
      <c r="B44" s="250"/>
      <c r="C44" s="251"/>
      <c r="D44" s="250"/>
      <c r="E44" s="251"/>
      <c r="F44" s="250"/>
      <c r="G44" s="251"/>
      <c r="H44" s="250"/>
      <c r="I44" s="251"/>
      <c r="J44" s="250"/>
      <c r="K44" s="251"/>
      <c r="L44" s="250"/>
      <c r="M44" s="251"/>
      <c r="N44" s="250"/>
      <c r="O44" s="251"/>
      <c r="P44" s="250"/>
      <c r="Q44" s="251"/>
      <c r="R44" s="250"/>
      <c r="S44" s="251"/>
      <c r="T44" s="250"/>
      <c r="U44" s="251"/>
      <c r="V44" s="252"/>
      <c r="W44" s="253"/>
      <c r="X44" s="251"/>
    </row>
    <row r="45" spans="1:27" ht="18" customHeight="1" thickTop="1" thickBot="1" x14ac:dyDescent="0.25">
      <c r="A45" s="469" t="s">
        <v>22</v>
      </c>
      <c r="B45" s="1039" t="s">
        <v>23</v>
      </c>
      <c r="C45" s="1043"/>
      <c r="D45" s="1039" t="s">
        <v>24</v>
      </c>
      <c r="E45" s="1040"/>
      <c r="F45" s="1039" t="s">
        <v>25</v>
      </c>
      <c r="G45" s="1040"/>
      <c r="H45" s="1039" t="s">
        <v>26</v>
      </c>
      <c r="I45" s="1040"/>
      <c r="J45" s="1039" t="s">
        <v>27</v>
      </c>
      <c r="K45" s="1040"/>
      <c r="L45" s="1039" t="s">
        <v>28</v>
      </c>
      <c r="M45" s="1040"/>
      <c r="N45" s="1039" t="s">
        <v>29</v>
      </c>
      <c r="O45" s="1040"/>
      <c r="P45" s="1039" t="s">
        <v>30</v>
      </c>
      <c r="Q45" s="1040"/>
      <c r="R45" s="1039" t="s">
        <v>31</v>
      </c>
      <c r="S45" s="1040"/>
      <c r="T45" s="1060" t="s">
        <v>200</v>
      </c>
      <c r="U45" s="1051"/>
      <c r="V45" s="175"/>
      <c r="W45" s="1041" t="s">
        <v>9</v>
      </c>
      <c r="X45" s="1042"/>
      <c r="Y45" s="32"/>
      <c r="Z45" s="32"/>
      <c r="AA45" s="33"/>
    </row>
    <row r="46" spans="1:27" ht="15" customHeight="1" x14ac:dyDescent="0.2">
      <c r="A46" s="716" t="s">
        <v>167</v>
      </c>
      <c r="B46" s="176"/>
      <c r="C46" s="177">
        <v>0.28999999999999998</v>
      </c>
      <c r="D46" s="178"/>
      <c r="E46" s="179">
        <v>0.26900000000000002</v>
      </c>
      <c r="F46" s="180"/>
      <c r="G46" s="179">
        <v>0.26900000000000002</v>
      </c>
      <c r="H46" s="180"/>
      <c r="I46" s="179">
        <v>0.29899999999999999</v>
      </c>
      <c r="J46" s="180"/>
      <c r="K46" s="179">
        <v>0.21299999999999999</v>
      </c>
      <c r="L46" s="180"/>
      <c r="M46" s="179">
        <v>0.22500000000000001</v>
      </c>
      <c r="N46" s="180"/>
      <c r="O46" s="179">
        <v>0.29699999999999999</v>
      </c>
      <c r="P46" s="180"/>
      <c r="Q46" s="179">
        <v>0.31900000000000001</v>
      </c>
      <c r="R46" s="180"/>
      <c r="S46" s="179">
        <v>0.28399999999999997</v>
      </c>
      <c r="T46" s="180"/>
      <c r="U46" s="181">
        <v>0.28399999999999997</v>
      </c>
      <c r="V46" s="182"/>
      <c r="W46" s="183"/>
      <c r="X46" s="184">
        <f>AVERAGE(O46,M46,S46,U46,Q46)</f>
        <v>0.28179999999999999</v>
      </c>
      <c r="Y46" s="32"/>
      <c r="Z46" s="32"/>
      <c r="AA46" s="33"/>
    </row>
    <row r="47" spans="1:27" ht="15" customHeight="1" x14ac:dyDescent="0.2">
      <c r="A47" s="717" t="s">
        <v>168</v>
      </c>
      <c r="B47" s="185"/>
      <c r="C47" s="186">
        <v>3.3000000000000002E-2</v>
      </c>
      <c r="D47" s="185"/>
      <c r="E47" s="186">
        <v>3.6999999999999998E-2</v>
      </c>
      <c r="F47" s="187"/>
      <c r="G47" s="186">
        <v>3.7999999999999999E-2</v>
      </c>
      <c r="H47" s="187"/>
      <c r="I47" s="186">
        <v>2.5000000000000001E-2</v>
      </c>
      <c r="J47" s="187"/>
      <c r="K47" s="186">
        <v>5.1999999999999998E-2</v>
      </c>
      <c r="L47" s="187"/>
      <c r="M47" s="186">
        <v>5.8000000000000003E-2</v>
      </c>
      <c r="N47" s="187"/>
      <c r="O47" s="186">
        <v>4.9000000000000002E-2</v>
      </c>
      <c r="P47" s="187"/>
      <c r="Q47" s="186">
        <v>6.6000000000000003E-2</v>
      </c>
      <c r="R47" s="187"/>
      <c r="S47" s="186">
        <v>5.7000000000000002E-2</v>
      </c>
      <c r="T47" s="187"/>
      <c r="U47" s="188">
        <v>4.8000000000000001E-2</v>
      </c>
      <c r="V47" s="182"/>
      <c r="W47" s="189"/>
      <c r="X47" s="190">
        <f>AVERAGE(O47,M47,S47,U47,Q47)</f>
        <v>5.5600000000000004E-2</v>
      </c>
      <c r="Y47" s="32"/>
      <c r="Z47" s="32"/>
      <c r="AA47" s="33"/>
    </row>
    <row r="48" spans="1:27" ht="15" customHeight="1" thickBot="1" x14ac:dyDescent="0.25">
      <c r="A48" s="718" t="s">
        <v>169</v>
      </c>
      <c r="B48" s="1058">
        <f>1-C46-C47</f>
        <v>0.67699999999999994</v>
      </c>
      <c r="C48" s="1055"/>
      <c r="D48" s="1058">
        <f>1-E46-E47</f>
        <v>0.69399999999999995</v>
      </c>
      <c r="E48" s="1055"/>
      <c r="F48" s="1058">
        <f>1-G46-G47</f>
        <v>0.69299999999999995</v>
      </c>
      <c r="G48" s="1055"/>
      <c r="H48" s="1058">
        <f>1-I46-I47</f>
        <v>0.67600000000000005</v>
      </c>
      <c r="I48" s="1055"/>
      <c r="J48" s="1058">
        <f>1-K46-K47</f>
        <v>0.73499999999999999</v>
      </c>
      <c r="K48" s="1055"/>
      <c r="L48" s="1058">
        <f>1-M46-M47</f>
        <v>0.71699999999999997</v>
      </c>
      <c r="M48" s="1055"/>
      <c r="N48" s="1058">
        <f>1-O46-O47</f>
        <v>0.65400000000000003</v>
      </c>
      <c r="O48" s="1055"/>
      <c r="P48" s="1058">
        <f>1-Q46-Q47</f>
        <v>0.61499999999999999</v>
      </c>
      <c r="Q48" s="1055"/>
      <c r="R48" s="1058">
        <f>1-S46-S47</f>
        <v>0.65899999999999992</v>
      </c>
      <c r="S48" s="1055"/>
      <c r="T48" s="1054">
        <f>1-U46-U47</f>
        <v>0.66799999999999993</v>
      </c>
      <c r="U48" s="1057"/>
      <c r="V48" s="182"/>
      <c r="W48" s="1056">
        <f>AVERAGE(N48,L48,R48,T48,P48)</f>
        <v>0.66259999999999997</v>
      </c>
      <c r="X48" s="1057" t="e">
        <f>AVERAGE(O48,M48,I48,K48,Q48)</f>
        <v>#DIV/0!</v>
      </c>
      <c r="Y48" s="34"/>
      <c r="Z48" s="32"/>
      <c r="AA48" s="33"/>
    </row>
    <row r="49" spans="1:26" s="3" customFormat="1" ht="18" customHeight="1" thickTop="1" thickBot="1" x14ac:dyDescent="0.25">
      <c r="A49" s="158" t="s">
        <v>60</v>
      </c>
      <c r="B49" s="159" t="s">
        <v>32</v>
      </c>
      <c r="C49" s="727" t="s">
        <v>65</v>
      </c>
      <c r="D49" s="728" t="s">
        <v>32</v>
      </c>
      <c r="E49" s="160" t="s">
        <v>65</v>
      </c>
      <c r="F49" s="159" t="s">
        <v>32</v>
      </c>
      <c r="G49" s="727" t="s">
        <v>65</v>
      </c>
      <c r="H49" s="728" t="s">
        <v>32</v>
      </c>
      <c r="I49" s="160" t="s">
        <v>65</v>
      </c>
      <c r="J49" s="159" t="s">
        <v>32</v>
      </c>
      <c r="K49" s="727" t="s">
        <v>65</v>
      </c>
      <c r="L49" s="728" t="s">
        <v>32</v>
      </c>
      <c r="M49" s="160" t="s">
        <v>65</v>
      </c>
      <c r="N49" s="159" t="s">
        <v>32</v>
      </c>
      <c r="O49" s="727" t="s">
        <v>65</v>
      </c>
      <c r="P49" s="728" t="s">
        <v>32</v>
      </c>
      <c r="Q49" s="160" t="s">
        <v>65</v>
      </c>
      <c r="R49" s="728" t="s">
        <v>32</v>
      </c>
      <c r="S49" s="160" t="s">
        <v>65</v>
      </c>
      <c r="T49" s="986" t="s">
        <v>32</v>
      </c>
      <c r="U49" s="161" t="s">
        <v>65</v>
      </c>
      <c r="V49" s="162"/>
      <c r="W49" s="729" t="s">
        <v>32</v>
      </c>
      <c r="X49" s="163" t="s">
        <v>65</v>
      </c>
    </row>
    <row r="50" spans="1:26" ht="15" customHeight="1" x14ac:dyDescent="0.2">
      <c r="A50" s="496" t="s">
        <v>180</v>
      </c>
      <c r="B50" s="762"/>
      <c r="C50" s="763"/>
      <c r="D50" s="762"/>
      <c r="E50" s="763"/>
      <c r="F50" s="762"/>
      <c r="G50" s="763"/>
      <c r="H50" s="164">
        <v>3</v>
      </c>
      <c r="I50" s="165">
        <f>H50/H16</f>
        <v>0.75</v>
      </c>
      <c r="J50" s="164">
        <v>4</v>
      </c>
      <c r="K50" s="165">
        <f>J50/J16</f>
        <v>1</v>
      </c>
      <c r="L50" s="164">
        <v>3</v>
      </c>
      <c r="M50" s="165">
        <f>L50/L16</f>
        <v>0.33333333333333331</v>
      </c>
      <c r="N50" s="164">
        <v>3</v>
      </c>
      <c r="O50" s="165">
        <f>N50/N16</f>
        <v>0.3</v>
      </c>
      <c r="P50" s="164">
        <v>6</v>
      </c>
      <c r="Q50" s="165">
        <f>P50/P16</f>
        <v>0.66666666666666663</v>
      </c>
      <c r="R50" s="164">
        <v>8</v>
      </c>
      <c r="S50" s="165">
        <f>R50/R16</f>
        <v>0.72727272727272729</v>
      </c>
      <c r="T50" s="987"/>
      <c r="U50" s="417">
        <f>T50/T16</f>
        <v>0</v>
      </c>
      <c r="V50" s="157"/>
      <c r="W50" s="767">
        <f>AVERAGE(N50,L50,R50,T50,P50)</f>
        <v>5</v>
      </c>
      <c r="X50" s="417">
        <f>W50/W16</f>
        <v>0.51282051282051277</v>
      </c>
    </row>
    <row r="51" spans="1:26" ht="15" customHeight="1" x14ac:dyDescent="0.2">
      <c r="A51" s="612" t="s">
        <v>181</v>
      </c>
      <c r="B51" s="820"/>
      <c r="C51" s="821"/>
      <c r="D51" s="820"/>
      <c r="E51" s="821"/>
      <c r="F51" s="820"/>
      <c r="G51" s="821"/>
      <c r="H51" s="822">
        <v>11</v>
      </c>
      <c r="I51" s="823">
        <f>H51/H17</f>
        <v>0.61111111111111116</v>
      </c>
      <c r="J51" s="822">
        <v>11</v>
      </c>
      <c r="K51" s="823">
        <f>J51/J17</f>
        <v>0.61111111111111116</v>
      </c>
      <c r="L51" s="822">
        <v>8</v>
      </c>
      <c r="M51" s="823">
        <f>L51/L17</f>
        <v>0.53333333333333333</v>
      </c>
      <c r="N51" s="822">
        <v>8</v>
      </c>
      <c r="O51" s="823">
        <f>N51/N17</f>
        <v>0.5714285714285714</v>
      </c>
      <c r="P51" s="822">
        <v>13</v>
      </c>
      <c r="Q51" s="823">
        <f>P51/P17</f>
        <v>0.65</v>
      </c>
      <c r="R51" s="822">
        <v>17</v>
      </c>
      <c r="S51" s="823">
        <f>R51/R17</f>
        <v>0.68</v>
      </c>
      <c r="T51" s="988"/>
      <c r="U51" s="824">
        <f>T51/T17</f>
        <v>0</v>
      </c>
      <c r="V51" s="157"/>
      <c r="W51" s="166">
        <f>AVERAGE(N51,L51,R51,T51,P51)</f>
        <v>11.5</v>
      </c>
      <c r="X51" s="824">
        <f>W51/W17</f>
        <v>0.6216216216216216</v>
      </c>
    </row>
    <row r="52" spans="1:26" s="3" customFormat="1" ht="15" customHeight="1" thickBot="1" x14ac:dyDescent="0.25">
      <c r="A52" s="492" t="s">
        <v>148</v>
      </c>
      <c r="B52" s="769"/>
      <c r="C52" s="770"/>
      <c r="D52" s="769"/>
      <c r="E52" s="770"/>
      <c r="F52" s="769"/>
      <c r="G52" s="770"/>
      <c r="H52" s="168">
        <v>0</v>
      </c>
      <c r="I52" s="169">
        <f>H52/SUM(H27)</f>
        <v>0</v>
      </c>
      <c r="J52" s="168">
        <v>0</v>
      </c>
      <c r="K52" s="169">
        <f>J52/SUM(J27)</f>
        <v>0</v>
      </c>
      <c r="L52" s="168">
        <v>0</v>
      </c>
      <c r="M52" s="169">
        <f>L52/SUM(L27)</f>
        <v>0</v>
      </c>
      <c r="N52" s="168">
        <v>0</v>
      </c>
      <c r="O52" s="169">
        <f>N52/SUM(N27)</f>
        <v>0</v>
      </c>
      <c r="P52" s="168">
        <v>0</v>
      </c>
      <c r="Q52" s="169">
        <f>P52/SUM(P27)</f>
        <v>0</v>
      </c>
      <c r="R52" s="825">
        <v>0</v>
      </c>
      <c r="S52" s="169">
        <f>R52/SUM(R27)</f>
        <v>0</v>
      </c>
      <c r="T52" s="989"/>
      <c r="U52" s="170">
        <f>T52/SUM(T27)</f>
        <v>0</v>
      </c>
      <c r="V52" s="162"/>
      <c r="W52" s="171">
        <f>AVERAGE(N52,L52,R52,T52,P52)</f>
        <v>0</v>
      </c>
      <c r="X52" s="170">
        <f>W52/W27</f>
        <v>0</v>
      </c>
    </row>
    <row r="53" spans="1:26" s="3" customFormat="1" ht="15" customHeight="1" thickTop="1" x14ac:dyDescent="0.2">
      <c r="A53" s="814"/>
      <c r="B53" s="815"/>
      <c r="C53" s="816"/>
      <c r="D53" s="818"/>
      <c r="E53" s="819"/>
      <c r="F53" s="818"/>
      <c r="G53" s="819"/>
      <c r="H53" s="216"/>
      <c r="I53" s="489"/>
      <c r="J53" s="216"/>
      <c r="K53" s="489"/>
      <c r="L53" s="216"/>
      <c r="M53" s="489"/>
      <c r="N53" s="216"/>
      <c r="O53" s="489"/>
      <c r="P53" s="216"/>
      <c r="Q53" s="489"/>
      <c r="R53" s="216"/>
      <c r="S53" s="489"/>
      <c r="T53" s="216"/>
      <c r="U53" s="489"/>
      <c r="V53" s="838"/>
      <c r="W53" s="817"/>
      <c r="X53" s="489"/>
    </row>
    <row r="54" spans="1:26" s="3" customFormat="1" ht="15" customHeight="1" thickBot="1" x14ac:dyDescent="0.25">
      <c r="A54" s="839"/>
      <c r="B54" s="840"/>
      <c r="C54" s="841"/>
      <c r="D54" s="840"/>
      <c r="E54" s="841"/>
      <c r="F54" s="840"/>
      <c r="G54" s="841"/>
      <c r="H54" s="840"/>
      <c r="I54" s="841"/>
      <c r="J54" s="840"/>
      <c r="K54" s="841"/>
      <c r="L54" s="840"/>
      <c r="M54" s="841"/>
      <c r="N54" s="840"/>
      <c r="O54" s="841"/>
      <c r="P54" s="840"/>
      <c r="Q54" s="841"/>
      <c r="R54" s="840"/>
      <c r="S54" s="841"/>
      <c r="T54" s="840"/>
      <c r="U54" s="841"/>
      <c r="V54" s="838"/>
      <c r="W54" s="837"/>
      <c r="X54" s="836"/>
    </row>
    <row r="55" spans="1:26" s="1" customFormat="1" ht="18" customHeight="1" thickTop="1" thickBot="1" x14ac:dyDescent="0.25">
      <c r="A55" s="174" t="s">
        <v>157</v>
      </c>
      <c r="B55" s="1039" t="s">
        <v>23</v>
      </c>
      <c r="C55" s="1043"/>
      <c r="D55" s="1039" t="s">
        <v>24</v>
      </c>
      <c r="E55" s="1040"/>
      <c r="F55" s="1039" t="s">
        <v>25</v>
      </c>
      <c r="G55" s="1040"/>
      <c r="H55" s="1039" t="s">
        <v>26</v>
      </c>
      <c r="I55" s="1040"/>
      <c r="J55" s="1039" t="s">
        <v>27</v>
      </c>
      <c r="K55" s="1040"/>
      <c r="L55" s="1039" t="s">
        <v>28</v>
      </c>
      <c r="M55" s="1040"/>
      <c r="N55" s="1039" t="s">
        <v>29</v>
      </c>
      <c r="O55" s="1040"/>
      <c r="P55" s="1039" t="s">
        <v>30</v>
      </c>
      <c r="Q55" s="1040"/>
      <c r="R55" s="1039" t="s">
        <v>31</v>
      </c>
      <c r="S55" s="1040"/>
      <c r="T55" s="1060" t="s">
        <v>200</v>
      </c>
      <c r="U55" s="1051"/>
      <c r="V55" s="191"/>
      <c r="W55" s="1041" t="s">
        <v>9</v>
      </c>
      <c r="X55" s="1042"/>
      <c r="Z55" s="767"/>
    </row>
    <row r="56" spans="1:26" s="1" customFormat="1" ht="24" x14ac:dyDescent="0.2">
      <c r="A56" s="500" t="s">
        <v>171</v>
      </c>
      <c r="B56" s="502"/>
      <c r="C56" s="503"/>
      <c r="D56" s="502"/>
      <c r="E56" s="504"/>
      <c r="F56" s="502"/>
      <c r="G56" s="504"/>
      <c r="H56" s="502"/>
      <c r="I56" s="504"/>
      <c r="J56" s="502"/>
      <c r="K56" s="504"/>
      <c r="L56" s="502"/>
      <c r="M56" s="504"/>
      <c r="N56" s="502"/>
      <c r="O56" s="504"/>
      <c r="P56" s="502"/>
      <c r="Q56" s="504"/>
      <c r="R56" s="502"/>
      <c r="S56" s="504"/>
      <c r="T56" s="685"/>
      <c r="U56" s="505"/>
      <c r="V56" s="501"/>
      <c r="W56" s="954"/>
      <c r="X56" s="955"/>
    </row>
    <row r="57" spans="1:26" s="1" customFormat="1" ht="15" customHeight="1" x14ac:dyDescent="0.2">
      <c r="A57" s="698" t="s">
        <v>145</v>
      </c>
      <c r="B57" s="187"/>
      <c r="C57" s="420">
        <v>5</v>
      </c>
      <c r="D57" s="187"/>
      <c r="E57" s="420">
        <v>7</v>
      </c>
      <c r="F57" s="187"/>
      <c r="G57" s="420">
        <v>8</v>
      </c>
      <c r="H57" s="187"/>
      <c r="I57" s="420">
        <v>7</v>
      </c>
      <c r="J57" s="187"/>
      <c r="K57" s="420">
        <v>5</v>
      </c>
      <c r="L57" s="187"/>
      <c r="M57" s="420">
        <v>6</v>
      </c>
      <c r="N57" s="187"/>
      <c r="O57" s="420">
        <v>6</v>
      </c>
      <c r="P57" s="187"/>
      <c r="Q57" s="420">
        <v>6</v>
      </c>
      <c r="R57" s="421"/>
      <c r="S57" s="992">
        <v>6</v>
      </c>
      <c r="T57" s="686"/>
      <c r="U57" s="255"/>
      <c r="V57" s="191"/>
      <c r="W57" s="956"/>
      <c r="X57" s="255">
        <f>AVERAGE(O57,M57,S57,U57,Q57)</f>
        <v>6</v>
      </c>
    </row>
    <row r="58" spans="1:26" s="1" customFormat="1" ht="24" x14ac:dyDescent="0.2">
      <c r="A58" s="698" t="s">
        <v>163</v>
      </c>
      <c r="B58" s="421"/>
      <c r="C58" s="506">
        <v>5</v>
      </c>
      <c r="D58" s="421"/>
      <c r="E58" s="506">
        <v>7</v>
      </c>
      <c r="F58" s="421"/>
      <c r="G58" s="506">
        <v>8</v>
      </c>
      <c r="H58" s="421"/>
      <c r="I58" s="506">
        <v>7</v>
      </c>
      <c r="J58" s="421"/>
      <c r="K58" s="506">
        <v>5</v>
      </c>
      <c r="L58" s="421"/>
      <c r="M58" s="506">
        <v>6</v>
      </c>
      <c r="N58" s="421"/>
      <c r="O58" s="506">
        <v>6</v>
      </c>
      <c r="P58" s="421"/>
      <c r="Q58" s="506">
        <v>6</v>
      </c>
      <c r="R58" s="421"/>
      <c r="S58" s="992">
        <v>6</v>
      </c>
      <c r="T58" s="686"/>
      <c r="U58" s="255"/>
      <c r="V58" s="191"/>
      <c r="W58" s="957"/>
      <c r="X58" s="958">
        <f>AVERAGE(O58,M58,S58,U58,Q58)</f>
        <v>6</v>
      </c>
    </row>
    <row r="59" spans="1:26" s="1" customFormat="1" ht="15" customHeight="1" thickBot="1" x14ac:dyDescent="0.25">
      <c r="A59" s="722" t="s">
        <v>146</v>
      </c>
      <c r="B59" s="560"/>
      <c r="C59" s="561">
        <v>4.9400000000000004</v>
      </c>
      <c r="D59" s="560"/>
      <c r="E59" s="561">
        <f>5.6+0.8</f>
        <v>6.3999999999999995</v>
      </c>
      <c r="F59" s="560"/>
      <c r="G59" s="561">
        <v>6.3</v>
      </c>
      <c r="H59" s="560"/>
      <c r="I59" s="561">
        <v>6.4</v>
      </c>
      <c r="J59" s="560"/>
      <c r="K59" s="561">
        <v>4.9000000000000004</v>
      </c>
      <c r="L59" s="560"/>
      <c r="M59" s="561">
        <v>5.93</v>
      </c>
      <c r="N59" s="560"/>
      <c r="O59" s="561">
        <v>5.93</v>
      </c>
      <c r="P59" s="560"/>
      <c r="Q59" s="561">
        <v>5.6</v>
      </c>
      <c r="R59" s="562"/>
      <c r="S59" s="993">
        <f>4.93+1.1</f>
        <v>6.0299999999999994</v>
      </c>
      <c r="T59" s="990"/>
      <c r="U59" s="570"/>
      <c r="V59" s="191"/>
      <c r="W59" s="959"/>
      <c r="X59" s="960">
        <f>AVERAGE(O59,M59,S59,U59,Q59)</f>
        <v>5.8725000000000005</v>
      </c>
    </row>
    <row r="60" spans="1:26" s="1" customFormat="1" ht="18" customHeight="1" thickBot="1" x14ac:dyDescent="0.25">
      <c r="A60" s="575" t="s">
        <v>160</v>
      </c>
      <c r="B60" s="646" t="s">
        <v>33</v>
      </c>
      <c r="C60" s="565" t="s">
        <v>34</v>
      </c>
      <c r="D60" s="646" t="s">
        <v>33</v>
      </c>
      <c r="E60" s="647" t="s">
        <v>34</v>
      </c>
      <c r="F60" s="646" t="s">
        <v>33</v>
      </c>
      <c r="G60" s="647" t="s">
        <v>34</v>
      </c>
      <c r="H60" s="646" t="s">
        <v>33</v>
      </c>
      <c r="I60" s="647" t="s">
        <v>34</v>
      </c>
      <c r="J60" s="646" t="s">
        <v>33</v>
      </c>
      <c r="K60" s="647" t="s">
        <v>34</v>
      </c>
      <c r="L60" s="646" t="s">
        <v>33</v>
      </c>
      <c r="M60" s="647" t="s">
        <v>34</v>
      </c>
      <c r="N60" s="646" t="s">
        <v>33</v>
      </c>
      <c r="O60" s="647" t="s">
        <v>34</v>
      </c>
      <c r="P60" s="646" t="s">
        <v>33</v>
      </c>
      <c r="Q60" s="647" t="s">
        <v>34</v>
      </c>
      <c r="R60" s="646" t="s">
        <v>33</v>
      </c>
      <c r="S60" s="647" t="s">
        <v>34</v>
      </c>
      <c r="T60" s="666" t="s">
        <v>33</v>
      </c>
      <c r="U60" s="656" t="s">
        <v>34</v>
      </c>
      <c r="V60" s="191"/>
      <c r="W60" s="665" t="s">
        <v>33</v>
      </c>
      <c r="X60" s="961" t="s">
        <v>152</v>
      </c>
    </row>
    <row r="61" spans="1:26" s="1" customFormat="1" ht="15" customHeight="1" x14ac:dyDescent="0.2">
      <c r="A61" s="723" t="s">
        <v>35</v>
      </c>
      <c r="B61" s="648"/>
      <c r="C61" s="507"/>
      <c r="D61" s="648"/>
      <c r="E61" s="649"/>
      <c r="F61" s="648"/>
      <c r="G61" s="649"/>
      <c r="H61" s="648"/>
      <c r="I61" s="649"/>
      <c r="J61" s="648"/>
      <c r="K61" s="649"/>
      <c r="L61" s="648"/>
      <c r="M61" s="649"/>
      <c r="N61" s="648"/>
      <c r="O61" s="649"/>
      <c r="P61" s="648"/>
      <c r="Q61" s="649"/>
      <c r="R61" s="648"/>
      <c r="S61" s="649"/>
      <c r="T61" s="667"/>
      <c r="U61" s="657"/>
      <c r="V61" s="191"/>
      <c r="W61" s="662"/>
      <c r="X61" s="946"/>
    </row>
    <row r="62" spans="1:26" s="1" customFormat="1" ht="15" customHeight="1" x14ac:dyDescent="0.2">
      <c r="A62" s="724" t="s">
        <v>36</v>
      </c>
      <c r="B62" s="82"/>
      <c r="C62" s="204">
        <v>7</v>
      </c>
      <c r="D62" s="82"/>
      <c r="E62" s="650">
        <v>10</v>
      </c>
      <c r="F62" s="82"/>
      <c r="G62" s="650">
        <v>10</v>
      </c>
      <c r="H62" s="82"/>
      <c r="I62" s="650">
        <v>9</v>
      </c>
      <c r="J62" s="654">
        <v>7</v>
      </c>
      <c r="K62" s="650">
        <v>7</v>
      </c>
      <c r="L62" s="654">
        <v>11</v>
      </c>
      <c r="M62" s="650">
        <v>11</v>
      </c>
      <c r="N62" s="654">
        <v>10</v>
      </c>
      <c r="O62" s="650">
        <v>10</v>
      </c>
      <c r="P62" s="654">
        <v>11</v>
      </c>
      <c r="Q62" s="650">
        <v>11</v>
      </c>
      <c r="R62" s="654">
        <v>10</v>
      </c>
      <c r="S62" s="650">
        <v>10</v>
      </c>
      <c r="T62" s="669"/>
      <c r="U62" s="148"/>
      <c r="V62" s="191"/>
      <c r="W62" s="947">
        <f>AVERAGE(N62,L62,R62,T62,P62)</f>
        <v>10.5</v>
      </c>
      <c r="X62" s="948">
        <f>AVERAGE(O62,M62,S62,U62,Q62)</f>
        <v>10.5</v>
      </c>
    </row>
    <row r="63" spans="1:26" s="1" customFormat="1" ht="15" customHeight="1" x14ac:dyDescent="0.2">
      <c r="A63" s="724" t="s">
        <v>37</v>
      </c>
      <c r="B63" s="82"/>
      <c r="C63" s="204">
        <v>4</v>
      </c>
      <c r="D63" s="82"/>
      <c r="E63" s="650">
        <v>0</v>
      </c>
      <c r="F63" s="82"/>
      <c r="G63" s="650">
        <v>2</v>
      </c>
      <c r="H63" s="82"/>
      <c r="I63" s="650">
        <v>2</v>
      </c>
      <c r="J63" s="651">
        <v>2.2000000000000002</v>
      </c>
      <c r="K63" s="650">
        <v>4</v>
      </c>
      <c r="L63" s="654">
        <v>2</v>
      </c>
      <c r="M63" s="650">
        <v>3</v>
      </c>
      <c r="N63" s="651">
        <v>0.3</v>
      </c>
      <c r="O63" s="650">
        <v>1</v>
      </c>
      <c r="P63" s="651">
        <v>0.2</v>
      </c>
      <c r="Q63" s="650">
        <v>1</v>
      </c>
      <c r="R63" s="651">
        <v>0.8</v>
      </c>
      <c r="S63" s="650">
        <v>2</v>
      </c>
      <c r="T63" s="668"/>
      <c r="U63" s="148"/>
      <c r="V63" s="191"/>
      <c r="W63" s="947">
        <f t="shared" ref="W63:X66" si="18">AVERAGE(N63,L63,R63,T63,P63)</f>
        <v>0.82499999999999996</v>
      </c>
      <c r="X63" s="948">
        <f t="shared" si="18"/>
        <v>1.75</v>
      </c>
    </row>
    <row r="64" spans="1:26" s="1" customFormat="1" ht="15" customHeight="1" x14ac:dyDescent="0.2">
      <c r="A64" s="725" t="s">
        <v>38</v>
      </c>
      <c r="B64" s="651"/>
      <c r="C64" s="254"/>
      <c r="D64" s="651"/>
      <c r="E64" s="652"/>
      <c r="F64" s="651"/>
      <c r="G64" s="652"/>
      <c r="H64" s="651"/>
      <c r="I64" s="652"/>
      <c r="J64" s="651"/>
      <c r="K64" s="652"/>
      <c r="L64" s="654"/>
      <c r="M64" s="652"/>
      <c r="N64" s="651"/>
      <c r="O64" s="652"/>
      <c r="P64" s="651"/>
      <c r="Q64" s="652"/>
      <c r="R64" s="651"/>
      <c r="S64" s="652"/>
      <c r="T64" s="668"/>
      <c r="U64" s="658"/>
      <c r="V64" s="191"/>
      <c r="W64" s="947"/>
      <c r="X64" s="948"/>
    </row>
    <row r="65" spans="1:24" s="1" customFormat="1" ht="15" customHeight="1" x14ac:dyDescent="0.2">
      <c r="A65" s="724" t="s">
        <v>36</v>
      </c>
      <c r="B65" s="82"/>
      <c r="C65" s="254">
        <v>8</v>
      </c>
      <c r="D65" s="82"/>
      <c r="E65" s="652">
        <v>7</v>
      </c>
      <c r="F65" s="82"/>
      <c r="G65" s="652">
        <v>6</v>
      </c>
      <c r="H65" s="82"/>
      <c r="I65" s="652">
        <v>7</v>
      </c>
      <c r="J65" s="654">
        <v>7</v>
      </c>
      <c r="K65" s="652">
        <v>7</v>
      </c>
      <c r="L65" s="654">
        <v>8</v>
      </c>
      <c r="M65" s="652">
        <v>8</v>
      </c>
      <c r="N65" s="654">
        <v>10</v>
      </c>
      <c r="O65" s="652">
        <v>10</v>
      </c>
      <c r="P65" s="654">
        <v>9</v>
      </c>
      <c r="Q65" s="652">
        <v>9</v>
      </c>
      <c r="R65" s="654">
        <v>8</v>
      </c>
      <c r="S65" s="652">
        <v>8</v>
      </c>
      <c r="T65" s="669"/>
      <c r="U65" s="658"/>
      <c r="V65" s="191"/>
      <c r="W65" s="947">
        <f t="shared" si="18"/>
        <v>8.75</v>
      </c>
      <c r="X65" s="948">
        <f t="shared" si="18"/>
        <v>8.75</v>
      </c>
    </row>
    <row r="66" spans="1:24" s="1" customFormat="1" ht="15" customHeight="1" thickBot="1" x14ac:dyDescent="0.25">
      <c r="A66" s="726" t="s">
        <v>37</v>
      </c>
      <c r="B66" s="82"/>
      <c r="C66" s="254">
        <v>2</v>
      </c>
      <c r="D66" s="82"/>
      <c r="E66" s="652">
        <v>0</v>
      </c>
      <c r="F66" s="82"/>
      <c r="G66" s="652">
        <v>0</v>
      </c>
      <c r="H66" s="82"/>
      <c r="I66" s="652">
        <v>0</v>
      </c>
      <c r="J66" s="654">
        <v>0</v>
      </c>
      <c r="K66" s="652">
        <v>0</v>
      </c>
      <c r="L66" s="654">
        <v>0</v>
      </c>
      <c r="M66" s="652">
        <v>0</v>
      </c>
      <c r="N66" s="654">
        <v>0</v>
      </c>
      <c r="O66" s="652">
        <v>0</v>
      </c>
      <c r="P66" s="654">
        <v>0</v>
      </c>
      <c r="Q66" s="652">
        <v>0</v>
      </c>
      <c r="R66" s="664">
        <v>0.5</v>
      </c>
      <c r="S66" s="994">
        <v>1</v>
      </c>
      <c r="T66" s="991"/>
      <c r="U66" s="660"/>
      <c r="V66" s="191"/>
      <c r="W66" s="947">
        <f t="shared" si="18"/>
        <v>0.125</v>
      </c>
      <c r="X66" s="948">
        <f t="shared" si="18"/>
        <v>0.25</v>
      </c>
    </row>
    <row r="67" spans="1:24" s="1" customFormat="1" ht="15" customHeight="1" thickBot="1" x14ac:dyDescent="0.25">
      <c r="A67" s="567" t="s">
        <v>21</v>
      </c>
      <c r="B67" s="759"/>
      <c r="C67" s="569">
        <f>SUM(C62:C66)</f>
        <v>21</v>
      </c>
      <c r="D67" s="759"/>
      <c r="E67" s="653">
        <f>SUM(E62:E66)</f>
        <v>17</v>
      </c>
      <c r="F67" s="759"/>
      <c r="G67" s="653">
        <f>SUM(G62:G66)</f>
        <v>18</v>
      </c>
      <c r="H67" s="759"/>
      <c r="I67" s="653">
        <f>SUM(I62:I66)</f>
        <v>18</v>
      </c>
      <c r="J67" s="655">
        <f t="shared" ref="J67:S67" si="19">SUM(J62:J66)</f>
        <v>16.2</v>
      </c>
      <c r="K67" s="653">
        <f t="shared" si="19"/>
        <v>18</v>
      </c>
      <c r="L67" s="655">
        <f t="shared" si="19"/>
        <v>21</v>
      </c>
      <c r="M67" s="653">
        <f t="shared" si="19"/>
        <v>22</v>
      </c>
      <c r="N67" s="655">
        <f t="shared" si="19"/>
        <v>20.3</v>
      </c>
      <c r="O67" s="653">
        <f t="shared" si="19"/>
        <v>21</v>
      </c>
      <c r="P67" s="655">
        <f t="shared" si="19"/>
        <v>20.2</v>
      </c>
      <c r="Q67" s="653">
        <f t="shared" si="19"/>
        <v>21</v>
      </c>
      <c r="R67" s="655">
        <f t="shared" si="19"/>
        <v>19.3</v>
      </c>
      <c r="S67" s="653">
        <f t="shared" si="19"/>
        <v>21</v>
      </c>
      <c r="T67" s="670">
        <f t="shared" ref="T67:U67" si="20">SUM(T62:T66)</f>
        <v>0</v>
      </c>
      <c r="U67" s="661">
        <f t="shared" si="20"/>
        <v>0</v>
      </c>
      <c r="V67" s="191"/>
      <c r="W67" s="949">
        <f>AVERAGE(N67,L67,R67,T67,P67)</f>
        <v>16.16</v>
      </c>
      <c r="X67" s="950">
        <f>AVERAGE(O67,M67,S67,U67,Q67)</f>
        <v>17</v>
      </c>
    </row>
    <row r="68" spans="1:24" s="1" customFormat="1" ht="18" customHeight="1" thickBot="1" x14ac:dyDescent="0.25">
      <c r="A68" s="575" t="s">
        <v>161</v>
      </c>
      <c r="B68" s="554" t="s">
        <v>32</v>
      </c>
      <c r="C68" s="555" t="s">
        <v>39</v>
      </c>
      <c r="D68" s="554" t="s">
        <v>32</v>
      </c>
      <c r="E68" s="556" t="s">
        <v>39</v>
      </c>
      <c r="F68" s="554" t="s">
        <v>32</v>
      </c>
      <c r="G68" s="556" t="s">
        <v>39</v>
      </c>
      <c r="H68" s="554" t="s">
        <v>32</v>
      </c>
      <c r="I68" s="556" t="s">
        <v>39</v>
      </c>
      <c r="J68" s="554" t="s">
        <v>32</v>
      </c>
      <c r="K68" s="556" t="s">
        <v>39</v>
      </c>
      <c r="L68" s="554" t="s">
        <v>32</v>
      </c>
      <c r="M68" s="556" t="s">
        <v>39</v>
      </c>
      <c r="N68" s="554" t="s">
        <v>32</v>
      </c>
      <c r="O68" s="556" t="s">
        <v>39</v>
      </c>
      <c r="P68" s="554" t="s">
        <v>32</v>
      </c>
      <c r="Q68" s="556" t="s">
        <v>39</v>
      </c>
      <c r="R68" s="554" t="s">
        <v>32</v>
      </c>
      <c r="S68" s="647" t="s">
        <v>39</v>
      </c>
      <c r="T68" s="557" t="s">
        <v>32</v>
      </c>
      <c r="U68" s="558" t="s">
        <v>39</v>
      </c>
      <c r="V68" s="191"/>
      <c r="W68" s="951" t="s">
        <v>32</v>
      </c>
      <c r="X68" s="656" t="s">
        <v>39</v>
      </c>
    </row>
    <row r="69" spans="1:24" s="1" customFormat="1" ht="18" customHeight="1" x14ac:dyDescent="0.2">
      <c r="A69" s="723" t="s">
        <v>162</v>
      </c>
      <c r="B69" s="576"/>
      <c r="C69" s="577"/>
      <c r="D69" s="270"/>
      <c r="E69" s="629"/>
      <c r="F69" s="266"/>
      <c r="G69" s="629"/>
      <c r="H69" s="266"/>
      <c r="I69" s="629"/>
      <c r="J69" s="266"/>
      <c r="K69" s="629"/>
      <c r="L69" s="266"/>
      <c r="M69" s="629"/>
      <c r="N69" s="266"/>
      <c r="O69" s="629"/>
      <c r="P69" s="266"/>
      <c r="Q69" s="629"/>
      <c r="R69" s="266"/>
      <c r="S69" s="629"/>
      <c r="T69" s="681"/>
      <c r="U69" s="585"/>
      <c r="V69" s="191"/>
      <c r="W69" s="952"/>
      <c r="X69" s="585"/>
    </row>
    <row r="70" spans="1:24" s="1" customFormat="1" ht="15" customHeight="1" x14ac:dyDescent="0.2">
      <c r="A70" s="508" t="s">
        <v>40</v>
      </c>
      <c r="B70" s="509">
        <v>14</v>
      </c>
      <c r="C70" s="510">
        <f t="shared" ref="C70:C77" si="21">B70/C$67</f>
        <v>0.66666666666666663</v>
      </c>
      <c r="D70" s="509">
        <v>12</v>
      </c>
      <c r="E70" s="511">
        <f t="shared" ref="E70:K77" si="22">D70/E$67</f>
        <v>0.70588235294117652</v>
      </c>
      <c r="F70" s="512">
        <v>12</v>
      </c>
      <c r="G70" s="511">
        <f t="shared" si="22"/>
        <v>0.66666666666666663</v>
      </c>
      <c r="H70" s="512">
        <v>12</v>
      </c>
      <c r="I70" s="511">
        <f t="shared" ref="I70:I77" si="23">H70/I$67</f>
        <v>0.66666666666666663</v>
      </c>
      <c r="J70" s="512">
        <f>9+4</f>
        <v>13</v>
      </c>
      <c r="K70" s="511">
        <f t="shared" si="22"/>
        <v>0.72222222222222221</v>
      </c>
      <c r="L70" s="512">
        <v>15</v>
      </c>
      <c r="M70" s="511">
        <f t="shared" ref="M70:M75" si="24">L70/M$67</f>
        <v>0.68181818181818177</v>
      </c>
      <c r="N70" s="512">
        <v>16</v>
      </c>
      <c r="O70" s="511">
        <f t="shared" ref="O70:Q75" si="25">N70/O$67</f>
        <v>0.76190476190476186</v>
      </c>
      <c r="P70" s="512">
        <v>18</v>
      </c>
      <c r="Q70" s="511">
        <f t="shared" si="25"/>
        <v>0.8571428571428571</v>
      </c>
      <c r="R70" s="512">
        <v>18</v>
      </c>
      <c r="S70" s="511">
        <f t="shared" ref="S70:S75" si="26">R70/S$67</f>
        <v>0.8571428571428571</v>
      </c>
      <c r="T70" s="512"/>
      <c r="U70" s="513" t="e">
        <f t="shared" ref="U70:U75" si="27">T70/U$67</f>
        <v>#DIV/0!</v>
      </c>
      <c r="V70" s="198"/>
      <c r="W70" s="947">
        <f t="shared" ref="W70:W89" si="28">AVERAGE(N70,L70,R70,T70,P70)</f>
        <v>16.75</v>
      </c>
      <c r="X70" s="199" t="e">
        <f>AVERAGE(O70,M70,U70,S70,Q70)</f>
        <v>#DIV/0!</v>
      </c>
    </row>
    <row r="71" spans="1:24" s="1" customFormat="1" ht="15" customHeight="1" x14ac:dyDescent="0.2">
      <c r="A71" s="200" t="s">
        <v>41</v>
      </c>
      <c r="B71" s="193">
        <v>1</v>
      </c>
      <c r="C71" s="194">
        <f t="shared" si="21"/>
        <v>4.7619047619047616E-2</v>
      </c>
      <c r="D71" s="193">
        <v>1</v>
      </c>
      <c r="E71" s="195">
        <f t="shared" si="22"/>
        <v>5.8823529411764705E-2</v>
      </c>
      <c r="F71" s="196">
        <v>1</v>
      </c>
      <c r="G71" s="195">
        <f t="shared" si="22"/>
        <v>5.5555555555555552E-2</v>
      </c>
      <c r="H71" s="196">
        <v>1</v>
      </c>
      <c r="I71" s="195">
        <f t="shared" si="23"/>
        <v>5.5555555555555552E-2</v>
      </c>
      <c r="J71" s="196">
        <f>1</f>
        <v>1</v>
      </c>
      <c r="K71" s="195">
        <f t="shared" si="22"/>
        <v>5.5555555555555552E-2</v>
      </c>
      <c r="L71" s="196">
        <v>1</v>
      </c>
      <c r="M71" s="195">
        <f t="shared" si="24"/>
        <v>4.5454545454545456E-2</v>
      </c>
      <c r="N71" s="196">
        <v>1</v>
      </c>
      <c r="O71" s="195">
        <f t="shared" si="25"/>
        <v>4.7619047619047616E-2</v>
      </c>
      <c r="P71" s="196">
        <v>1</v>
      </c>
      <c r="Q71" s="195">
        <f t="shared" si="25"/>
        <v>4.7619047619047616E-2</v>
      </c>
      <c r="R71" s="196">
        <v>1</v>
      </c>
      <c r="S71" s="195">
        <f t="shared" si="26"/>
        <v>4.7619047619047616E-2</v>
      </c>
      <c r="T71" s="196"/>
      <c r="U71" s="197" t="e">
        <f t="shared" si="27"/>
        <v>#DIV/0!</v>
      </c>
      <c r="V71" s="198"/>
      <c r="W71" s="947">
        <f t="shared" si="28"/>
        <v>1</v>
      </c>
      <c r="X71" s="199" t="e">
        <f t="shared" ref="X71:X89" si="29">AVERAGE(O71,M71,U71,S71,Q71)</f>
        <v>#DIV/0!</v>
      </c>
    </row>
    <row r="72" spans="1:24" s="1" customFormat="1" ht="15" customHeight="1" x14ac:dyDescent="0.2">
      <c r="A72" s="200" t="s">
        <v>42</v>
      </c>
      <c r="B72" s="193">
        <v>2</v>
      </c>
      <c r="C72" s="194">
        <f t="shared" si="21"/>
        <v>9.5238095238095233E-2</v>
      </c>
      <c r="D72" s="193">
        <v>1</v>
      </c>
      <c r="E72" s="195">
        <f t="shared" si="22"/>
        <v>5.8823529411764705E-2</v>
      </c>
      <c r="F72" s="196">
        <v>1</v>
      </c>
      <c r="G72" s="195">
        <f t="shared" si="22"/>
        <v>5.5555555555555552E-2</v>
      </c>
      <c r="H72" s="196">
        <v>2</v>
      </c>
      <c r="I72" s="195">
        <f t="shared" si="23"/>
        <v>0.1111111111111111</v>
      </c>
      <c r="J72" s="196">
        <f>1</f>
        <v>1</v>
      </c>
      <c r="K72" s="195">
        <f t="shared" si="22"/>
        <v>5.5555555555555552E-2</v>
      </c>
      <c r="L72" s="196">
        <v>1</v>
      </c>
      <c r="M72" s="195">
        <f t="shared" si="24"/>
        <v>4.5454545454545456E-2</v>
      </c>
      <c r="N72" s="196">
        <v>1</v>
      </c>
      <c r="O72" s="195">
        <f t="shared" si="25"/>
        <v>4.7619047619047616E-2</v>
      </c>
      <c r="P72" s="196">
        <v>1</v>
      </c>
      <c r="Q72" s="195">
        <f t="shared" si="25"/>
        <v>4.7619047619047616E-2</v>
      </c>
      <c r="R72" s="196">
        <v>1</v>
      </c>
      <c r="S72" s="195">
        <f t="shared" si="26"/>
        <v>4.7619047619047616E-2</v>
      </c>
      <c r="T72" s="196"/>
      <c r="U72" s="197" t="e">
        <f t="shared" si="27"/>
        <v>#DIV/0!</v>
      </c>
      <c r="V72" s="198"/>
      <c r="W72" s="947">
        <f t="shared" si="28"/>
        <v>1</v>
      </c>
      <c r="X72" s="199" t="e">
        <f t="shared" si="29"/>
        <v>#DIV/0!</v>
      </c>
    </row>
    <row r="73" spans="1:24" s="1" customFormat="1" ht="15" customHeight="1" x14ac:dyDescent="0.2">
      <c r="A73" s="200" t="s">
        <v>43</v>
      </c>
      <c r="B73" s="193">
        <v>0</v>
      </c>
      <c r="C73" s="194">
        <f t="shared" si="21"/>
        <v>0</v>
      </c>
      <c r="D73" s="193">
        <v>0</v>
      </c>
      <c r="E73" s="195">
        <f t="shared" si="22"/>
        <v>0</v>
      </c>
      <c r="F73" s="196">
        <v>0</v>
      </c>
      <c r="G73" s="195">
        <f t="shared" si="22"/>
        <v>0</v>
      </c>
      <c r="H73" s="196">
        <v>0</v>
      </c>
      <c r="I73" s="195">
        <f t="shared" si="23"/>
        <v>0</v>
      </c>
      <c r="J73" s="196">
        <f>0</f>
        <v>0</v>
      </c>
      <c r="K73" s="195">
        <f t="shared" si="22"/>
        <v>0</v>
      </c>
      <c r="L73" s="196">
        <v>0</v>
      </c>
      <c r="M73" s="195">
        <f t="shared" si="24"/>
        <v>0</v>
      </c>
      <c r="N73" s="196">
        <v>0</v>
      </c>
      <c r="O73" s="195">
        <f t="shared" si="25"/>
        <v>0</v>
      </c>
      <c r="P73" s="196">
        <v>0</v>
      </c>
      <c r="Q73" s="195">
        <f t="shared" si="25"/>
        <v>0</v>
      </c>
      <c r="R73" s="196">
        <v>0</v>
      </c>
      <c r="S73" s="195">
        <f t="shared" si="26"/>
        <v>0</v>
      </c>
      <c r="T73" s="196"/>
      <c r="U73" s="197" t="e">
        <f t="shared" si="27"/>
        <v>#DIV/0!</v>
      </c>
      <c r="V73" s="198"/>
      <c r="W73" s="947">
        <f t="shared" si="28"/>
        <v>0</v>
      </c>
      <c r="X73" s="199" t="e">
        <f t="shared" si="29"/>
        <v>#DIV/0!</v>
      </c>
    </row>
    <row r="74" spans="1:24" s="1" customFormat="1" ht="15" customHeight="1" x14ac:dyDescent="0.2">
      <c r="A74" s="200" t="s">
        <v>44</v>
      </c>
      <c r="B74" s="193">
        <v>1</v>
      </c>
      <c r="C74" s="194">
        <f t="shared" si="21"/>
        <v>4.7619047619047616E-2</v>
      </c>
      <c r="D74" s="193">
        <v>3</v>
      </c>
      <c r="E74" s="195">
        <f t="shared" si="22"/>
        <v>0.17647058823529413</v>
      </c>
      <c r="F74" s="196">
        <v>3</v>
      </c>
      <c r="G74" s="195">
        <f t="shared" si="22"/>
        <v>0.16666666666666666</v>
      </c>
      <c r="H74" s="196">
        <v>3</v>
      </c>
      <c r="I74" s="195">
        <f t="shared" si="23"/>
        <v>0.16666666666666666</v>
      </c>
      <c r="J74" s="196">
        <f>3</f>
        <v>3</v>
      </c>
      <c r="K74" s="195">
        <f t="shared" si="22"/>
        <v>0.16666666666666666</v>
      </c>
      <c r="L74" s="196">
        <v>3</v>
      </c>
      <c r="M74" s="195">
        <f t="shared" si="24"/>
        <v>0.13636363636363635</v>
      </c>
      <c r="N74" s="196">
        <v>2</v>
      </c>
      <c r="O74" s="195">
        <f t="shared" si="25"/>
        <v>9.5238095238095233E-2</v>
      </c>
      <c r="P74" s="196">
        <v>1</v>
      </c>
      <c r="Q74" s="195">
        <f t="shared" si="25"/>
        <v>4.7619047619047616E-2</v>
      </c>
      <c r="R74" s="196">
        <v>1</v>
      </c>
      <c r="S74" s="195">
        <f t="shared" si="26"/>
        <v>4.7619047619047616E-2</v>
      </c>
      <c r="T74" s="196"/>
      <c r="U74" s="197" t="e">
        <f t="shared" si="27"/>
        <v>#DIV/0!</v>
      </c>
      <c r="V74" s="198"/>
      <c r="W74" s="947">
        <f t="shared" si="28"/>
        <v>1.75</v>
      </c>
      <c r="X74" s="199" t="e">
        <f t="shared" si="29"/>
        <v>#DIV/0!</v>
      </c>
    </row>
    <row r="75" spans="1:24" s="1" customFormat="1" ht="15" customHeight="1" x14ac:dyDescent="0.2">
      <c r="A75" s="200" t="s">
        <v>45</v>
      </c>
      <c r="B75" s="193">
        <v>0</v>
      </c>
      <c r="C75" s="194">
        <f t="shared" si="21"/>
        <v>0</v>
      </c>
      <c r="D75" s="193">
        <v>0</v>
      </c>
      <c r="E75" s="195">
        <f t="shared" si="22"/>
        <v>0</v>
      </c>
      <c r="F75" s="196">
        <v>1</v>
      </c>
      <c r="G75" s="195">
        <f t="shared" si="22"/>
        <v>5.5555555555555552E-2</v>
      </c>
      <c r="H75" s="196">
        <v>0</v>
      </c>
      <c r="I75" s="195">
        <f t="shared" si="23"/>
        <v>0</v>
      </c>
      <c r="J75" s="196">
        <f>0</f>
        <v>0</v>
      </c>
      <c r="K75" s="195">
        <f t="shared" si="22"/>
        <v>0</v>
      </c>
      <c r="L75" s="196">
        <v>2</v>
      </c>
      <c r="M75" s="195">
        <f t="shared" si="24"/>
        <v>9.0909090909090912E-2</v>
      </c>
      <c r="N75" s="196">
        <v>1</v>
      </c>
      <c r="O75" s="195">
        <f t="shared" si="25"/>
        <v>4.7619047619047616E-2</v>
      </c>
      <c r="P75" s="196">
        <v>0</v>
      </c>
      <c r="Q75" s="195">
        <f t="shared" si="25"/>
        <v>0</v>
      </c>
      <c r="R75" s="196">
        <v>0</v>
      </c>
      <c r="S75" s="195">
        <f t="shared" si="26"/>
        <v>0</v>
      </c>
      <c r="T75" s="196"/>
      <c r="U75" s="197" t="e">
        <f t="shared" si="27"/>
        <v>#DIV/0!</v>
      </c>
      <c r="V75" s="198"/>
      <c r="W75" s="947">
        <f t="shared" si="28"/>
        <v>0.75</v>
      </c>
      <c r="X75" s="199" t="e">
        <f t="shared" si="29"/>
        <v>#DIV/0!</v>
      </c>
    </row>
    <row r="76" spans="1:24" s="1" customFormat="1" ht="15" customHeight="1" x14ac:dyDescent="0.2">
      <c r="A76" s="200" t="s">
        <v>46</v>
      </c>
      <c r="B76" s="201"/>
      <c r="C76" s="194"/>
      <c r="D76" s="201"/>
      <c r="E76" s="195"/>
      <c r="F76" s="202"/>
      <c r="G76" s="195"/>
      <c r="H76" s="202">
        <v>0</v>
      </c>
      <c r="I76" s="195">
        <f t="shared" si="23"/>
        <v>0</v>
      </c>
      <c r="J76" s="202">
        <f>0</f>
        <v>0</v>
      </c>
      <c r="K76" s="195">
        <f>J76/K$67</f>
        <v>0</v>
      </c>
      <c r="L76" s="202">
        <v>0</v>
      </c>
      <c r="M76" s="195">
        <f>L76/M$67</f>
        <v>0</v>
      </c>
      <c r="N76" s="202">
        <v>0</v>
      </c>
      <c r="O76" s="195">
        <f>N76/O$67</f>
        <v>0</v>
      </c>
      <c r="P76" s="202">
        <v>0</v>
      </c>
      <c r="Q76" s="195">
        <f>P76/Q$67</f>
        <v>0</v>
      </c>
      <c r="R76" s="196">
        <v>0</v>
      </c>
      <c r="S76" s="195">
        <f>R76/S$67</f>
        <v>0</v>
      </c>
      <c r="T76" s="196"/>
      <c r="U76" s="197" t="e">
        <f>T76/U$67</f>
        <v>#DIV/0!</v>
      </c>
      <c r="V76" s="198"/>
      <c r="W76" s="947">
        <f t="shared" si="28"/>
        <v>0</v>
      </c>
      <c r="X76" s="199" t="e">
        <f t="shared" si="29"/>
        <v>#DIV/0!</v>
      </c>
    </row>
    <row r="77" spans="1:24" s="1" customFormat="1" ht="15" customHeight="1" thickBot="1" x14ac:dyDescent="0.25">
      <c r="A77" s="521" t="s">
        <v>47</v>
      </c>
      <c r="B77" s="522">
        <v>0</v>
      </c>
      <c r="C77" s="523">
        <f t="shared" si="21"/>
        <v>0</v>
      </c>
      <c r="D77" s="522">
        <v>0</v>
      </c>
      <c r="E77" s="524">
        <f t="shared" si="22"/>
        <v>0</v>
      </c>
      <c r="F77" s="525">
        <v>0</v>
      </c>
      <c r="G77" s="524">
        <f t="shared" si="22"/>
        <v>0</v>
      </c>
      <c r="H77" s="525">
        <v>0</v>
      </c>
      <c r="I77" s="524">
        <f t="shared" si="23"/>
        <v>0</v>
      </c>
      <c r="J77" s="525">
        <f>0</f>
        <v>0</v>
      </c>
      <c r="K77" s="524">
        <f t="shared" si="22"/>
        <v>0</v>
      </c>
      <c r="L77" s="525">
        <v>0</v>
      </c>
      <c r="M77" s="524">
        <f>L77/M$67</f>
        <v>0</v>
      </c>
      <c r="N77" s="525">
        <v>0</v>
      </c>
      <c r="O77" s="524">
        <f>N77/O$67</f>
        <v>0</v>
      </c>
      <c r="P77" s="525">
        <v>0</v>
      </c>
      <c r="Q77" s="524">
        <f>P77/Q$67</f>
        <v>0</v>
      </c>
      <c r="R77" s="525">
        <v>0</v>
      </c>
      <c r="S77" s="524">
        <f>R77/S$67</f>
        <v>0</v>
      </c>
      <c r="T77" s="525"/>
      <c r="U77" s="526" t="e">
        <f>T77/U$67</f>
        <v>#DIV/0!</v>
      </c>
      <c r="V77" s="198"/>
      <c r="W77" s="947">
        <f t="shared" si="28"/>
        <v>0</v>
      </c>
      <c r="X77" s="199" t="e">
        <f t="shared" si="29"/>
        <v>#DIV/0!</v>
      </c>
    </row>
    <row r="78" spans="1:24" s="1" customFormat="1" ht="18" customHeight="1" x14ac:dyDescent="0.2">
      <c r="A78" s="723" t="s">
        <v>48</v>
      </c>
      <c r="B78" s="514"/>
      <c r="C78" s="515"/>
      <c r="D78" s="514"/>
      <c r="E78" s="516"/>
      <c r="F78" s="517"/>
      <c r="G78" s="516"/>
      <c r="H78" s="517"/>
      <c r="I78" s="516"/>
      <c r="J78" s="517"/>
      <c r="K78" s="516"/>
      <c r="L78" s="517"/>
      <c r="M78" s="516"/>
      <c r="N78" s="517"/>
      <c r="O78" s="516"/>
      <c r="P78" s="517"/>
      <c r="Q78" s="516"/>
      <c r="R78" s="517"/>
      <c r="S78" s="516"/>
      <c r="T78" s="517"/>
      <c r="U78" s="518"/>
      <c r="V78" s="198"/>
      <c r="W78" s="947"/>
      <c r="X78" s="199"/>
    </row>
    <row r="79" spans="1:24" s="1" customFormat="1" ht="15" customHeight="1" x14ac:dyDescent="0.2">
      <c r="A79" s="192" t="s">
        <v>49</v>
      </c>
      <c r="B79" s="203">
        <v>9</v>
      </c>
      <c r="C79" s="194">
        <f>B79/C$67</f>
        <v>0.42857142857142855</v>
      </c>
      <c r="D79" s="203">
        <v>9</v>
      </c>
      <c r="E79" s="195">
        <f>D79/E$67</f>
        <v>0.52941176470588236</v>
      </c>
      <c r="F79" s="204">
        <v>9</v>
      </c>
      <c r="G79" s="195">
        <f>F79/G$67</f>
        <v>0.5</v>
      </c>
      <c r="H79" s="204">
        <v>8</v>
      </c>
      <c r="I79" s="195">
        <f>H79/I$67</f>
        <v>0.44444444444444442</v>
      </c>
      <c r="J79" s="204">
        <f>8</f>
        <v>8</v>
      </c>
      <c r="K79" s="195">
        <f>J79/K$67</f>
        <v>0.44444444444444442</v>
      </c>
      <c r="L79" s="204">
        <v>9</v>
      </c>
      <c r="M79" s="195">
        <f>L79/M$67</f>
        <v>0.40909090909090912</v>
      </c>
      <c r="N79" s="204">
        <v>8</v>
      </c>
      <c r="O79" s="195">
        <f>N79/O$67</f>
        <v>0.38095238095238093</v>
      </c>
      <c r="P79" s="204">
        <v>6</v>
      </c>
      <c r="Q79" s="195">
        <f>P79/Q$67</f>
        <v>0.2857142857142857</v>
      </c>
      <c r="R79" s="204">
        <v>7</v>
      </c>
      <c r="S79" s="195">
        <f>R79/S$67</f>
        <v>0.33333333333333331</v>
      </c>
      <c r="T79" s="204"/>
      <c r="U79" s="197" t="e">
        <f>T79/U$67</f>
        <v>#DIV/0!</v>
      </c>
      <c r="V79" s="198"/>
      <c r="W79" s="947">
        <f t="shared" si="28"/>
        <v>7.5</v>
      </c>
      <c r="X79" s="199" t="e">
        <f t="shared" si="29"/>
        <v>#DIV/0!</v>
      </c>
    </row>
    <row r="80" spans="1:24" s="1" customFormat="1" ht="15" customHeight="1" thickBot="1" x14ac:dyDescent="0.25">
      <c r="A80" s="521" t="s">
        <v>50</v>
      </c>
      <c r="B80" s="527">
        <v>12</v>
      </c>
      <c r="C80" s="523">
        <f>B80/C$67</f>
        <v>0.5714285714285714</v>
      </c>
      <c r="D80" s="527">
        <v>8</v>
      </c>
      <c r="E80" s="524">
        <f>D80/E$67</f>
        <v>0.47058823529411764</v>
      </c>
      <c r="F80" s="528">
        <v>9</v>
      </c>
      <c r="G80" s="524">
        <f>F80/G$67</f>
        <v>0.5</v>
      </c>
      <c r="H80" s="528">
        <v>10</v>
      </c>
      <c r="I80" s="524">
        <f>H80/I$67</f>
        <v>0.55555555555555558</v>
      </c>
      <c r="J80" s="528">
        <f>6+4</f>
        <v>10</v>
      </c>
      <c r="K80" s="524">
        <f>J80/K$67</f>
        <v>0.55555555555555558</v>
      </c>
      <c r="L80" s="528">
        <v>13</v>
      </c>
      <c r="M80" s="524">
        <f>L80/M$67</f>
        <v>0.59090909090909094</v>
      </c>
      <c r="N80" s="528">
        <v>13</v>
      </c>
      <c r="O80" s="524">
        <f>N80/O$67</f>
        <v>0.61904761904761907</v>
      </c>
      <c r="P80" s="528">
        <v>15</v>
      </c>
      <c r="Q80" s="524">
        <f>P80/Q$67</f>
        <v>0.7142857142857143</v>
      </c>
      <c r="R80" s="528">
        <v>14</v>
      </c>
      <c r="S80" s="524">
        <f>R80/S$67</f>
        <v>0.66666666666666663</v>
      </c>
      <c r="T80" s="528"/>
      <c r="U80" s="526" t="e">
        <f>T80/U$67</f>
        <v>#DIV/0!</v>
      </c>
      <c r="V80" s="198"/>
      <c r="W80" s="947">
        <f t="shared" si="28"/>
        <v>13.75</v>
      </c>
      <c r="X80" s="199" t="e">
        <f t="shared" si="29"/>
        <v>#DIV/0!</v>
      </c>
    </row>
    <row r="81" spans="1:24" s="1" customFormat="1" ht="18" customHeight="1" x14ac:dyDescent="0.2">
      <c r="A81" s="723" t="s">
        <v>51</v>
      </c>
      <c r="B81" s="519"/>
      <c r="C81" s="510"/>
      <c r="D81" s="519"/>
      <c r="E81" s="511"/>
      <c r="F81" s="520"/>
      <c r="G81" s="511"/>
      <c r="H81" s="520"/>
      <c r="I81" s="511"/>
      <c r="J81" s="520"/>
      <c r="K81" s="511"/>
      <c r="L81" s="520"/>
      <c r="M81" s="511"/>
      <c r="N81" s="520"/>
      <c r="O81" s="511"/>
      <c r="P81" s="520"/>
      <c r="Q81" s="511"/>
      <c r="R81" s="520"/>
      <c r="S81" s="995"/>
      <c r="T81" s="520"/>
      <c r="U81" s="513"/>
      <c r="V81" s="198"/>
      <c r="W81" s="947"/>
      <c r="X81" s="199"/>
    </row>
    <row r="82" spans="1:24" s="1" customFormat="1" ht="15" customHeight="1" x14ac:dyDescent="0.2">
      <c r="A82" s="192" t="s">
        <v>52</v>
      </c>
      <c r="B82" s="205">
        <v>7</v>
      </c>
      <c r="C82" s="194">
        <f>B82/C$67</f>
        <v>0.33333333333333331</v>
      </c>
      <c r="D82" s="205">
        <v>6</v>
      </c>
      <c r="E82" s="195">
        <f>D82/E$67</f>
        <v>0.35294117647058826</v>
      </c>
      <c r="F82" s="206">
        <v>7</v>
      </c>
      <c r="G82" s="195">
        <f>F82/G$67</f>
        <v>0.3888888888888889</v>
      </c>
      <c r="H82" s="206">
        <v>7</v>
      </c>
      <c r="I82" s="195">
        <f>H82/I$67</f>
        <v>0.3888888888888889</v>
      </c>
      <c r="J82" s="206">
        <f>7</f>
        <v>7</v>
      </c>
      <c r="K82" s="195">
        <f>J82/K$67</f>
        <v>0.3888888888888889</v>
      </c>
      <c r="L82" s="206">
        <v>9</v>
      </c>
      <c r="M82" s="195">
        <f>L82/M$67</f>
        <v>0.40909090909090912</v>
      </c>
      <c r="N82" s="206">
        <v>9</v>
      </c>
      <c r="O82" s="195">
        <f>N82/O$67</f>
        <v>0.42857142857142855</v>
      </c>
      <c r="P82" s="206">
        <v>10</v>
      </c>
      <c r="Q82" s="195">
        <f>P82/Q$67</f>
        <v>0.47619047619047616</v>
      </c>
      <c r="R82" s="206">
        <v>11</v>
      </c>
      <c r="S82" s="195">
        <f>R82/S$67</f>
        <v>0.52380952380952384</v>
      </c>
      <c r="T82" s="206"/>
      <c r="U82" s="197" t="e">
        <f>T82/U$67</f>
        <v>#DIV/0!</v>
      </c>
      <c r="V82" s="198"/>
      <c r="W82" s="947">
        <f t="shared" si="28"/>
        <v>9.75</v>
      </c>
      <c r="X82" s="199" t="e">
        <f t="shared" si="29"/>
        <v>#DIV/0!</v>
      </c>
    </row>
    <row r="83" spans="1:24" s="1" customFormat="1" ht="15" customHeight="1" x14ac:dyDescent="0.2">
      <c r="A83" s="192" t="s">
        <v>53</v>
      </c>
      <c r="B83" s="205">
        <v>5</v>
      </c>
      <c r="C83" s="194">
        <f>B83/C$67</f>
        <v>0.23809523809523808</v>
      </c>
      <c r="D83" s="205">
        <v>6</v>
      </c>
      <c r="E83" s="195">
        <f>D83/E$67</f>
        <v>0.35294117647058826</v>
      </c>
      <c r="F83" s="206">
        <v>4</v>
      </c>
      <c r="G83" s="195">
        <f>F83/G$67</f>
        <v>0.22222222222222221</v>
      </c>
      <c r="H83" s="206">
        <v>4</v>
      </c>
      <c r="I83" s="195">
        <f>H83/I$67</f>
        <v>0.22222222222222221</v>
      </c>
      <c r="J83" s="206">
        <f>3</f>
        <v>3</v>
      </c>
      <c r="K83" s="195">
        <f>J83/K$67</f>
        <v>0.16666666666666666</v>
      </c>
      <c r="L83" s="206">
        <v>2</v>
      </c>
      <c r="M83" s="195">
        <f>L83/M$67</f>
        <v>9.0909090909090912E-2</v>
      </c>
      <c r="N83" s="206">
        <v>2</v>
      </c>
      <c r="O83" s="195">
        <f>N83/O$67</f>
        <v>9.5238095238095233E-2</v>
      </c>
      <c r="P83" s="206">
        <v>5</v>
      </c>
      <c r="Q83" s="195">
        <f>P83/Q$67</f>
        <v>0.23809523809523808</v>
      </c>
      <c r="R83" s="206">
        <v>2</v>
      </c>
      <c r="S83" s="195">
        <f>R83/S$67</f>
        <v>9.5238095238095233E-2</v>
      </c>
      <c r="T83" s="206"/>
      <c r="U83" s="197" t="e">
        <f>T83/U$67</f>
        <v>#DIV/0!</v>
      </c>
      <c r="V83" s="198"/>
      <c r="W83" s="947">
        <f t="shared" si="28"/>
        <v>2.75</v>
      </c>
      <c r="X83" s="199" t="e">
        <f t="shared" si="29"/>
        <v>#DIV/0!</v>
      </c>
    </row>
    <row r="84" spans="1:24" s="1" customFormat="1" ht="15" customHeight="1" thickBot="1" x14ac:dyDescent="0.25">
      <c r="A84" s="521" t="s">
        <v>54</v>
      </c>
      <c r="B84" s="527">
        <v>9</v>
      </c>
      <c r="C84" s="523">
        <f>B84/C$67</f>
        <v>0.42857142857142855</v>
      </c>
      <c r="D84" s="527">
        <v>5</v>
      </c>
      <c r="E84" s="524">
        <f>D84/E$67</f>
        <v>0.29411764705882354</v>
      </c>
      <c r="F84" s="528">
        <v>7</v>
      </c>
      <c r="G84" s="524">
        <f>F84/G$67</f>
        <v>0.3888888888888889</v>
      </c>
      <c r="H84" s="528">
        <v>7</v>
      </c>
      <c r="I84" s="524">
        <f>H84/I$67</f>
        <v>0.3888888888888889</v>
      </c>
      <c r="J84" s="528">
        <f>4+4</f>
        <v>8</v>
      </c>
      <c r="K84" s="524">
        <f>J84/K$67</f>
        <v>0.44444444444444442</v>
      </c>
      <c r="L84" s="528">
        <v>11</v>
      </c>
      <c r="M84" s="524">
        <f>L84/M$67</f>
        <v>0.5</v>
      </c>
      <c r="N84" s="528">
        <v>10</v>
      </c>
      <c r="O84" s="524">
        <f>N84/O$67</f>
        <v>0.47619047619047616</v>
      </c>
      <c r="P84" s="528">
        <v>6</v>
      </c>
      <c r="Q84" s="524">
        <f>P84/Q$67</f>
        <v>0.2857142857142857</v>
      </c>
      <c r="R84" s="528">
        <v>8</v>
      </c>
      <c r="S84" s="524">
        <f>R84/S$67</f>
        <v>0.38095238095238093</v>
      </c>
      <c r="T84" s="528"/>
      <c r="U84" s="526" t="e">
        <f>T84/U$67</f>
        <v>#DIV/0!</v>
      </c>
      <c r="V84" s="198"/>
      <c r="W84" s="947">
        <f t="shared" si="28"/>
        <v>8.75</v>
      </c>
      <c r="X84" s="199" t="e">
        <f t="shared" si="29"/>
        <v>#DIV/0!</v>
      </c>
    </row>
    <row r="85" spans="1:24" s="1" customFormat="1" ht="18" customHeight="1" x14ac:dyDescent="0.2">
      <c r="A85" s="723" t="s">
        <v>55</v>
      </c>
      <c r="B85" s="519"/>
      <c r="C85" s="510"/>
      <c r="D85" s="519"/>
      <c r="E85" s="511"/>
      <c r="F85" s="520"/>
      <c r="G85" s="511"/>
      <c r="H85" s="520"/>
      <c r="I85" s="511"/>
      <c r="J85" s="520"/>
      <c r="K85" s="511"/>
      <c r="L85" s="520"/>
      <c r="M85" s="511"/>
      <c r="N85" s="520"/>
      <c r="O85" s="511"/>
      <c r="P85" s="520"/>
      <c r="Q85" s="511"/>
      <c r="R85" s="520"/>
      <c r="S85" s="511"/>
      <c r="T85" s="520"/>
      <c r="U85" s="513"/>
      <c r="V85" s="198"/>
      <c r="W85" s="947"/>
      <c r="X85" s="199"/>
    </row>
    <row r="86" spans="1:24" s="1" customFormat="1" ht="15" customHeight="1" x14ac:dyDescent="0.2">
      <c r="A86" s="192" t="s">
        <v>56</v>
      </c>
      <c r="B86" s="205">
        <v>17</v>
      </c>
      <c r="C86" s="194">
        <f>B86/C$67</f>
        <v>0.80952380952380953</v>
      </c>
      <c r="D86" s="205">
        <v>15</v>
      </c>
      <c r="E86" s="195">
        <f>D86/E$67</f>
        <v>0.88235294117647056</v>
      </c>
      <c r="F86" s="206">
        <v>15</v>
      </c>
      <c r="G86" s="195">
        <f>F86/G$67</f>
        <v>0.83333333333333337</v>
      </c>
      <c r="H86" s="206">
        <v>15</v>
      </c>
      <c r="I86" s="195">
        <f>H86/I$67</f>
        <v>0.83333333333333337</v>
      </c>
      <c r="J86" s="206">
        <f>13</f>
        <v>13</v>
      </c>
      <c r="K86" s="195">
        <f>J86/K$67</f>
        <v>0.72222222222222221</v>
      </c>
      <c r="L86" s="206">
        <v>18</v>
      </c>
      <c r="M86" s="195">
        <f>L86/M$67</f>
        <v>0.81818181818181823</v>
      </c>
      <c r="N86" s="206">
        <v>17</v>
      </c>
      <c r="O86" s="195">
        <f>N86/O$67</f>
        <v>0.80952380952380953</v>
      </c>
      <c r="P86" s="206">
        <v>16</v>
      </c>
      <c r="Q86" s="195">
        <f>P86/Q$67</f>
        <v>0.76190476190476186</v>
      </c>
      <c r="R86" s="206">
        <v>16</v>
      </c>
      <c r="S86" s="195">
        <f>R86/S$67</f>
        <v>0.76190476190476186</v>
      </c>
      <c r="T86" s="206"/>
      <c r="U86" s="197" t="e">
        <f>T86/U$67</f>
        <v>#DIV/0!</v>
      </c>
      <c r="V86" s="198"/>
      <c r="W86" s="947">
        <f t="shared" si="28"/>
        <v>16.75</v>
      </c>
      <c r="X86" s="199" t="e">
        <f t="shared" si="29"/>
        <v>#DIV/0!</v>
      </c>
    </row>
    <row r="87" spans="1:24" s="1" customFormat="1" ht="15" customHeight="1" x14ac:dyDescent="0.2">
      <c r="A87" s="192" t="s">
        <v>57</v>
      </c>
      <c r="B87" s="205">
        <v>4</v>
      </c>
      <c r="C87" s="194">
        <f>B87/C$67</f>
        <v>0.19047619047619047</v>
      </c>
      <c r="D87" s="205">
        <v>2</v>
      </c>
      <c r="E87" s="195">
        <f>D87/E$67</f>
        <v>0.11764705882352941</v>
      </c>
      <c r="F87" s="206">
        <v>3</v>
      </c>
      <c r="G87" s="195">
        <f>F87/G$67</f>
        <v>0.16666666666666666</v>
      </c>
      <c r="H87" s="206">
        <v>3</v>
      </c>
      <c r="I87" s="195">
        <f>H87/I$67</f>
        <v>0.16666666666666666</v>
      </c>
      <c r="J87" s="206">
        <f>1+3</f>
        <v>4</v>
      </c>
      <c r="K87" s="195">
        <f>J87/K$67</f>
        <v>0.22222222222222221</v>
      </c>
      <c r="L87" s="206">
        <v>4</v>
      </c>
      <c r="M87" s="195">
        <f>L87/M$67</f>
        <v>0.18181818181818182</v>
      </c>
      <c r="N87" s="206">
        <v>4</v>
      </c>
      <c r="O87" s="195">
        <f>N87/O$67</f>
        <v>0.19047619047619047</v>
      </c>
      <c r="P87" s="206">
        <v>5</v>
      </c>
      <c r="Q87" s="195">
        <f>P87/Q$67</f>
        <v>0.23809523809523808</v>
      </c>
      <c r="R87" s="206">
        <v>5</v>
      </c>
      <c r="S87" s="195">
        <f>R87/S$67</f>
        <v>0.23809523809523808</v>
      </c>
      <c r="T87" s="206"/>
      <c r="U87" s="197" t="e">
        <f>T87/U$67</f>
        <v>#DIV/0!</v>
      </c>
      <c r="V87" s="198"/>
      <c r="W87" s="947">
        <f t="shared" si="28"/>
        <v>4.5</v>
      </c>
      <c r="X87" s="199" t="e">
        <f t="shared" si="29"/>
        <v>#DIV/0!</v>
      </c>
    </row>
    <row r="88" spans="1:24" s="1" customFormat="1" ht="15" customHeight="1" x14ac:dyDescent="0.2">
      <c r="A88" s="192" t="s">
        <v>58</v>
      </c>
      <c r="B88" s="205">
        <v>0</v>
      </c>
      <c r="C88" s="194">
        <f>B88/C$67</f>
        <v>0</v>
      </c>
      <c r="D88" s="205">
        <v>0</v>
      </c>
      <c r="E88" s="195">
        <f>D88/E$67</f>
        <v>0</v>
      </c>
      <c r="F88" s="206">
        <v>0</v>
      </c>
      <c r="G88" s="195">
        <f>F88/G$67</f>
        <v>0</v>
      </c>
      <c r="H88" s="206">
        <v>0</v>
      </c>
      <c r="I88" s="195">
        <f>H88/I$67</f>
        <v>0</v>
      </c>
      <c r="J88" s="206">
        <f>1</f>
        <v>1</v>
      </c>
      <c r="K88" s="195">
        <f>J88/K$67</f>
        <v>5.5555555555555552E-2</v>
      </c>
      <c r="L88" s="206">
        <v>0</v>
      </c>
      <c r="M88" s="195">
        <f>L88/M$67</f>
        <v>0</v>
      </c>
      <c r="N88" s="206">
        <v>0</v>
      </c>
      <c r="O88" s="195">
        <f>N88/O$67</f>
        <v>0</v>
      </c>
      <c r="P88" s="206">
        <v>0</v>
      </c>
      <c r="Q88" s="195">
        <f>P88/Q$67</f>
        <v>0</v>
      </c>
      <c r="R88" s="206">
        <v>0</v>
      </c>
      <c r="S88" s="195">
        <f>R88/S$67</f>
        <v>0</v>
      </c>
      <c r="T88" s="206"/>
      <c r="U88" s="197" t="e">
        <f>T88/U$67</f>
        <v>#DIV/0!</v>
      </c>
      <c r="V88" s="191"/>
      <c r="W88" s="947">
        <f t="shared" si="28"/>
        <v>0</v>
      </c>
      <c r="X88" s="199" t="e">
        <f t="shared" si="29"/>
        <v>#DIV/0!</v>
      </c>
    </row>
    <row r="89" spans="1:24" s="1" customFormat="1" ht="15" customHeight="1" thickBot="1" x14ac:dyDescent="0.25">
      <c r="A89" s="207" t="s">
        <v>59</v>
      </c>
      <c r="B89" s="208">
        <v>0</v>
      </c>
      <c r="C89" s="209">
        <f>B89/C$67</f>
        <v>0</v>
      </c>
      <c r="D89" s="208">
        <v>0</v>
      </c>
      <c r="E89" s="210">
        <f>D89/E$67</f>
        <v>0</v>
      </c>
      <c r="F89" s="211">
        <v>0</v>
      </c>
      <c r="G89" s="210">
        <f>F89/G$67</f>
        <v>0</v>
      </c>
      <c r="H89" s="211">
        <v>0</v>
      </c>
      <c r="I89" s="210">
        <f>H89/I$67</f>
        <v>0</v>
      </c>
      <c r="J89" s="211">
        <f>0</f>
        <v>0</v>
      </c>
      <c r="K89" s="210">
        <f>J89/K$67</f>
        <v>0</v>
      </c>
      <c r="L89" s="211">
        <v>0</v>
      </c>
      <c r="M89" s="210">
        <f>L89/M$67</f>
        <v>0</v>
      </c>
      <c r="N89" s="211">
        <v>0</v>
      </c>
      <c r="O89" s="210">
        <f>N89/O$67</f>
        <v>0</v>
      </c>
      <c r="P89" s="211">
        <v>0</v>
      </c>
      <c r="Q89" s="210">
        <f>P89/Q$67</f>
        <v>0</v>
      </c>
      <c r="R89" s="211">
        <v>0</v>
      </c>
      <c r="S89" s="210">
        <f>R89/S$67</f>
        <v>0</v>
      </c>
      <c r="T89" s="211"/>
      <c r="U89" s="212" t="e">
        <f>T89/U$67</f>
        <v>#DIV/0!</v>
      </c>
      <c r="V89" s="191"/>
      <c r="W89" s="953">
        <f t="shared" si="28"/>
        <v>0</v>
      </c>
      <c r="X89" s="213" t="e">
        <f t="shared" si="29"/>
        <v>#DIV/0!</v>
      </c>
    </row>
    <row r="90" spans="1:24" ht="13.5" thickTop="1" x14ac:dyDescent="0.2">
      <c r="A90" s="18" t="s">
        <v>178</v>
      </c>
    </row>
    <row r="91" spans="1:24" x14ac:dyDescent="0.2">
      <c r="A91" s="792" t="s">
        <v>174</v>
      </c>
      <c r="H91" s="36" t="s">
        <v>14</v>
      </c>
      <c r="J91" s="36" t="s">
        <v>14</v>
      </c>
      <c r="L91" s="36" t="s">
        <v>14</v>
      </c>
      <c r="N91" s="36" t="s">
        <v>14</v>
      </c>
      <c r="P91" s="36" t="s">
        <v>14</v>
      </c>
      <c r="R91" s="36" t="s">
        <v>14</v>
      </c>
      <c r="T91" s="36" t="s">
        <v>14</v>
      </c>
    </row>
    <row r="92" spans="1:24" x14ac:dyDescent="0.2">
      <c r="A92" s="488" t="s">
        <v>153</v>
      </c>
    </row>
    <row r="93" spans="1:24" x14ac:dyDescent="0.2">
      <c r="A93" s="1"/>
    </row>
    <row r="94" spans="1:24" x14ac:dyDescent="0.2">
      <c r="A94" s="1"/>
    </row>
    <row r="95" spans="1:24" x14ac:dyDescent="0.2">
      <c r="A95" s="1"/>
    </row>
    <row r="96" spans="1:24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</sheetData>
  <mergeCells count="77">
    <mergeCell ref="N48:O48"/>
    <mergeCell ref="P48:Q48"/>
    <mergeCell ref="R48:S48"/>
    <mergeCell ref="W48:X48"/>
    <mergeCell ref="L48:M48"/>
    <mergeCell ref="T48:U48"/>
    <mergeCell ref="B48:C48"/>
    <mergeCell ref="D48:E48"/>
    <mergeCell ref="F48:G48"/>
    <mergeCell ref="H48:I48"/>
    <mergeCell ref="J48:K48"/>
    <mergeCell ref="L45:M45"/>
    <mergeCell ref="N45:O45"/>
    <mergeCell ref="P45:Q45"/>
    <mergeCell ref="R45:S45"/>
    <mergeCell ref="W45:X45"/>
    <mergeCell ref="T45:U45"/>
    <mergeCell ref="B45:C45"/>
    <mergeCell ref="D45:E45"/>
    <mergeCell ref="F45:G45"/>
    <mergeCell ref="H45:I45"/>
    <mergeCell ref="J45:K45"/>
    <mergeCell ref="L38:M38"/>
    <mergeCell ref="N38:O38"/>
    <mergeCell ref="P38:Q38"/>
    <mergeCell ref="R38:S38"/>
    <mergeCell ref="W38:X38"/>
    <mergeCell ref="T38:U38"/>
    <mergeCell ref="B38:C38"/>
    <mergeCell ref="D38:E38"/>
    <mergeCell ref="F38:G38"/>
    <mergeCell ref="H38:I38"/>
    <mergeCell ref="J38:K38"/>
    <mergeCell ref="L35:M35"/>
    <mergeCell ref="N35:O35"/>
    <mergeCell ref="P35:Q35"/>
    <mergeCell ref="R35:S35"/>
    <mergeCell ref="W35:X35"/>
    <mergeCell ref="T35:U35"/>
    <mergeCell ref="B35:C35"/>
    <mergeCell ref="D35:E35"/>
    <mergeCell ref="F35:G35"/>
    <mergeCell ref="H35:I35"/>
    <mergeCell ref="J35:K35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W28:X28"/>
    <mergeCell ref="T28:U28"/>
    <mergeCell ref="N55:O55"/>
    <mergeCell ref="P55:Q55"/>
    <mergeCell ref="R55:S55"/>
    <mergeCell ref="W55:X55"/>
    <mergeCell ref="B55:C55"/>
    <mergeCell ref="D55:E55"/>
    <mergeCell ref="F55:G55"/>
    <mergeCell ref="H55:I55"/>
    <mergeCell ref="J55:K55"/>
    <mergeCell ref="L55:M55"/>
    <mergeCell ref="T55:U55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W9:X9"/>
    <mergeCell ref="T9:U9"/>
  </mergeCells>
  <pageMargins left="0.5" right="0.5" top="0.5" bottom="0.5" header="0.3" footer="0.3"/>
  <pageSetup scale="70" orientation="landscape" r:id="rId1"/>
  <headerFooter alignWithMargins="0">
    <oddFooter>&amp;L&amp;9Prepared by Planning and Analysis&amp;C&amp;9&amp;P of &amp;N&amp;R&amp;9Updated &amp;D</oddFooter>
  </headerFooter>
  <rowBreaks count="1" manualBreakCount="1">
    <brk id="52" max="16383" man="1"/>
  </rowBreaks>
  <colBreaks count="1" manualBreakCount="1">
    <brk id="21" max="1048575" man="1"/>
  </colBreaks>
  <ignoredErrors>
    <ignoredError sqref="J70:J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8"/>
  <sheetViews>
    <sheetView zoomScaleNormal="100" zoomScaleSheetLayoutView="100" workbookViewId="0">
      <pane xSplit="1" ySplit="8" topLeftCell="O9" activePane="bottomRight" state="frozen"/>
      <selection activeCell="T35" sqref="T35:U35"/>
      <selection pane="topRight" activeCell="T35" sqref="T35:U35"/>
      <selection pane="bottomLeft" activeCell="T35" sqref="T35:U35"/>
      <selection pane="bottomRight" activeCell="T35" sqref="T35:U35"/>
    </sheetView>
  </sheetViews>
  <sheetFormatPr defaultColWidth="10.28515625" defaultRowHeight="12.75" x14ac:dyDescent="0.2"/>
  <cols>
    <col min="1" max="1" width="35" style="133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9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29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29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29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  <c r="T4" s="1" t="s">
        <v>14</v>
      </c>
    </row>
    <row r="5" spans="1:29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29" s="1" customFormat="1" ht="25.5" x14ac:dyDescent="0.2">
      <c r="A6" s="127" t="s">
        <v>73</v>
      </c>
      <c r="F6" s="2"/>
      <c r="G6" s="2"/>
      <c r="H6" s="2"/>
      <c r="I6" s="2"/>
      <c r="T6" s="1023"/>
      <c r="W6" s="1" t="s">
        <v>14</v>
      </c>
    </row>
    <row r="7" spans="1:29" s="1" customFormat="1" x14ac:dyDescent="0.2">
      <c r="A7" s="461">
        <v>3670055050</v>
      </c>
      <c r="F7" s="2"/>
      <c r="G7" s="2"/>
      <c r="H7" s="2"/>
      <c r="I7" s="2"/>
    </row>
    <row r="8" spans="1:29" s="1" customFormat="1" ht="15" customHeight="1" thickBot="1" x14ac:dyDescent="0.25">
      <c r="A8" s="462"/>
      <c r="B8" s="463"/>
      <c r="C8" s="463"/>
      <c r="D8" s="463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18" customHeight="1" thickTop="1" thickBot="1" x14ac:dyDescent="0.25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W9" s="1044" t="s">
        <v>9</v>
      </c>
      <c r="X9" s="1045"/>
    </row>
    <row r="10" spans="1:29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710" t="s">
        <v>166</v>
      </c>
      <c r="T10" s="709" t="s">
        <v>165</v>
      </c>
      <c r="U10" s="712" t="s">
        <v>166</v>
      </c>
      <c r="W10" s="713" t="s">
        <v>165</v>
      </c>
      <c r="X10" s="714" t="s">
        <v>166</v>
      </c>
    </row>
    <row r="11" spans="1:29" ht="24" x14ac:dyDescent="0.2">
      <c r="A11" s="128" t="s">
        <v>80</v>
      </c>
      <c r="B11" s="7"/>
      <c r="C11" s="437"/>
      <c r="D11" s="6"/>
      <c r="E11" s="312"/>
      <c r="F11" s="7"/>
      <c r="G11" s="312"/>
      <c r="H11" s="7"/>
      <c r="I11" s="312"/>
      <c r="J11" s="7"/>
      <c r="K11" s="312"/>
      <c r="L11" s="7"/>
      <c r="M11" s="312"/>
      <c r="N11" s="7"/>
      <c r="O11" s="312"/>
      <c r="P11" s="7"/>
      <c r="Q11" s="312"/>
      <c r="R11" s="7"/>
      <c r="S11" s="312"/>
      <c r="T11" s="7"/>
      <c r="U11" s="435"/>
      <c r="V11" s="2"/>
      <c r="W11" s="442"/>
      <c r="X11" s="443"/>
      <c r="Z11" s="13"/>
    </row>
    <row r="12" spans="1:29" ht="15" customHeight="1" x14ac:dyDescent="0.2">
      <c r="A12" s="129" t="s">
        <v>10</v>
      </c>
      <c r="B12" s="11">
        <v>74</v>
      </c>
      <c r="C12" s="60"/>
      <c r="D12" s="12">
        <v>75</v>
      </c>
      <c r="E12" s="62"/>
      <c r="F12" s="11">
        <v>98</v>
      </c>
      <c r="G12" s="62"/>
      <c r="H12" s="11">
        <v>129</v>
      </c>
      <c r="I12" s="62"/>
      <c r="J12" s="11">
        <v>125</v>
      </c>
      <c r="K12" s="62"/>
      <c r="L12" s="11">
        <v>159</v>
      </c>
      <c r="M12" s="62"/>
      <c r="N12" s="11">
        <v>161</v>
      </c>
      <c r="O12" s="62"/>
      <c r="P12" s="11">
        <v>149</v>
      </c>
      <c r="Q12" s="64"/>
      <c r="R12" s="11">
        <f>42+96</f>
        <v>138</v>
      </c>
      <c r="S12" s="64"/>
      <c r="T12" s="68">
        <v>118</v>
      </c>
      <c r="U12" s="66"/>
      <c r="V12" s="13"/>
      <c r="W12" s="327">
        <f t="shared" ref="W12:W18" si="0">AVERAGE(N12,L12,R12,T12,P12)</f>
        <v>145</v>
      </c>
      <c r="X12" s="258"/>
      <c r="Z12" s="13"/>
    </row>
    <row r="13" spans="1:29" ht="15" customHeight="1" thickBot="1" x14ac:dyDescent="0.25">
      <c r="A13" s="130" t="s">
        <v>11</v>
      </c>
      <c r="B13" s="17">
        <v>262</v>
      </c>
      <c r="C13" s="61"/>
      <c r="D13" s="47">
        <v>263</v>
      </c>
      <c r="E13" s="63"/>
      <c r="F13" s="17">
        <v>270</v>
      </c>
      <c r="G13" s="63"/>
      <c r="H13" s="17">
        <v>324</v>
      </c>
      <c r="I13" s="63"/>
      <c r="J13" s="17">
        <v>356</v>
      </c>
      <c r="K13" s="63"/>
      <c r="L13" s="17">
        <v>381</v>
      </c>
      <c r="M13" s="63"/>
      <c r="N13" s="17">
        <v>424</v>
      </c>
      <c r="O13" s="63"/>
      <c r="P13" s="17">
        <v>421</v>
      </c>
      <c r="Q13" s="65"/>
      <c r="R13" s="17">
        <f>159+234</f>
        <v>393</v>
      </c>
      <c r="S13" s="65"/>
      <c r="T13" s="17">
        <v>338</v>
      </c>
      <c r="U13" s="67"/>
      <c r="V13" s="13"/>
      <c r="W13" s="330">
        <f t="shared" si="0"/>
        <v>391.4</v>
      </c>
      <c r="X13" s="259"/>
      <c r="Z13" s="39"/>
    </row>
    <row r="14" spans="1:29" ht="15" customHeight="1" thickBot="1" x14ac:dyDescent="0.25">
      <c r="A14" s="131" t="s">
        <v>12</v>
      </c>
      <c r="B14" s="48">
        <f t="shared" ref="B14" si="1">SUM(B12:B13)</f>
        <v>336</v>
      </c>
      <c r="C14" s="53">
        <v>145</v>
      </c>
      <c r="D14" s="48">
        <f t="shared" ref="D14" si="2">SUM(D12:D13)</f>
        <v>338</v>
      </c>
      <c r="E14" s="53">
        <v>101</v>
      </c>
      <c r="F14" s="48">
        <f t="shared" ref="F14" si="3">SUM(F12:F13)</f>
        <v>368</v>
      </c>
      <c r="G14" s="53">
        <v>112</v>
      </c>
      <c r="H14" s="48">
        <f t="shared" ref="H14" si="4">SUM(H12:H13)</f>
        <v>453</v>
      </c>
      <c r="I14" s="53">
        <v>134</v>
      </c>
      <c r="J14" s="48">
        <f t="shared" ref="J14" si="5">SUM(J12:J13)</f>
        <v>481</v>
      </c>
      <c r="K14" s="53">
        <v>160</v>
      </c>
      <c r="L14" s="48">
        <f t="shared" ref="L14" si="6">SUM(L12:L13)</f>
        <v>540</v>
      </c>
      <c r="M14" s="53">
        <v>166</v>
      </c>
      <c r="N14" s="48">
        <f t="shared" ref="N14" si="7">SUM(N12:N13)</f>
        <v>585</v>
      </c>
      <c r="O14" s="53">
        <v>178</v>
      </c>
      <c r="P14" s="48">
        <f t="shared" ref="P14" si="8">SUM(P12:P13)</f>
        <v>570</v>
      </c>
      <c r="Q14" s="53">
        <v>186</v>
      </c>
      <c r="R14" s="48">
        <f>SUM(R12:R13)</f>
        <v>531</v>
      </c>
      <c r="S14" s="53">
        <v>189</v>
      </c>
      <c r="T14" s="135">
        <f>SUM(T12:T13)</f>
        <v>456</v>
      </c>
      <c r="U14" s="757">
        <f t="shared" ref="U14" si="9">SUM(U12:U13)</f>
        <v>0</v>
      </c>
      <c r="V14" s="39"/>
      <c r="W14" s="384">
        <f t="shared" si="0"/>
        <v>536.4</v>
      </c>
      <c r="X14" s="257">
        <f>AVERAGE(O14,M14,S14,K14,Q14)</f>
        <v>175.8</v>
      </c>
      <c r="Y14" s="32"/>
      <c r="Z14" s="39"/>
      <c r="AA14" s="33"/>
    </row>
    <row r="15" spans="1:29" s="13" customFormat="1" ht="15" customHeight="1" x14ac:dyDescent="0.2">
      <c r="A15" s="132" t="s">
        <v>81</v>
      </c>
      <c r="B15" s="81"/>
      <c r="C15" s="26"/>
      <c r="D15" s="80"/>
      <c r="E15" s="25"/>
      <c r="F15" s="81"/>
      <c r="G15" s="25"/>
      <c r="H15" s="81">
        <v>11</v>
      </c>
      <c r="I15" s="25">
        <v>0</v>
      </c>
      <c r="J15" s="81">
        <v>31</v>
      </c>
      <c r="K15" s="25">
        <v>19</v>
      </c>
      <c r="L15" s="81">
        <f>1+49</f>
        <v>50</v>
      </c>
      <c r="M15" s="25">
        <v>26</v>
      </c>
      <c r="N15" s="81">
        <v>71</v>
      </c>
      <c r="O15" s="25">
        <v>32</v>
      </c>
      <c r="P15" s="81">
        <v>86</v>
      </c>
      <c r="Q15" s="71">
        <v>34</v>
      </c>
      <c r="R15" s="81">
        <v>115</v>
      </c>
      <c r="S15" s="71">
        <v>50</v>
      </c>
      <c r="T15" s="134">
        <v>105</v>
      </c>
      <c r="U15" s="451"/>
      <c r="V15" s="121"/>
      <c r="W15" s="325">
        <f t="shared" si="0"/>
        <v>85.4</v>
      </c>
      <c r="X15" s="151">
        <f t="shared" ref="X15:X18" si="10">AVERAGE(O15,M15,S15,K15,Q15)</f>
        <v>32.200000000000003</v>
      </c>
    </row>
    <row r="16" spans="1:29" s="39" customFormat="1" ht="15" customHeight="1" x14ac:dyDescent="0.2">
      <c r="A16" s="132" t="s">
        <v>82</v>
      </c>
      <c r="B16" s="81">
        <v>208</v>
      </c>
      <c r="C16" s="26">
        <v>53</v>
      </c>
      <c r="D16" s="80">
        <v>248</v>
      </c>
      <c r="E16" s="25">
        <v>65</v>
      </c>
      <c r="F16" s="81">
        <v>175</v>
      </c>
      <c r="G16" s="25">
        <v>47</v>
      </c>
      <c r="H16" s="81">
        <v>180</v>
      </c>
      <c r="I16" s="25">
        <v>56</v>
      </c>
      <c r="J16" s="81">
        <v>184</v>
      </c>
      <c r="K16" s="25">
        <v>51</v>
      </c>
      <c r="L16" s="81">
        <v>166</v>
      </c>
      <c r="M16" s="25">
        <v>51</v>
      </c>
      <c r="N16" s="81">
        <v>163</v>
      </c>
      <c r="O16" s="25">
        <v>48</v>
      </c>
      <c r="P16" s="81">
        <v>169</v>
      </c>
      <c r="Q16" s="71">
        <v>84</v>
      </c>
      <c r="R16" s="81">
        <v>99</v>
      </c>
      <c r="S16" s="71">
        <v>36</v>
      </c>
      <c r="T16" s="134">
        <v>102</v>
      </c>
      <c r="U16" s="451"/>
      <c r="V16" s="122"/>
      <c r="W16" s="327">
        <f t="shared" si="0"/>
        <v>139.80000000000001</v>
      </c>
      <c r="X16" s="14">
        <f t="shared" si="10"/>
        <v>54</v>
      </c>
    </row>
    <row r="17" spans="1:27" s="13" customFormat="1" ht="15" customHeight="1" x14ac:dyDescent="0.2">
      <c r="A17" s="132" t="s">
        <v>83</v>
      </c>
      <c r="B17" s="81">
        <v>8</v>
      </c>
      <c r="C17" s="26">
        <v>0</v>
      </c>
      <c r="D17" s="80">
        <v>0</v>
      </c>
      <c r="E17" s="25">
        <v>0</v>
      </c>
      <c r="F17" s="81">
        <v>0</v>
      </c>
      <c r="G17" s="25">
        <v>0</v>
      </c>
      <c r="H17" s="81">
        <v>1</v>
      </c>
      <c r="I17" s="25">
        <v>1</v>
      </c>
      <c r="J17" s="81">
        <v>0</v>
      </c>
      <c r="K17" s="25">
        <v>0</v>
      </c>
      <c r="L17" s="81">
        <v>3</v>
      </c>
      <c r="M17" s="25">
        <v>0</v>
      </c>
      <c r="N17" s="81">
        <v>4</v>
      </c>
      <c r="O17" s="25">
        <v>1</v>
      </c>
      <c r="P17" s="81">
        <v>3</v>
      </c>
      <c r="Q17" s="71">
        <v>1</v>
      </c>
      <c r="R17" s="81">
        <v>4</v>
      </c>
      <c r="S17" s="71">
        <v>2</v>
      </c>
      <c r="T17" s="134">
        <v>1</v>
      </c>
      <c r="U17" s="451"/>
      <c r="V17" s="122"/>
      <c r="W17" s="327">
        <f t="shared" si="0"/>
        <v>3</v>
      </c>
      <c r="X17" s="14">
        <f t="shared" si="10"/>
        <v>0.8</v>
      </c>
    </row>
    <row r="18" spans="1:27" ht="15" customHeight="1" x14ac:dyDescent="0.2">
      <c r="A18" s="132" t="s">
        <v>84</v>
      </c>
      <c r="B18" s="81">
        <v>1</v>
      </c>
      <c r="C18" s="26">
        <v>0</v>
      </c>
      <c r="D18" s="80">
        <v>1</v>
      </c>
      <c r="E18" s="25">
        <v>0</v>
      </c>
      <c r="F18" s="81">
        <v>3</v>
      </c>
      <c r="G18" s="25">
        <v>0</v>
      </c>
      <c r="H18" s="81">
        <v>3</v>
      </c>
      <c r="I18" s="25">
        <v>15</v>
      </c>
      <c r="J18" s="81">
        <v>3</v>
      </c>
      <c r="K18" s="25">
        <v>0</v>
      </c>
      <c r="L18" s="81">
        <v>3</v>
      </c>
      <c r="M18" s="25">
        <v>0</v>
      </c>
      <c r="N18" s="81">
        <v>2</v>
      </c>
      <c r="O18" s="25">
        <v>0</v>
      </c>
      <c r="P18" s="81">
        <v>1</v>
      </c>
      <c r="Q18" s="71">
        <v>0</v>
      </c>
      <c r="R18" s="81">
        <v>0</v>
      </c>
      <c r="S18" s="71">
        <v>0</v>
      </c>
      <c r="T18" s="134">
        <v>0</v>
      </c>
      <c r="U18" s="451"/>
      <c r="V18" s="122"/>
      <c r="W18" s="327">
        <f t="shared" si="0"/>
        <v>1.2</v>
      </c>
      <c r="X18" s="14">
        <f t="shared" si="10"/>
        <v>0</v>
      </c>
    </row>
    <row r="19" spans="1:27" ht="15" customHeight="1" x14ac:dyDescent="0.2">
      <c r="A19" s="107" t="s">
        <v>88</v>
      </c>
      <c r="B19" s="81"/>
      <c r="C19" s="445"/>
      <c r="D19" s="80"/>
      <c r="E19" s="446"/>
      <c r="F19" s="81"/>
      <c r="G19" s="446"/>
      <c r="H19" s="81"/>
      <c r="I19" s="446"/>
      <c r="J19" s="81"/>
      <c r="K19" s="446"/>
      <c r="L19" s="81"/>
      <c r="M19" s="446"/>
      <c r="N19" s="81" t="s">
        <v>14</v>
      </c>
      <c r="O19" s="446"/>
      <c r="P19" s="81"/>
      <c r="Q19" s="446"/>
      <c r="R19" s="81"/>
      <c r="S19" s="446"/>
      <c r="T19" s="81"/>
      <c r="U19" s="444"/>
      <c r="V19" s="123"/>
      <c r="W19" s="538"/>
      <c r="X19" s="14"/>
    </row>
    <row r="20" spans="1:27" ht="15" customHeight="1" x14ac:dyDescent="0.2">
      <c r="A20" s="129" t="s">
        <v>10</v>
      </c>
      <c r="B20" s="11">
        <v>40</v>
      </c>
      <c r="C20" s="60"/>
      <c r="D20" s="12">
        <v>36</v>
      </c>
      <c r="E20" s="62"/>
      <c r="F20" s="11">
        <v>31</v>
      </c>
      <c r="G20" s="62"/>
      <c r="H20" s="11">
        <v>30</v>
      </c>
      <c r="I20" s="62"/>
      <c r="J20" s="11">
        <v>36</v>
      </c>
      <c r="K20" s="62"/>
      <c r="L20" s="11">
        <v>25</v>
      </c>
      <c r="M20" s="62"/>
      <c r="N20" s="11">
        <v>27</v>
      </c>
      <c r="O20" s="62"/>
      <c r="P20" s="11">
        <v>29</v>
      </c>
      <c r="Q20" s="64"/>
      <c r="R20" s="11">
        <f>16+8</f>
        <v>24</v>
      </c>
      <c r="S20" s="64"/>
      <c r="T20" s="68">
        <v>26</v>
      </c>
      <c r="U20" s="66"/>
      <c r="V20" s="13"/>
      <c r="W20" s="327">
        <f>AVERAGE(N20,L20,R20,T20,P20)</f>
        <v>26.2</v>
      </c>
      <c r="X20" s="447"/>
    </row>
    <row r="21" spans="1:27" ht="15" customHeight="1" thickBot="1" x14ac:dyDescent="0.25">
      <c r="A21" s="130" t="s">
        <v>11</v>
      </c>
      <c r="B21" s="17">
        <v>69</v>
      </c>
      <c r="C21" s="61"/>
      <c r="D21" s="47">
        <v>65</v>
      </c>
      <c r="E21" s="63"/>
      <c r="F21" s="17">
        <v>59</v>
      </c>
      <c r="G21" s="63"/>
      <c r="H21" s="17">
        <v>59</v>
      </c>
      <c r="I21" s="63"/>
      <c r="J21" s="17">
        <v>44</v>
      </c>
      <c r="K21" s="63"/>
      <c r="L21" s="17">
        <v>55</v>
      </c>
      <c r="M21" s="63"/>
      <c r="N21" s="17">
        <v>50</v>
      </c>
      <c r="O21" s="63"/>
      <c r="P21" s="17">
        <v>39</v>
      </c>
      <c r="Q21" s="65"/>
      <c r="R21" s="17">
        <f>14+28</f>
        <v>42</v>
      </c>
      <c r="S21" s="65"/>
      <c r="T21" s="77">
        <v>29</v>
      </c>
      <c r="U21" s="67"/>
      <c r="V21" s="13"/>
      <c r="W21" s="330">
        <f>AVERAGE(N21,L21,R21,T21,P21)</f>
        <v>43</v>
      </c>
      <c r="X21" s="448"/>
    </row>
    <row r="22" spans="1:27" ht="15" customHeight="1" thickBot="1" x14ac:dyDescent="0.25">
      <c r="A22" s="131" t="s">
        <v>12</v>
      </c>
      <c r="B22" s="48">
        <f t="shared" ref="B22" si="11">SUM(B20:B21)</f>
        <v>109</v>
      </c>
      <c r="C22" s="53">
        <v>16</v>
      </c>
      <c r="D22" s="410">
        <f t="shared" ref="D22" si="12">SUM(D20:D21)</f>
        <v>101</v>
      </c>
      <c r="E22" s="53">
        <v>7</v>
      </c>
      <c r="F22" s="48">
        <f t="shared" ref="F22" si="13">SUM(F20:F21)</f>
        <v>90</v>
      </c>
      <c r="G22" s="53">
        <v>14</v>
      </c>
      <c r="H22" s="48">
        <f t="shared" ref="H22" si="14">SUM(H20:H21)</f>
        <v>89</v>
      </c>
      <c r="I22" s="53">
        <v>20</v>
      </c>
      <c r="J22" s="48">
        <f t="shared" ref="J22" si="15">SUM(J20:J21)</f>
        <v>80</v>
      </c>
      <c r="K22" s="53">
        <v>13</v>
      </c>
      <c r="L22" s="48">
        <f t="shared" ref="L22" si="16">SUM(L20:L21)</f>
        <v>80</v>
      </c>
      <c r="M22" s="53">
        <v>16</v>
      </c>
      <c r="N22" s="48">
        <f t="shared" ref="N22" si="17">SUM(N20:N21)</f>
        <v>77</v>
      </c>
      <c r="O22" s="53">
        <v>17</v>
      </c>
      <c r="P22" s="48">
        <f t="shared" ref="P22" si="18">SUM(P20:P21)</f>
        <v>68</v>
      </c>
      <c r="Q22" s="412">
        <v>11</v>
      </c>
      <c r="R22" s="48">
        <f t="shared" ref="R22" si="19">SUM(R20:R21)</f>
        <v>66</v>
      </c>
      <c r="S22" s="412">
        <v>14</v>
      </c>
      <c r="T22" s="135">
        <f t="shared" ref="T22:U22" si="20">SUM(T20:T21)</f>
        <v>55</v>
      </c>
      <c r="U22" s="757">
        <f t="shared" si="20"/>
        <v>0</v>
      </c>
      <c r="V22" s="39"/>
      <c r="W22" s="384">
        <f>AVERAGE(N22,L22,R22,T22,P22)</f>
        <v>69.2</v>
      </c>
      <c r="X22" s="257">
        <f>AVERAGE(O22,M22,S22,K22,Q22)</f>
        <v>14.2</v>
      </c>
      <c r="Y22" s="32"/>
      <c r="Z22" s="32"/>
      <c r="AA22" s="33"/>
    </row>
    <row r="23" spans="1:27" ht="15" customHeight="1" x14ac:dyDescent="0.2">
      <c r="A23" s="107" t="s">
        <v>89</v>
      </c>
      <c r="B23" s="81"/>
      <c r="C23" s="26"/>
      <c r="D23" s="80"/>
      <c r="E23" s="25"/>
      <c r="F23" s="81"/>
      <c r="G23" s="25"/>
      <c r="H23" s="81"/>
      <c r="I23" s="25"/>
      <c r="J23" s="81"/>
      <c r="K23" s="25"/>
      <c r="L23" s="81"/>
      <c r="M23" s="25"/>
      <c r="N23" s="81"/>
      <c r="O23" s="25"/>
      <c r="P23" s="81"/>
      <c r="Q23" s="25"/>
      <c r="R23" s="81"/>
      <c r="S23" s="25"/>
      <c r="T23" s="81"/>
      <c r="U23" s="444"/>
      <c r="V23" s="123"/>
      <c r="W23" s="539"/>
      <c r="X23" s="151"/>
    </row>
    <row r="24" spans="1:27" ht="15" customHeight="1" x14ac:dyDescent="0.2">
      <c r="A24" s="132" t="s">
        <v>82</v>
      </c>
      <c r="B24" s="111"/>
      <c r="C24" s="114"/>
      <c r="D24" s="113"/>
      <c r="E24" s="115"/>
      <c r="F24" s="111"/>
      <c r="G24" s="108"/>
      <c r="H24" s="111"/>
      <c r="I24" s="108"/>
      <c r="J24" s="111"/>
      <c r="K24" s="108"/>
      <c r="L24" s="111"/>
      <c r="M24" s="108"/>
      <c r="N24" s="81">
        <v>4</v>
      </c>
      <c r="O24" s="25">
        <v>0</v>
      </c>
      <c r="P24" s="81">
        <v>10</v>
      </c>
      <c r="Q24" s="71">
        <v>1</v>
      </c>
      <c r="R24" s="81">
        <v>11</v>
      </c>
      <c r="S24" s="71">
        <v>3</v>
      </c>
      <c r="T24" s="134">
        <v>12</v>
      </c>
      <c r="U24" s="451"/>
      <c r="V24" s="123"/>
      <c r="W24" s="327">
        <f>AVERAGE(N24,L24,R24,T24,P24)</f>
        <v>9.25</v>
      </c>
      <c r="X24" s="14">
        <f>AVERAGE(O24,M24,S24,K24,Q24)</f>
        <v>1.3333333333333333</v>
      </c>
    </row>
    <row r="25" spans="1:27" ht="26.25" customHeight="1" x14ac:dyDescent="0.2">
      <c r="A25" s="963" t="s">
        <v>90</v>
      </c>
      <c r="B25" s="81"/>
      <c r="C25" s="445"/>
      <c r="D25" s="80"/>
      <c r="E25" s="446"/>
      <c r="F25" s="81"/>
      <c r="G25" s="446"/>
      <c r="H25" s="81"/>
      <c r="I25" s="446"/>
      <c r="J25" s="81"/>
      <c r="K25" s="446"/>
      <c r="L25" s="81"/>
      <c r="M25" s="446"/>
      <c r="N25" s="81"/>
      <c r="O25" s="446"/>
      <c r="P25" s="81"/>
      <c r="Q25" s="446"/>
      <c r="R25" s="81"/>
      <c r="S25" s="446"/>
      <c r="T25" s="81"/>
      <c r="U25" s="444"/>
      <c r="V25" s="123"/>
      <c r="W25" s="538"/>
      <c r="X25" s="14"/>
    </row>
    <row r="26" spans="1:27" ht="15" customHeight="1" x14ac:dyDescent="0.2">
      <c r="A26" s="129" t="s">
        <v>10</v>
      </c>
      <c r="B26" s="11">
        <v>36</v>
      </c>
      <c r="C26" s="60"/>
      <c r="D26" s="12">
        <v>40</v>
      </c>
      <c r="E26" s="62"/>
      <c r="F26" s="11">
        <v>42</v>
      </c>
      <c r="G26" s="62"/>
      <c r="H26" s="11">
        <v>41</v>
      </c>
      <c r="I26" s="62"/>
      <c r="J26" s="11">
        <v>63</v>
      </c>
      <c r="K26" s="62"/>
      <c r="L26" s="11">
        <v>63</v>
      </c>
      <c r="M26" s="62"/>
      <c r="N26" s="11">
        <v>74</v>
      </c>
      <c r="O26" s="62"/>
      <c r="P26" s="11">
        <v>71</v>
      </c>
      <c r="Q26" s="64"/>
      <c r="R26" s="11">
        <v>74</v>
      </c>
      <c r="S26" s="64"/>
      <c r="T26" s="68">
        <v>63</v>
      </c>
      <c r="U26" s="66"/>
      <c r="V26" s="13"/>
      <c r="W26" s="327">
        <f>AVERAGE(N26,L26,R26,T26,P26)</f>
        <v>69</v>
      </c>
      <c r="X26" s="447"/>
    </row>
    <row r="27" spans="1:27" ht="15" customHeight="1" thickBot="1" x14ac:dyDescent="0.25">
      <c r="A27" s="130" t="s">
        <v>11</v>
      </c>
      <c r="B27" s="17">
        <v>65</v>
      </c>
      <c r="C27" s="61"/>
      <c r="D27" s="47">
        <v>60</v>
      </c>
      <c r="E27" s="63"/>
      <c r="F27" s="17">
        <v>75</v>
      </c>
      <c r="G27" s="63"/>
      <c r="H27" s="17">
        <v>80</v>
      </c>
      <c r="I27" s="63"/>
      <c r="J27" s="17">
        <v>73</v>
      </c>
      <c r="K27" s="63"/>
      <c r="L27" s="17">
        <v>82</v>
      </c>
      <c r="M27" s="63"/>
      <c r="N27" s="17">
        <v>88</v>
      </c>
      <c r="O27" s="63"/>
      <c r="P27" s="17">
        <v>84</v>
      </c>
      <c r="Q27" s="65"/>
      <c r="R27" s="17">
        <f>38+39</f>
        <v>77</v>
      </c>
      <c r="S27" s="65"/>
      <c r="T27" s="77">
        <v>88</v>
      </c>
      <c r="U27" s="67"/>
      <c r="V27" s="13"/>
      <c r="W27" s="330">
        <f>AVERAGE(N27,L27,R27,T27,P27)</f>
        <v>83.8</v>
      </c>
      <c r="X27" s="448"/>
    </row>
    <row r="28" spans="1:27" ht="15" customHeight="1" thickBot="1" x14ac:dyDescent="0.25">
      <c r="A28" s="131" t="s">
        <v>12</v>
      </c>
      <c r="B28" s="48">
        <f t="shared" ref="B28" si="21">SUM(B26:B27)</f>
        <v>101</v>
      </c>
      <c r="C28" s="53">
        <v>28</v>
      </c>
      <c r="D28" s="410">
        <f t="shared" ref="D28" si="22">SUM(D26:D27)</f>
        <v>100</v>
      </c>
      <c r="E28" s="53">
        <v>20</v>
      </c>
      <c r="F28" s="48">
        <f t="shared" ref="F28" si="23">SUM(F26:F27)</f>
        <v>117</v>
      </c>
      <c r="G28" s="53">
        <v>26</v>
      </c>
      <c r="H28" s="48">
        <f t="shared" ref="H28" si="24">SUM(H26:H27)</f>
        <v>121</v>
      </c>
      <c r="I28" s="53">
        <v>33</v>
      </c>
      <c r="J28" s="48">
        <f t="shared" ref="J28" si="25">SUM(J26:J27)</f>
        <v>136</v>
      </c>
      <c r="K28" s="53">
        <v>38</v>
      </c>
      <c r="L28" s="48">
        <f t="shared" ref="L28" si="26">SUM(L26:L27)</f>
        <v>145</v>
      </c>
      <c r="M28" s="53">
        <v>25</v>
      </c>
      <c r="N28" s="410">
        <f t="shared" ref="N28" si="27">SUM(N26:N27)</f>
        <v>162</v>
      </c>
      <c r="O28" s="53">
        <v>31</v>
      </c>
      <c r="P28" s="48">
        <f t="shared" ref="P28" si="28">SUM(P26:P27)</f>
        <v>155</v>
      </c>
      <c r="Q28" s="449">
        <v>36</v>
      </c>
      <c r="R28" s="537">
        <f t="shared" ref="R28" si="29">SUM(R26:R27)</f>
        <v>151</v>
      </c>
      <c r="S28" s="449">
        <v>35</v>
      </c>
      <c r="T28" s="450">
        <f t="shared" ref="T28:U28" si="30">SUM(T26:T27)</f>
        <v>151</v>
      </c>
      <c r="U28" s="149">
        <f t="shared" si="30"/>
        <v>0</v>
      </c>
      <c r="V28" s="39"/>
      <c r="W28" s="384">
        <f>AVERAGE(N28,L28,R28,T28,P28)</f>
        <v>152.80000000000001</v>
      </c>
      <c r="X28" s="257">
        <f>AVERAGE(O28,M28,S28,K28,Q28)</f>
        <v>33</v>
      </c>
      <c r="Y28" s="32"/>
      <c r="Z28" s="32"/>
      <c r="AA28" s="33"/>
    </row>
    <row r="29" spans="1:27" ht="15" customHeight="1" x14ac:dyDescent="0.2">
      <c r="A29" s="132" t="s">
        <v>13</v>
      </c>
      <c r="B29" s="81">
        <v>0</v>
      </c>
      <c r="C29" s="26">
        <v>0</v>
      </c>
      <c r="D29" s="80">
        <v>0</v>
      </c>
      <c r="E29" s="25">
        <v>0</v>
      </c>
      <c r="F29" s="81">
        <v>0</v>
      </c>
      <c r="G29" s="25">
        <v>0</v>
      </c>
      <c r="H29" s="81">
        <v>0</v>
      </c>
      <c r="I29" s="25">
        <v>0</v>
      </c>
      <c r="J29" s="81">
        <v>0</v>
      </c>
      <c r="K29" s="25">
        <v>0</v>
      </c>
      <c r="L29" s="81">
        <v>0</v>
      </c>
      <c r="M29" s="25">
        <v>0</v>
      </c>
      <c r="N29" s="81">
        <v>0</v>
      </c>
      <c r="O29" s="25">
        <v>0</v>
      </c>
      <c r="P29" s="81">
        <v>0</v>
      </c>
      <c r="Q29" s="71">
        <v>0</v>
      </c>
      <c r="R29" s="81">
        <v>0</v>
      </c>
      <c r="S29" s="71">
        <v>0</v>
      </c>
      <c r="T29" s="134">
        <v>0</v>
      </c>
      <c r="U29" s="451"/>
      <c r="V29" s="122"/>
      <c r="W29" s="325">
        <f>AVERAGE(N29,L29,R29,T29,P29)</f>
        <v>0</v>
      </c>
      <c r="X29" s="151">
        <f t="shared" ref="X29" si="31">AVERAGE(O29,M29,S29,K29,Q29)</f>
        <v>0</v>
      </c>
    </row>
    <row r="30" spans="1:27" ht="15" customHeight="1" x14ac:dyDescent="0.2">
      <c r="A30" s="128" t="s">
        <v>91</v>
      </c>
      <c r="B30" s="81"/>
      <c r="C30" s="26"/>
      <c r="D30" s="80"/>
      <c r="E30" s="25"/>
      <c r="F30" s="81"/>
      <c r="G30" s="25"/>
      <c r="H30" s="81"/>
      <c r="I30" s="25"/>
      <c r="J30" s="81"/>
      <c r="K30" s="25"/>
      <c r="L30" s="81"/>
      <c r="M30" s="25"/>
      <c r="N30" s="81"/>
      <c r="O30" s="25"/>
      <c r="P30" s="81"/>
      <c r="Q30" s="25"/>
      <c r="R30" s="81"/>
      <c r="S30" s="25"/>
      <c r="T30" s="81"/>
      <c r="U30" s="444"/>
      <c r="V30" s="123"/>
      <c r="W30" s="538"/>
      <c r="X30" s="14"/>
    </row>
    <row r="31" spans="1:27" ht="15" customHeight="1" x14ac:dyDescent="0.2">
      <c r="A31" s="129" t="s">
        <v>10</v>
      </c>
      <c r="B31" s="138"/>
      <c r="C31" s="139"/>
      <c r="D31" s="140"/>
      <c r="E31" s="141"/>
      <c r="F31" s="138"/>
      <c r="G31" s="141"/>
      <c r="H31" s="138"/>
      <c r="I31" s="141"/>
      <c r="J31" s="138"/>
      <c r="K31" s="141"/>
      <c r="L31" s="138"/>
      <c r="M31" s="141"/>
      <c r="N31" s="138"/>
      <c r="O31" s="62"/>
      <c r="P31" s="11">
        <v>14</v>
      </c>
      <c r="Q31" s="64"/>
      <c r="R31" s="11">
        <v>15</v>
      </c>
      <c r="S31" s="64"/>
      <c r="T31" s="68">
        <v>18</v>
      </c>
      <c r="U31" s="66"/>
      <c r="V31" s="13"/>
      <c r="W31" s="327">
        <f>AVERAGE(N31,L31,R31,T31,P31)</f>
        <v>15.666666666666666</v>
      </c>
      <c r="X31" s="258"/>
    </row>
    <row r="32" spans="1:27" ht="15" customHeight="1" thickBot="1" x14ac:dyDescent="0.25">
      <c r="A32" s="130" t="s">
        <v>11</v>
      </c>
      <c r="B32" s="142"/>
      <c r="C32" s="143"/>
      <c r="D32" s="144"/>
      <c r="E32" s="145"/>
      <c r="F32" s="142"/>
      <c r="G32" s="145"/>
      <c r="H32" s="142"/>
      <c r="I32" s="145"/>
      <c r="J32" s="142"/>
      <c r="K32" s="145"/>
      <c r="L32" s="142"/>
      <c r="M32" s="145"/>
      <c r="N32" s="142"/>
      <c r="O32" s="63"/>
      <c r="P32" s="17">
        <v>20</v>
      </c>
      <c r="Q32" s="65"/>
      <c r="R32" s="17">
        <v>29</v>
      </c>
      <c r="S32" s="65"/>
      <c r="T32" s="77">
        <v>39</v>
      </c>
      <c r="U32" s="67"/>
      <c r="V32" s="13"/>
      <c r="W32" s="330">
        <f>AVERAGE(N32,L32,R32,T32,P32)</f>
        <v>29.333333333333332</v>
      </c>
      <c r="X32" s="259"/>
    </row>
    <row r="33" spans="1:27" ht="15" customHeight="1" thickBot="1" x14ac:dyDescent="0.25">
      <c r="A33" s="131" t="s">
        <v>12</v>
      </c>
      <c r="B33" s="136"/>
      <c r="C33" s="137"/>
      <c r="D33" s="136"/>
      <c r="E33" s="137"/>
      <c r="F33" s="136"/>
      <c r="G33" s="137"/>
      <c r="H33" s="136"/>
      <c r="I33" s="137"/>
      <c r="J33" s="136"/>
      <c r="K33" s="137"/>
      <c r="L33" s="136"/>
      <c r="M33" s="137"/>
      <c r="N33" s="136"/>
      <c r="O33" s="53">
        <v>6</v>
      </c>
      <c r="P33" s="48">
        <f t="shared" ref="P33" si="32">SUM(P31:P32)</f>
        <v>34</v>
      </c>
      <c r="Q33" s="412">
        <v>9</v>
      </c>
      <c r="R33" s="48">
        <f t="shared" ref="R33" si="33">SUM(R31:R32)</f>
        <v>44</v>
      </c>
      <c r="S33" s="412">
        <v>8</v>
      </c>
      <c r="T33" s="135">
        <f t="shared" ref="T33:U33" si="34">SUM(T31:T32)</f>
        <v>57</v>
      </c>
      <c r="U33" s="149">
        <f t="shared" si="34"/>
        <v>0</v>
      </c>
      <c r="V33" s="39"/>
      <c r="W33" s="384">
        <f>AVERAGE(N33,L33,R33,T33,P33)</f>
        <v>45</v>
      </c>
      <c r="X33" s="257">
        <f>AVERAGE(O33,M33,S33,K33,Q33)</f>
        <v>7.666666666666667</v>
      </c>
      <c r="Y33" s="32"/>
      <c r="Z33" s="32"/>
      <c r="AA33" s="33"/>
    </row>
    <row r="34" spans="1:27" ht="15" customHeight="1" x14ac:dyDescent="0.2">
      <c r="A34" s="132" t="s">
        <v>82</v>
      </c>
      <c r="B34" s="111"/>
      <c r="C34" s="114"/>
      <c r="D34" s="113"/>
      <c r="E34" s="114"/>
      <c r="F34" s="113"/>
      <c r="G34" s="114"/>
      <c r="H34" s="113"/>
      <c r="I34" s="114"/>
      <c r="J34" s="113"/>
      <c r="K34" s="114"/>
      <c r="L34" s="113"/>
      <c r="M34" s="114"/>
      <c r="N34" s="113"/>
      <c r="O34" s="114"/>
      <c r="P34" s="113"/>
      <c r="Q34" s="112"/>
      <c r="R34" s="80">
        <v>44</v>
      </c>
      <c r="S34" s="446">
        <v>11</v>
      </c>
      <c r="T34" s="81">
        <v>47</v>
      </c>
      <c r="U34" s="451"/>
      <c r="V34" s="122"/>
      <c r="W34" s="325">
        <f>AVERAGE(N34,L34,R34,T34,P34)</f>
        <v>45.5</v>
      </c>
      <c r="X34" s="151">
        <f t="shared" ref="X34:X35" si="35">AVERAGE(O34,M34,S34,K34,Q34)</f>
        <v>11</v>
      </c>
    </row>
    <row r="35" spans="1:27" ht="15" customHeight="1" x14ac:dyDescent="0.2">
      <c r="A35" s="132" t="s">
        <v>92</v>
      </c>
      <c r="B35" s="111"/>
      <c r="C35" s="114"/>
      <c r="D35" s="113"/>
      <c r="E35" s="114"/>
      <c r="F35" s="113"/>
      <c r="G35" s="114"/>
      <c r="H35" s="113"/>
      <c r="I35" s="114"/>
      <c r="J35" s="113"/>
      <c r="K35" s="114"/>
      <c r="L35" s="113"/>
      <c r="M35" s="114"/>
      <c r="N35" s="113"/>
      <c r="O35" s="114"/>
      <c r="P35" s="113"/>
      <c r="Q35" s="112"/>
      <c r="R35" s="80">
        <v>0</v>
      </c>
      <c r="S35" s="446">
        <v>1</v>
      </c>
      <c r="T35" s="81">
        <v>43</v>
      </c>
      <c r="U35" s="451"/>
      <c r="V35" s="122"/>
      <c r="W35" s="327">
        <f>AVERAGE(N35,L35,R35,T35,P35)</f>
        <v>21.5</v>
      </c>
      <c r="X35" s="14">
        <f t="shared" si="35"/>
        <v>1</v>
      </c>
    </row>
    <row r="36" spans="1:27" ht="15" customHeight="1" x14ac:dyDescent="0.2">
      <c r="A36" s="128" t="s">
        <v>85</v>
      </c>
      <c r="B36" s="81"/>
      <c r="C36" s="26"/>
      <c r="D36" s="80"/>
      <c r="E36" s="25"/>
      <c r="F36" s="81"/>
      <c r="G36" s="25"/>
      <c r="H36" s="81"/>
      <c r="I36" s="25"/>
      <c r="J36" s="81"/>
      <c r="K36" s="25"/>
      <c r="L36" s="81"/>
      <c r="M36" s="25"/>
      <c r="N36" s="81"/>
      <c r="O36" s="25"/>
      <c r="P36" s="81"/>
      <c r="Q36" s="25"/>
      <c r="R36" s="81"/>
      <c r="S36" s="25"/>
      <c r="T36" s="81"/>
      <c r="U36" s="444"/>
      <c r="V36" s="123"/>
      <c r="W36" s="538"/>
      <c r="X36" s="14"/>
    </row>
    <row r="37" spans="1:27" ht="15" customHeight="1" x14ac:dyDescent="0.2">
      <c r="A37" s="132" t="s">
        <v>86</v>
      </c>
      <c r="B37" s="81">
        <v>0</v>
      </c>
      <c r="C37" s="26">
        <v>22</v>
      </c>
      <c r="D37" s="80">
        <v>8</v>
      </c>
      <c r="E37" s="25">
        <v>33</v>
      </c>
      <c r="F37" s="81">
        <v>16</v>
      </c>
      <c r="G37" s="25">
        <v>27</v>
      </c>
      <c r="H37" s="81">
        <v>16</v>
      </c>
      <c r="I37" s="25">
        <v>9</v>
      </c>
      <c r="J37" s="81">
        <v>16</v>
      </c>
      <c r="K37" s="25">
        <v>12</v>
      </c>
      <c r="L37" s="81">
        <v>18</v>
      </c>
      <c r="M37" s="25">
        <v>23</v>
      </c>
      <c r="N37" s="81">
        <v>18</v>
      </c>
      <c r="O37" s="25">
        <v>19</v>
      </c>
      <c r="P37" s="81">
        <v>11</v>
      </c>
      <c r="Q37" s="25">
        <v>8</v>
      </c>
      <c r="R37" s="81">
        <v>11</v>
      </c>
      <c r="S37" s="25">
        <v>27</v>
      </c>
      <c r="T37" s="81">
        <v>14</v>
      </c>
      <c r="U37" s="451"/>
      <c r="V37" s="123"/>
      <c r="W37" s="327">
        <f>AVERAGE(N37,L37,R37,T37,P37)</f>
        <v>14.4</v>
      </c>
      <c r="X37" s="14">
        <f t="shared" ref="X37:X42" si="36">AVERAGE(O37,M37,S37,K37,Q37)</f>
        <v>17.8</v>
      </c>
    </row>
    <row r="38" spans="1:27" s="3" customFormat="1" ht="15" customHeight="1" x14ac:dyDescent="0.2">
      <c r="A38" s="132" t="s">
        <v>87</v>
      </c>
      <c r="B38" s="110"/>
      <c r="C38" s="105"/>
      <c r="D38" s="104"/>
      <c r="E38" s="109"/>
      <c r="F38" s="110"/>
      <c r="G38" s="109"/>
      <c r="H38" s="110"/>
      <c r="I38" s="109"/>
      <c r="J38" s="111"/>
      <c r="K38" s="108"/>
      <c r="L38" s="111"/>
      <c r="M38" s="108"/>
      <c r="N38" s="111"/>
      <c r="O38" s="108"/>
      <c r="P38" s="81">
        <v>6</v>
      </c>
      <c r="Q38" s="71">
        <v>0</v>
      </c>
      <c r="R38" s="81">
        <v>8</v>
      </c>
      <c r="S38" s="71">
        <v>7</v>
      </c>
      <c r="T38" s="134">
        <v>22</v>
      </c>
      <c r="U38" s="451"/>
      <c r="V38" s="123"/>
      <c r="W38" s="327">
        <f>AVERAGE(N38,L38,R38,T38,P38)</f>
        <v>12</v>
      </c>
      <c r="X38" s="14">
        <f t="shared" si="36"/>
        <v>3.5</v>
      </c>
    </row>
    <row r="39" spans="1:27" s="3" customFormat="1" ht="15" customHeight="1" x14ac:dyDescent="0.2">
      <c r="A39" s="132" t="s">
        <v>172</v>
      </c>
      <c r="B39" s="110"/>
      <c r="C39" s="105"/>
      <c r="D39" s="104"/>
      <c r="E39" s="109"/>
      <c r="F39" s="110"/>
      <c r="G39" s="109"/>
      <c r="H39" s="110"/>
      <c r="I39" s="109"/>
      <c r="J39" s="111"/>
      <c r="K39" s="108"/>
      <c r="L39" s="111"/>
      <c r="M39" s="108"/>
      <c r="N39" s="111"/>
      <c r="O39" s="108"/>
      <c r="P39" s="81">
        <v>0</v>
      </c>
      <c r="Q39" s="25">
        <v>0</v>
      </c>
      <c r="R39" s="81">
        <v>0</v>
      </c>
      <c r="S39" s="25">
        <v>0</v>
      </c>
      <c r="T39" s="81">
        <v>0</v>
      </c>
      <c r="U39" s="451"/>
      <c r="V39" s="123"/>
      <c r="W39" s="327">
        <f>AVERAGE(N39,L39,R39,T39,P39)</f>
        <v>0</v>
      </c>
      <c r="X39" s="14">
        <f t="shared" si="36"/>
        <v>0</v>
      </c>
    </row>
    <row r="40" spans="1:27" ht="15" customHeight="1" x14ac:dyDescent="0.2">
      <c r="A40" s="128" t="s">
        <v>93</v>
      </c>
      <c r="B40" s="81"/>
      <c r="C40" s="26"/>
      <c r="D40" s="80"/>
      <c r="E40" s="26"/>
      <c r="F40" s="80"/>
      <c r="G40" s="26"/>
      <c r="H40" s="80"/>
      <c r="I40" s="26"/>
      <c r="J40" s="80"/>
      <c r="K40" s="26"/>
      <c r="L40" s="80"/>
      <c r="M40" s="26"/>
      <c r="N40" s="80"/>
      <c r="O40" s="26"/>
      <c r="P40" s="80"/>
      <c r="Q40" s="446"/>
      <c r="R40" s="80"/>
      <c r="S40" s="446"/>
      <c r="T40" s="81"/>
      <c r="U40" s="444"/>
      <c r="V40" s="123"/>
      <c r="W40" s="538"/>
      <c r="X40" s="14"/>
    </row>
    <row r="41" spans="1:27" ht="15" customHeight="1" x14ac:dyDescent="0.2">
      <c r="A41" s="132" t="s">
        <v>94</v>
      </c>
      <c r="B41" s="81">
        <v>0</v>
      </c>
      <c r="C41" s="26">
        <v>2</v>
      </c>
      <c r="D41" s="80">
        <v>1</v>
      </c>
      <c r="E41" s="25">
        <v>9</v>
      </c>
      <c r="F41" s="81">
        <v>21</v>
      </c>
      <c r="G41" s="25">
        <v>27</v>
      </c>
      <c r="H41" s="81">
        <v>16</v>
      </c>
      <c r="I41" s="25">
        <v>16</v>
      </c>
      <c r="J41" s="81">
        <v>24</v>
      </c>
      <c r="K41" s="25">
        <v>18</v>
      </c>
      <c r="L41" s="81">
        <v>24</v>
      </c>
      <c r="M41" s="25">
        <v>26</v>
      </c>
      <c r="N41" s="81">
        <v>17</v>
      </c>
      <c r="O41" s="25">
        <v>19</v>
      </c>
      <c r="P41" s="81">
        <v>22</v>
      </c>
      <c r="Q41" s="71">
        <v>25</v>
      </c>
      <c r="R41" s="81">
        <v>22</v>
      </c>
      <c r="S41" s="71">
        <v>18</v>
      </c>
      <c r="T41" s="134">
        <v>38</v>
      </c>
      <c r="U41" s="451"/>
      <c r="V41" s="124"/>
      <c r="W41" s="327">
        <f>AVERAGE(N41,L41,R41,T41,P41)</f>
        <v>24.6</v>
      </c>
      <c r="X41" s="14">
        <f t="shared" si="36"/>
        <v>21.2</v>
      </c>
    </row>
    <row r="42" spans="1:27" ht="15" customHeight="1" x14ac:dyDescent="0.2">
      <c r="A42" s="132" t="s">
        <v>95</v>
      </c>
      <c r="B42" s="110"/>
      <c r="C42" s="105"/>
      <c r="D42" s="80">
        <v>6</v>
      </c>
      <c r="E42" s="25">
        <v>4</v>
      </c>
      <c r="F42" s="81">
        <v>10</v>
      </c>
      <c r="G42" s="25">
        <v>9</v>
      </c>
      <c r="H42" s="81">
        <v>14</v>
      </c>
      <c r="I42" s="25">
        <v>5</v>
      </c>
      <c r="J42" s="81">
        <v>22</v>
      </c>
      <c r="K42" s="25">
        <v>16</v>
      </c>
      <c r="L42" s="81">
        <v>14</v>
      </c>
      <c r="M42" s="25">
        <v>5</v>
      </c>
      <c r="N42" s="81">
        <v>14</v>
      </c>
      <c r="O42" s="25">
        <v>8</v>
      </c>
      <c r="P42" s="81">
        <v>11</v>
      </c>
      <c r="Q42" s="71">
        <v>6</v>
      </c>
      <c r="R42" s="81">
        <v>15</v>
      </c>
      <c r="S42" s="71">
        <v>8</v>
      </c>
      <c r="T42" s="134">
        <v>3</v>
      </c>
      <c r="U42" s="451"/>
      <c r="V42" s="125"/>
      <c r="W42" s="327">
        <f>AVERAGE(N42,L42,R42,T42,P42)</f>
        <v>11.4</v>
      </c>
      <c r="X42" s="14">
        <f t="shared" si="36"/>
        <v>8.6</v>
      </c>
    </row>
    <row r="43" spans="1:27" ht="15" customHeight="1" x14ac:dyDescent="0.2">
      <c r="A43" s="128" t="s">
        <v>96</v>
      </c>
      <c r="B43" s="81"/>
      <c r="C43" s="445"/>
      <c r="D43" s="80"/>
      <c r="E43" s="446"/>
      <c r="F43" s="81"/>
      <c r="G43" s="446"/>
      <c r="H43" s="81"/>
      <c r="I43" s="446"/>
      <c r="J43" s="81"/>
      <c r="K43" s="446"/>
      <c r="L43" s="81"/>
      <c r="M43" s="446"/>
      <c r="N43" s="81"/>
      <c r="O43" s="446"/>
      <c r="P43" s="81"/>
      <c r="Q43" s="446"/>
      <c r="R43" s="81"/>
      <c r="S43" s="446"/>
      <c r="T43" s="81"/>
      <c r="U43" s="444"/>
      <c r="V43" s="123"/>
      <c r="W43" s="538"/>
      <c r="X43" s="14"/>
    </row>
    <row r="44" spans="1:27" ht="15" customHeight="1" thickBot="1" x14ac:dyDescent="0.25">
      <c r="A44" s="116" t="s">
        <v>13</v>
      </c>
      <c r="B44" s="120">
        <v>2</v>
      </c>
      <c r="C44" s="118">
        <v>0</v>
      </c>
      <c r="D44" s="117">
        <v>0</v>
      </c>
      <c r="E44" s="119">
        <v>0</v>
      </c>
      <c r="F44" s="120">
        <v>0</v>
      </c>
      <c r="G44" s="119">
        <v>0</v>
      </c>
      <c r="H44" s="120">
        <v>0</v>
      </c>
      <c r="I44" s="119">
        <v>0</v>
      </c>
      <c r="J44" s="120">
        <v>0</v>
      </c>
      <c r="K44" s="119">
        <v>0</v>
      </c>
      <c r="L44" s="120">
        <v>0</v>
      </c>
      <c r="M44" s="119">
        <v>0</v>
      </c>
      <c r="N44" s="120">
        <v>0</v>
      </c>
      <c r="O44" s="119">
        <v>0</v>
      </c>
      <c r="P44" s="120">
        <v>0</v>
      </c>
      <c r="Q44" s="261">
        <v>0</v>
      </c>
      <c r="R44" s="120">
        <v>0</v>
      </c>
      <c r="S44" s="261">
        <v>0</v>
      </c>
      <c r="T44" s="89">
        <v>0</v>
      </c>
      <c r="U44" s="677"/>
      <c r="V44" s="13"/>
      <c r="W44" s="395">
        <f>AVERAGE(N44,L44,R44,T44,P44)</f>
        <v>0</v>
      </c>
      <c r="X44" s="156">
        <f>AVERAGE(O44,M44,S44,K44,Q44)</f>
        <v>0</v>
      </c>
    </row>
    <row r="45" spans="1:27" s="1" customFormat="1" ht="18" customHeight="1" thickTop="1" thickBot="1" x14ac:dyDescent="0.25">
      <c r="A45" s="262" t="s">
        <v>62</v>
      </c>
      <c r="B45" s="1039" t="s">
        <v>23</v>
      </c>
      <c r="C45" s="1040"/>
      <c r="D45" s="1039" t="s">
        <v>24</v>
      </c>
      <c r="E45" s="1040"/>
      <c r="F45" s="1039" t="s">
        <v>25</v>
      </c>
      <c r="G45" s="1040"/>
      <c r="H45" s="1039" t="s">
        <v>26</v>
      </c>
      <c r="I45" s="1040"/>
      <c r="J45" s="1039" t="s">
        <v>27</v>
      </c>
      <c r="K45" s="1040"/>
      <c r="L45" s="1039" t="s">
        <v>28</v>
      </c>
      <c r="M45" s="1040"/>
      <c r="N45" s="1039" t="s">
        <v>29</v>
      </c>
      <c r="O45" s="1040"/>
      <c r="P45" s="1039" t="s">
        <v>30</v>
      </c>
      <c r="Q45" s="1040"/>
      <c r="R45" s="1039" t="s">
        <v>31</v>
      </c>
      <c r="S45" s="1040"/>
      <c r="T45" s="1039" t="s">
        <v>31</v>
      </c>
      <c r="U45" s="1051"/>
      <c r="V45" s="157"/>
      <c r="W45" s="1044" t="s">
        <v>9</v>
      </c>
      <c r="X45" s="1045"/>
    </row>
    <row r="46" spans="1:27" s="1" customFormat="1" ht="15" customHeight="1" x14ac:dyDescent="0.2">
      <c r="A46" s="494" t="s">
        <v>170</v>
      </c>
      <c r="B46" s="630"/>
      <c r="C46" s="221"/>
      <c r="D46" s="222"/>
      <c r="E46" s="221"/>
      <c r="F46" s="222"/>
      <c r="G46" s="221"/>
      <c r="H46" s="222"/>
      <c r="I46" s="221"/>
      <c r="J46" s="222"/>
      <c r="K46" s="221"/>
      <c r="L46" s="222"/>
      <c r="M46" s="221"/>
      <c r="N46" s="222"/>
      <c r="O46" s="221"/>
      <c r="P46" s="222"/>
      <c r="Q46" s="221"/>
      <c r="R46" s="222"/>
      <c r="S46" s="221"/>
      <c r="T46" s="222"/>
      <c r="U46" s="223"/>
      <c r="V46" s="224"/>
      <c r="W46" s="293"/>
      <c r="X46" s="225" t="e">
        <f>AVERAGE(O46,M46,S46,U46,Q46)</f>
        <v>#DIV/0!</v>
      </c>
    </row>
    <row r="47" spans="1:27" s="1" customFormat="1" ht="24" x14ac:dyDescent="0.2">
      <c r="A47" s="490" t="s">
        <v>101</v>
      </c>
      <c r="B47" s="678"/>
      <c r="C47" s="285">
        <v>0.75</v>
      </c>
      <c r="D47" s="230"/>
      <c r="E47" s="263">
        <v>0.72</v>
      </c>
      <c r="F47" s="230"/>
      <c r="G47" s="263">
        <v>0.67</v>
      </c>
      <c r="H47" s="230"/>
      <c r="I47" s="263">
        <v>0.71</v>
      </c>
      <c r="J47" s="230"/>
      <c r="K47" s="263">
        <v>0.66</v>
      </c>
      <c r="L47" s="230"/>
      <c r="M47" s="263">
        <v>0.66</v>
      </c>
      <c r="N47" s="230"/>
      <c r="O47" s="263">
        <v>0.67</v>
      </c>
      <c r="P47" s="230"/>
      <c r="Q47" s="541">
        <v>0.73</v>
      </c>
      <c r="R47" s="230"/>
      <c r="S47" s="1024"/>
      <c r="T47" s="454"/>
      <c r="U47" s="452"/>
      <c r="V47" s="157"/>
      <c r="W47" s="294"/>
      <c r="X47" s="225">
        <f>AVERAGE(O47,M47,S47,K47,Q47)</f>
        <v>0.68</v>
      </c>
    </row>
    <row r="48" spans="1:27" s="1" customFormat="1" ht="24" x14ac:dyDescent="0.2">
      <c r="A48" s="491" t="s">
        <v>102</v>
      </c>
      <c r="B48" s="678"/>
      <c r="C48" s="285">
        <v>1</v>
      </c>
      <c r="D48" s="230"/>
      <c r="E48" s="263">
        <v>0.8</v>
      </c>
      <c r="F48" s="230"/>
      <c r="G48" s="263">
        <v>0.83</v>
      </c>
      <c r="H48" s="230"/>
      <c r="I48" s="263">
        <v>0.79</v>
      </c>
      <c r="J48" s="230"/>
      <c r="K48" s="263">
        <v>0.5</v>
      </c>
      <c r="L48" s="230"/>
      <c r="M48" s="263">
        <v>0.62</v>
      </c>
      <c r="N48" s="230"/>
      <c r="O48" s="263">
        <v>0.75</v>
      </c>
      <c r="P48" s="230"/>
      <c r="Q48" s="541">
        <v>0.56000000000000005</v>
      </c>
      <c r="R48" s="230"/>
      <c r="S48" s="1024"/>
      <c r="T48" s="454"/>
      <c r="U48" s="452"/>
      <c r="V48" s="157"/>
      <c r="W48" s="294"/>
      <c r="X48" s="225">
        <f t="shared" ref="X48:X52" si="37">AVERAGE(O48,M48,S48,K48,Q48)</f>
        <v>0.60750000000000004</v>
      </c>
    </row>
    <row r="49" spans="1:24" s="1" customFormat="1" ht="24" x14ac:dyDescent="0.2">
      <c r="A49" s="491" t="s">
        <v>103</v>
      </c>
      <c r="B49" s="678"/>
      <c r="C49" s="285">
        <v>0.15</v>
      </c>
      <c r="D49" s="230"/>
      <c r="E49" s="263">
        <v>0.21</v>
      </c>
      <c r="F49" s="230"/>
      <c r="G49" s="263">
        <v>0.09</v>
      </c>
      <c r="H49" s="230"/>
      <c r="I49" s="263">
        <v>0</v>
      </c>
      <c r="J49" s="230"/>
      <c r="K49" s="263">
        <v>0.17</v>
      </c>
      <c r="L49" s="230"/>
      <c r="M49" s="263">
        <v>0.27</v>
      </c>
      <c r="N49" s="230"/>
      <c r="O49" s="263">
        <v>0.26</v>
      </c>
      <c r="P49" s="230"/>
      <c r="Q49" s="541">
        <v>0.14000000000000001</v>
      </c>
      <c r="R49" s="230"/>
      <c r="S49" s="1024"/>
      <c r="T49" s="454"/>
      <c r="U49" s="452"/>
      <c r="V49" s="157"/>
      <c r="W49" s="294"/>
      <c r="X49" s="225">
        <f t="shared" si="37"/>
        <v>0.21000000000000002</v>
      </c>
    </row>
    <row r="50" spans="1:24" s="1" customFormat="1" ht="24" x14ac:dyDescent="0.2">
      <c r="A50" s="490" t="s">
        <v>104</v>
      </c>
      <c r="B50" s="678"/>
      <c r="C50" s="285">
        <v>0.15</v>
      </c>
      <c r="D50" s="230"/>
      <c r="E50" s="263">
        <v>0.18</v>
      </c>
      <c r="F50" s="230"/>
      <c r="G50" s="263">
        <v>0.23</v>
      </c>
      <c r="H50" s="230"/>
      <c r="I50" s="263">
        <v>0.16</v>
      </c>
      <c r="J50" s="230"/>
      <c r="K50" s="263">
        <v>0.24</v>
      </c>
      <c r="L50" s="230"/>
      <c r="M50" s="263">
        <v>0.22</v>
      </c>
      <c r="N50" s="230"/>
      <c r="O50" s="263">
        <v>0.28000000000000003</v>
      </c>
      <c r="P50" s="230"/>
      <c r="Q50" s="541">
        <v>0.23</v>
      </c>
      <c r="R50" s="230"/>
      <c r="S50" s="1024"/>
      <c r="T50" s="454"/>
      <c r="U50" s="452"/>
      <c r="V50" s="157"/>
      <c r="W50" s="294"/>
      <c r="X50" s="225">
        <f t="shared" si="37"/>
        <v>0.24249999999999999</v>
      </c>
    </row>
    <row r="51" spans="1:24" s="1" customFormat="1" ht="24" x14ac:dyDescent="0.2">
      <c r="A51" s="490" t="s">
        <v>105</v>
      </c>
      <c r="B51" s="678"/>
      <c r="C51" s="285">
        <v>0</v>
      </c>
      <c r="D51" s="230"/>
      <c r="E51" s="263">
        <v>0</v>
      </c>
      <c r="F51" s="230"/>
      <c r="G51" s="263">
        <v>0.08</v>
      </c>
      <c r="H51" s="230"/>
      <c r="I51" s="263">
        <v>0.21</v>
      </c>
      <c r="J51" s="230"/>
      <c r="K51" s="263">
        <v>0.25</v>
      </c>
      <c r="L51" s="230"/>
      <c r="M51" s="263">
        <v>0.31</v>
      </c>
      <c r="N51" s="230"/>
      <c r="O51" s="263">
        <v>0.25</v>
      </c>
      <c r="P51" s="230"/>
      <c r="Q51" s="541">
        <v>0.33</v>
      </c>
      <c r="R51" s="230"/>
      <c r="S51" s="1024"/>
      <c r="T51" s="454"/>
      <c r="U51" s="452"/>
      <c r="V51" s="157"/>
      <c r="W51" s="294"/>
      <c r="X51" s="225">
        <f t="shared" si="37"/>
        <v>0.28500000000000003</v>
      </c>
    </row>
    <row r="52" spans="1:24" s="1" customFormat="1" ht="15" customHeight="1" x14ac:dyDescent="0.2">
      <c r="A52" s="490" t="s">
        <v>106</v>
      </c>
      <c r="B52" s="679"/>
      <c r="C52" s="285">
        <v>0.85</v>
      </c>
      <c r="D52" s="232"/>
      <c r="E52" s="264">
        <v>0.74</v>
      </c>
      <c r="F52" s="232"/>
      <c r="G52" s="264">
        <v>0.91</v>
      </c>
      <c r="H52" s="232"/>
      <c r="I52" s="264">
        <v>0.96</v>
      </c>
      <c r="J52" s="232"/>
      <c r="K52" s="264">
        <v>0.8</v>
      </c>
      <c r="L52" s="232"/>
      <c r="M52" s="264">
        <v>0.73</v>
      </c>
      <c r="N52" s="232"/>
      <c r="O52" s="264">
        <v>0.7</v>
      </c>
      <c r="P52" s="232"/>
      <c r="Q52" s="542">
        <v>0.83</v>
      </c>
      <c r="R52" s="232"/>
      <c r="S52" s="1025"/>
      <c r="T52" s="455"/>
      <c r="U52" s="453"/>
      <c r="V52" s="157"/>
      <c r="W52" s="166"/>
      <c r="X52" s="225">
        <f t="shared" si="37"/>
        <v>0.76500000000000001</v>
      </c>
    </row>
    <row r="53" spans="1:24" ht="15" customHeight="1" thickBot="1" x14ac:dyDescent="0.25">
      <c r="A53" s="492" t="s">
        <v>66</v>
      </c>
      <c r="B53" s="680"/>
      <c r="C53" s="236"/>
      <c r="D53" s="235"/>
      <c r="E53" s="236"/>
      <c r="F53" s="235"/>
      <c r="G53" s="236"/>
      <c r="H53" s="235"/>
      <c r="I53" s="236"/>
      <c r="J53" s="235"/>
      <c r="K53" s="236"/>
      <c r="L53" s="235"/>
      <c r="M53" s="236"/>
      <c r="N53" s="235"/>
      <c r="O53" s="236"/>
      <c r="P53" s="235"/>
      <c r="Q53" s="324"/>
      <c r="R53" s="235"/>
      <c r="S53" s="324"/>
      <c r="T53" s="235"/>
      <c r="U53" s="237"/>
      <c r="V53" s="157"/>
      <c r="W53" s="171"/>
      <c r="X53" s="225" t="e">
        <f t="shared" ref="X53" si="38">AVERAGE(O53,M53,U53,S53,Q53)</f>
        <v>#DIV/0!</v>
      </c>
    </row>
    <row r="54" spans="1:24" s="1" customFormat="1" ht="18" customHeight="1" thickTop="1" thickBot="1" x14ac:dyDescent="0.25">
      <c r="A54" s="265" t="s">
        <v>67</v>
      </c>
      <c r="B54" s="1039" t="s">
        <v>23</v>
      </c>
      <c r="C54" s="1040"/>
      <c r="D54" s="1039" t="s">
        <v>24</v>
      </c>
      <c r="E54" s="1040"/>
      <c r="F54" s="1039" t="s">
        <v>25</v>
      </c>
      <c r="G54" s="1040"/>
      <c r="H54" s="1039" t="s">
        <v>26</v>
      </c>
      <c r="I54" s="1040"/>
      <c r="J54" s="1039" t="s">
        <v>27</v>
      </c>
      <c r="K54" s="1040"/>
      <c r="L54" s="1039" t="s">
        <v>28</v>
      </c>
      <c r="M54" s="1040"/>
      <c r="N54" s="1039" t="s">
        <v>29</v>
      </c>
      <c r="O54" s="1040"/>
      <c r="P54" s="1039" t="s">
        <v>30</v>
      </c>
      <c r="Q54" s="1040"/>
      <c r="R54" s="1039" t="s">
        <v>31</v>
      </c>
      <c r="S54" s="1040"/>
      <c r="T54" s="1039" t="s">
        <v>31</v>
      </c>
      <c r="U54" s="1051"/>
      <c r="V54" s="157"/>
      <c r="W54" s="1044" t="s">
        <v>9</v>
      </c>
      <c r="X54" s="1045"/>
    </row>
    <row r="55" spans="1:24" s="1" customFormat="1" ht="27" customHeight="1" x14ac:dyDescent="0.2">
      <c r="A55" s="700" t="s">
        <v>97</v>
      </c>
      <c r="B55" s="681"/>
      <c r="C55" s="267">
        <v>22</v>
      </c>
      <c r="D55" s="268"/>
      <c r="E55" s="267">
        <v>22.1</v>
      </c>
      <c r="F55" s="269"/>
      <c r="G55" s="267">
        <v>22.2</v>
      </c>
      <c r="H55" s="269"/>
      <c r="I55" s="267">
        <v>22.3</v>
      </c>
      <c r="J55" s="269"/>
      <c r="K55" s="267">
        <v>21.9</v>
      </c>
      <c r="L55" s="269"/>
      <c r="M55" s="267">
        <v>22.2</v>
      </c>
      <c r="N55" s="269"/>
      <c r="O55" s="267">
        <v>22.1</v>
      </c>
      <c r="P55" s="269"/>
      <c r="Q55" s="267">
        <v>21.9</v>
      </c>
      <c r="R55" s="269"/>
      <c r="S55" s="267">
        <v>21.8</v>
      </c>
      <c r="T55" s="270"/>
      <c r="U55" s="543"/>
      <c r="V55" s="157"/>
      <c r="W55" s="291"/>
      <c r="X55" s="241">
        <f>AVERAGE(O55,M55,S55,U55,Q55)</f>
        <v>22</v>
      </c>
    </row>
    <row r="56" spans="1:24" s="1" customFormat="1" ht="26.25" customHeight="1" x14ac:dyDescent="0.2">
      <c r="A56" s="490" t="s">
        <v>98</v>
      </c>
      <c r="B56" s="682"/>
      <c r="C56" s="271">
        <v>22.3</v>
      </c>
      <c r="D56" s="272"/>
      <c r="E56" s="271">
        <v>22.1</v>
      </c>
      <c r="F56" s="273"/>
      <c r="G56" s="271">
        <v>22.3</v>
      </c>
      <c r="H56" s="273"/>
      <c r="I56" s="271">
        <v>22.9</v>
      </c>
      <c r="J56" s="273"/>
      <c r="K56" s="271">
        <v>23.7</v>
      </c>
      <c r="L56" s="273"/>
      <c r="M56" s="271">
        <v>23.1</v>
      </c>
      <c r="N56" s="273"/>
      <c r="O56" s="271">
        <v>22.1</v>
      </c>
      <c r="P56" s="273"/>
      <c r="Q56" s="271">
        <v>21</v>
      </c>
      <c r="R56" s="273"/>
      <c r="S56" s="271">
        <v>21.6</v>
      </c>
      <c r="T56" s="274"/>
      <c r="U56" s="544"/>
      <c r="V56" s="157"/>
      <c r="W56" s="295"/>
      <c r="X56" s="167">
        <f t="shared" ref="X56:X58" si="39">AVERAGE(O56,M56,S56,U56,Q56)</f>
        <v>21.950000000000003</v>
      </c>
    </row>
    <row r="57" spans="1:24" s="1" customFormat="1" ht="39" customHeight="1" x14ac:dyDescent="0.2">
      <c r="A57" s="616" t="s">
        <v>99</v>
      </c>
      <c r="B57" s="682"/>
      <c r="C57" s="271">
        <v>22.9</v>
      </c>
      <c r="D57" s="272"/>
      <c r="E57" s="271">
        <v>22.8</v>
      </c>
      <c r="F57" s="273"/>
      <c r="G57" s="271">
        <v>23.5</v>
      </c>
      <c r="H57" s="273"/>
      <c r="I57" s="271">
        <v>23.4</v>
      </c>
      <c r="J57" s="273"/>
      <c r="K57" s="271">
        <v>23.6</v>
      </c>
      <c r="L57" s="273"/>
      <c r="M57" s="271">
        <v>24.3</v>
      </c>
      <c r="N57" s="273"/>
      <c r="O57" s="271">
        <v>24</v>
      </c>
      <c r="P57" s="273"/>
      <c r="Q57" s="271">
        <v>24.5</v>
      </c>
      <c r="R57" s="273"/>
      <c r="S57" s="271">
        <v>24.2</v>
      </c>
      <c r="T57" s="274"/>
      <c r="U57" s="544"/>
      <c r="V57" s="157"/>
      <c r="W57" s="295"/>
      <c r="X57" s="167">
        <f t="shared" si="39"/>
        <v>24.25</v>
      </c>
    </row>
    <row r="58" spans="1:24" s="1" customFormat="1" ht="27.75" customHeight="1" thickBot="1" x14ac:dyDescent="0.25">
      <c r="A58" s="721" t="s">
        <v>100</v>
      </c>
      <c r="B58" s="683"/>
      <c r="C58" s="456"/>
      <c r="D58" s="242"/>
      <c r="E58" s="456"/>
      <c r="F58" s="242"/>
      <c r="G58" s="456"/>
      <c r="H58" s="242"/>
      <c r="I58" s="456"/>
      <c r="J58" s="242"/>
      <c r="K58" s="456"/>
      <c r="L58" s="242"/>
      <c r="M58" s="456"/>
      <c r="N58" s="242"/>
      <c r="O58" s="456"/>
      <c r="P58" s="242"/>
      <c r="Q58" s="456"/>
      <c r="R58" s="242"/>
      <c r="S58" s="322">
        <v>23.4</v>
      </c>
      <c r="T58" s="242"/>
      <c r="U58" s="275"/>
      <c r="V58" s="157"/>
      <c r="W58" s="292"/>
      <c r="X58" s="172">
        <f t="shared" si="39"/>
        <v>23.4</v>
      </c>
    </row>
    <row r="59" spans="1:24" s="1" customFormat="1" ht="18" customHeight="1" thickTop="1" thickBot="1" x14ac:dyDescent="0.25">
      <c r="A59" s="276" t="s">
        <v>16</v>
      </c>
      <c r="B59" s="1046"/>
      <c r="C59" s="1047"/>
      <c r="D59" s="1048"/>
      <c r="E59" s="1047"/>
      <c r="F59" s="1048"/>
      <c r="G59" s="1047"/>
      <c r="H59" s="1048"/>
      <c r="I59" s="1047"/>
      <c r="J59" s="1048"/>
      <c r="K59" s="1047"/>
      <c r="L59" s="1048"/>
      <c r="M59" s="1047"/>
      <c r="N59" s="1048"/>
      <c r="O59" s="1047"/>
      <c r="P59" s="1048"/>
      <c r="Q59" s="1047"/>
      <c r="R59" s="1048"/>
      <c r="S59" s="1047"/>
      <c r="T59" s="1048"/>
      <c r="U59" s="1042"/>
      <c r="V59" s="157"/>
      <c r="W59" s="1041"/>
      <c r="X59" s="1042"/>
    </row>
    <row r="60" spans="1:24" s="1" customFormat="1" ht="15" customHeight="1" x14ac:dyDescent="0.2">
      <c r="A60" s="490" t="s">
        <v>17</v>
      </c>
      <c r="B60" s="69"/>
      <c r="C60" s="204">
        <v>5939</v>
      </c>
      <c r="D60" s="70" t="s">
        <v>14</v>
      </c>
      <c r="E60" s="71">
        <v>5763</v>
      </c>
      <c r="F60" s="69" t="s">
        <v>14</v>
      </c>
      <c r="G60" s="71">
        <v>5885</v>
      </c>
      <c r="H60" s="69" t="s">
        <v>14</v>
      </c>
      <c r="I60" s="71">
        <v>5796</v>
      </c>
      <c r="J60" s="69" t="s">
        <v>14</v>
      </c>
      <c r="K60" s="71">
        <v>5486</v>
      </c>
      <c r="L60" s="69" t="s">
        <v>14</v>
      </c>
      <c r="M60" s="71">
        <v>6317</v>
      </c>
      <c r="N60" s="69" t="s">
        <v>14</v>
      </c>
      <c r="O60" s="71">
        <v>6327</v>
      </c>
      <c r="P60" s="69" t="s">
        <v>14</v>
      </c>
      <c r="Q60" s="71">
        <v>6568</v>
      </c>
      <c r="R60" s="69"/>
      <c r="S60" s="71">
        <v>5295</v>
      </c>
      <c r="T60" s="69"/>
      <c r="U60" s="976"/>
      <c r="V60" s="157"/>
      <c r="W60" s="246"/>
      <c r="X60" s="28">
        <f>AVERAGE(O60,M60,S60,K60,Q60)</f>
        <v>5998.6</v>
      </c>
    </row>
    <row r="61" spans="1:24" s="1" customFormat="1" ht="15" customHeight="1" x14ac:dyDescent="0.2">
      <c r="A61" s="490" t="s">
        <v>18</v>
      </c>
      <c r="B61" s="69"/>
      <c r="C61" s="204">
        <v>11810</v>
      </c>
      <c r="D61" s="70"/>
      <c r="E61" s="71">
        <v>11145</v>
      </c>
      <c r="F61" s="69"/>
      <c r="G61" s="71">
        <v>12825</v>
      </c>
      <c r="H61" s="69"/>
      <c r="I61" s="71">
        <v>14053</v>
      </c>
      <c r="J61" s="69"/>
      <c r="K61" s="71">
        <v>14444</v>
      </c>
      <c r="L61" s="69"/>
      <c r="M61" s="71">
        <v>14432</v>
      </c>
      <c r="N61" s="69"/>
      <c r="O61" s="71">
        <v>13642</v>
      </c>
      <c r="P61" s="69"/>
      <c r="Q61" s="71">
        <v>13849</v>
      </c>
      <c r="R61" s="69"/>
      <c r="S61" s="71">
        <v>13991</v>
      </c>
      <c r="T61" s="69"/>
      <c r="U61" s="976"/>
      <c r="V61" s="157"/>
      <c r="W61" s="247"/>
      <c r="X61" s="28">
        <f t="shared" ref="X61:X64" si="40">AVERAGE(O61,M61,S61,K61,Q61)</f>
        <v>14071.6</v>
      </c>
    </row>
    <row r="62" spans="1:24" s="1" customFormat="1" ht="15" customHeight="1" x14ac:dyDescent="0.2">
      <c r="A62" s="490" t="s">
        <v>19</v>
      </c>
      <c r="B62" s="69"/>
      <c r="C62" s="204">
        <v>3794</v>
      </c>
      <c r="D62" s="70"/>
      <c r="E62" s="71">
        <v>3934</v>
      </c>
      <c r="F62" s="69"/>
      <c r="G62" s="71">
        <v>3624</v>
      </c>
      <c r="H62" s="69"/>
      <c r="I62" s="71">
        <v>3680</v>
      </c>
      <c r="J62" s="69"/>
      <c r="K62" s="71">
        <v>3767</v>
      </c>
      <c r="L62" s="69"/>
      <c r="M62" s="71">
        <v>3724</v>
      </c>
      <c r="N62" s="69"/>
      <c r="O62" s="71">
        <v>3909</v>
      </c>
      <c r="P62" s="69"/>
      <c r="Q62" s="71">
        <v>3979</v>
      </c>
      <c r="R62" s="69"/>
      <c r="S62" s="71">
        <v>3800</v>
      </c>
      <c r="T62" s="69"/>
      <c r="U62" s="976"/>
      <c r="V62" s="157"/>
      <c r="W62" s="247"/>
      <c r="X62" s="28">
        <f t="shared" si="40"/>
        <v>3835.8</v>
      </c>
    </row>
    <row r="63" spans="1:24" s="1" customFormat="1" ht="15" customHeight="1" thickBot="1" x14ac:dyDescent="0.25">
      <c r="A63" s="616" t="s">
        <v>20</v>
      </c>
      <c r="B63" s="44"/>
      <c r="C63" s="204">
        <v>514</v>
      </c>
      <c r="D63" s="70"/>
      <c r="E63" s="71">
        <v>416</v>
      </c>
      <c r="F63" s="69"/>
      <c r="G63" s="71">
        <v>519</v>
      </c>
      <c r="H63" s="69"/>
      <c r="I63" s="71">
        <v>488</v>
      </c>
      <c r="J63" s="69"/>
      <c r="K63" s="71">
        <v>682</v>
      </c>
      <c r="L63" s="69"/>
      <c r="M63" s="71">
        <v>814</v>
      </c>
      <c r="N63" s="69"/>
      <c r="O63" s="71">
        <v>1038</v>
      </c>
      <c r="P63" s="69"/>
      <c r="Q63" s="71">
        <v>886</v>
      </c>
      <c r="R63" s="69"/>
      <c r="S63" s="71">
        <v>718</v>
      </c>
      <c r="T63" s="44"/>
      <c r="U63" s="966"/>
      <c r="V63" s="157"/>
      <c r="W63" s="248"/>
      <c r="X63" s="277">
        <f t="shared" si="40"/>
        <v>827.6</v>
      </c>
    </row>
    <row r="64" spans="1:24" s="1" customFormat="1" ht="15" customHeight="1" thickBot="1" x14ac:dyDescent="0.25">
      <c r="A64" s="617" t="s">
        <v>21</v>
      </c>
      <c r="B64" s="72"/>
      <c r="C64" s="73">
        <f>SUM(C60:C63)</f>
        <v>22057</v>
      </c>
      <c r="D64" s="74"/>
      <c r="E64" s="75">
        <f>SUM(E60:E63)</f>
        <v>21258</v>
      </c>
      <c r="F64" s="72"/>
      <c r="G64" s="75">
        <f>SUM(G60:G63)</f>
        <v>22853</v>
      </c>
      <c r="H64" s="72"/>
      <c r="I64" s="75">
        <f>SUM(I60:I63)</f>
        <v>24017</v>
      </c>
      <c r="J64" s="72"/>
      <c r="K64" s="75">
        <f>SUM(K60:K63)</f>
        <v>24379</v>
      </c>
      <c r="L64" s="72"/>
      <c r="M64" s="75">
        <f>SUM(M60:M63)</f>
        <v>25287</v>
      </c>
      <c r="N64" s="72"/>
      <c r="O64" s="75">
        <f>SUM(O60:O63)</f>
        <v>24916</v>
      </c>
      <c r="P64" s="72"/>
      <c r="Q64" s="75">
        <f>SUM(Q60:Q63)</f>
        <v>25282</v>
      </c>
      <c r="R64" s="72"/>
      <c r="S64" s="75">
        <f>SUM(S60:S63)</f>
        <v>23804</v>
      </c>
      <c r="T64" s="72"/>
      <c r="U64" s="977">
        <f>SUM(U60:U63)</f>
        <v>0</v>
      </c>
      <c r="V64" s="157"/>
      <c r="W64" s="260"/>
      <c r="X64" s="279">
        <f t="shared" si="40"/>
        <v>24733.599999999999</v>
      </c>
    </row>
    <row r="65" spans="1:27" s="1" customFormat="1" ht="15" customHeight="1" thickTop="1" thickBot="1" x14ac:dyDescent="0.25">
      <c r="A65" s="687"/>
      <c r="B65" s="250"/>
      <c r="C65" s="251"/>
      <c r="D65" s="250"/>
      <c r="E65" s="251"/>
      <c r="F65" s="250"/>
      <c r="G65" s="251"/>
      <c r="H65" s="250"/>
      <c r="I65" s="251"/>
      <c r="J65" s="250"/>
      <c r="K65" s="251"/>
      <c r="L65" s="250"/>
      <c r="M65" s="251"/>
      <c r="N65" s="250"/>
      <c r="O65" s="251"/>
      <c r="P65" s="250"/>
      <c r="Q65" s="251"/>
      <c r="R65" s="250"/>
      <c r="S65" s="251"/>
      <c r="T65" s="250"/>
      <c r="U65" s="42"/>
      <c r="V65" s="252"/>
      <c r="W65" s="253"/>
      <c r="X65" s="251"/>
    </row>
    <row r="66" spans="1:27" s="1" customFormat="1" ht="18" customHeight="1" thickTop="1" thickBot="1" x14ac:dyDescent="0.25">
      <c r="A66" s="469" t="s">
        <v>22</v>
      </c>
      <c r="B66" s="1060" t="s">
        <v>23</v>
      </c>
      <c r="C66" s="1043"/>
      <c r="D66" s="1039" t="s">
        <v>24</v>
      </c>
      <c r="E66" s="1040"/>
      <c r="F66" s="1039" t="s">
        <v>25</v>
      </c>
      <c r="G66" s="1040"/>
      <c r="H66" s="1039" t="s">
        <v>26</v>
      </c>
      <c r="I66" s="1040"/>
      <c r="J66" s="1039" t="s">
        <v>27</v>
      </c>
      <c r="K66" s="1040"/>
      <c r="L66" s="1039" t="s">
        <v>28</v>
      </c>
      <c r="M66" s="1040"/>
      <c r="N66" s="1039" t="s">
        <v>29</v>
      </c>
      <c r="O66" s="1040"/>
      <c r="P66" s="1039" t="s">
        <v>30</v>
      </c>
      <c r="Q66" s="1040"/>
      <c r="R66" s="1039" t="s">
        <v>31</v>
      </c>
      <c r="S66" s="1040"/>
      <c r="T66" s="1039" t="s">
        <v>200</v>
      </c>
      <c r="U66" s="1051"/>
      <c r="V66" s="157"/>
      <c r="W66" s="1044" t="s">
        <v>9</v>
      </c>
      <c r="X66" s="1045"/>
    </row>
    <row r="67" spans="1:27" s="1" customFormat="1" ht="15" customHeight="1" x14ac:dyDescent="0.2">
      <c r="A67" s="716" t="s">
        <v>167</v>
      </c>
      <c r="B67" s="684"/>
      <c r="C67" s="177">
        <v>0.33400000000000002</v>
      </c>
      <c r="D67" s="178"/>
      <c r="E67" s="179">
        <v>0.33200000000000002</v>
      </c>
      <c r="F67" s="180"/>
      <c r="G67" s="179">
        <v>0.34200000000000003</v>
      </c>
      <c r="H67" s="180"/>
      <c r="I67" s="179">
        <v>0.39400000000000002</v>
      </c>
      <c r="J67" s="180"/>
      <c r="K67" s="179">
        <v>0.40200000000000002</v>
      </c>
      <c r="L67" s="180"/>
      <c r="M67" s="179">
        <v>0.40799999999999997</v>
      </c>
      <c r="N67" s="180"/>
      <c r="O67" s="179">
        <v>0.46400000000000002</v>
      </c>
      <c r="P67" s="180"/>
      <c r="Q67" s="179">
        <v>0.44</v>
      </c>
      <c r="R67" s="180"/>
      <c r="S67" s="179">
        <v>0.51</v>
      </c>
      <c r="T67" s="180"/>
      <c r="U67" s="181">
        <v>0.51400000000000001</v>
      </c>
      <c r="V67" s="182"/>
      <c r="W67" s="183"/>
      <c r="X67" s="184">
        <f>AVERAGE(O67,M67,S67,U67,Q67)</f>
        <v>0.46720000000000006</v>
      </c>
    </row>
    <row r="68" spans="1:27" s="1" customFormat="1" ht="15" customHeight="1" x14ac:dyDescent="0.2">
      <c r="A68" s="717" t="s">
        <v>168</v>
      </c>
      <c r="B68" s="187"/>
      <c r="C68" s="186">
        <v>0.11799999999999999</v>
      </c>
      <c r="D68" s="185"/>
      <c r="E68" s="186">
        <v>0.153</v>
      </c>
      <c r="F68" s="187"/>
      <c r="G68" s="186">
        <v>0.11</v>
      </c>
      <c r="H68" s="187"/>
      <c r="I68" s="186">
        <v>0.112</v>
      </c>
      <c r="J68" s="187"/>
      <c r="K68" s="186">
        <v>0.113</v>
      </c>
      <c r="L68" s="187"/>
      <c r="M68" s="186">
        <v>0.10100000000000001</v>
      </c>
      <c r="N68" s="187"/>
      <c r="O68" s="186">
        <v>0.108</v>
      </c>
      <c r="P68" s="187"/>
      <c r="Q68" s="186">
        <v>0.109</v>
      </c>
      <c r="R68" s="187"/>
      <c r="S68" s="186">
        <v>0.104</v>
      </c>
      <c r="T68" s="187"/>
      <c r="U68" s="188">
        <v>0.108</v>
      </c>
      <c r="V68" s="182"/>
      <c r="W68" s="189"/>
      <c r="X68" s="190">
        <f>AVERAGE(O68,M68,S68,U68,Q68)</f>
        <v>0.10600000000000001</v>
      </c>
    </row>
    <row r="69" spans="1:27" s="1" customFormat="1" ht="15" customHeight="1" thickBot="1" x14ac:dyDescent="0.25">
      <c r="A69" s="718" t="s">
        <v>169</v>
      </c>
      <c r="B69" s="1054">
        <f>1-C67-C68</f>
        <v>0.54799999999999993</v>
      </c>
      <c r="C69" s="1055"/>
      <c r="D69" s="1058">
        <f>1-E67-E68</f>
        <v>0.5149999999999999</v>
      </c>
      <c r="E69" s="1055"/>
      <c r="F69" s="1058">
        <f>1-G67-G68</f>
        <v>0.54799999999999993</v>
      </c>
      <c r="G69" s="1055"/>
      <c r="H69" s="1058">
        <f>1-I67-I68</f>
        <v>0.49399999999999999</v>
      </c>
      <c r="I69" s="1055"/>
      <c r="J69" s="1058">
        <f>1-K67-K68</f>
        <v>0.48499999999999999</v>
      </c>
      <c r="K69" s="1055"/>
      <c r="L69" s="1058">
        <f>1-M67-M68</f>
        <v>0.4910000000000001</v>
      </c>
      <c r="M69" s="1055"/>
      <c r="N69" s="1058">
        <f>1-O67-O68</f>
        <v>0.42800000000000005</v>
      </c>
      <c r="O69" s="1055"/>
      <c r="P69" s="1058">
        <f>1-Q67-Q68</f>
        <v>0.45100000000000007</v>
      </c>
      <c r="Q69" s="1055"/>
      <c r="R69" s="1058">
        <f>1-S67-S68</f>
        <v>0.38600000000000001</v>
      </c>
      <c r="S69" s="1055"/>
      <c r="T69" s="1058">
        <f>1-U67-U68</f>
        <v>0.378</v>
      </c>
      <c r="U69" s="1057"/>
      <c r="V69" s="182"/>
      <c r="W69" s="1056">
        <f>1-X67-X68</f>
        <v>0.42679999999999996</v>
      </c>
      <c r="X69" s="1057"/>
    </row>
    <row r="70" spans="1:27" s="3" customFormat="1" ht="18" customHeight="1" thickTop="1" thickBot="1" x14ac:dyDescent="0.25">
      <c r="A70" s="158" t="s">
        <v>60</v>
      </c>
      <c r="B70" s="159" t="s">
        <v>32</v>
      </c>
      <c r="C70" s="727" t="s">
        <v>65</v>
      </c>
      <c r="D70" s="728" t="s">
        <v>32</v>
      </c>
      <c r="E70" s="160" t="s">
        <v>65</v>
      </c>
      <c r="F70" s="159" t="s">
        <v>32</v>
      </c>
      <c r="G70" s="727" t="s">
        <v>65</v>
      </c>
      <c r="H70" s="728" t="s">
        <v>32</v>
      </c>
      <c r="I70" s="160" t="s">
        <v>65</v>
      </c>
      <c r="J70" s="159" t="s">
        <v>32</v>
      </c>
      <c r="K70" s="727" t="s">
        <v>65</v>
      </c>
      <c r="L70" s="728" t="s">
        <v>32</v>
      </c>
      <c r="M70" s="160" t="s">
        <v>65</v>
      </c>
      <c r="N70" s="159" t="s">
        <v>32</v>
      </c>
      <c r="O70" s="727" t="s">
        <v>65</v>
      </c>
      <c r="P70" s="728" t="s">
        <v>32</v>
      </c>
      <c r="Q70" s="160" t="s">
        <v>65</v>
      </c>
      <c r="R70" s="728" t="s">
        <v>32</v>
      </c>
      <c r="S70" s="160" t="s">
        <v>65</v>
      </c>
      <c r="T70" s="728" t="s">
        <v>32</v>
      </c>
      <c r="U70" s="161" t="s">
        <v>65</v>
      </c>
      <c r="V70" s="162"/>
      <c r="W70" s="729" t="s">
        <v>32</v>
      </c>
      <c r="X70" s="163" t="s">
        <v>65</v>
      </c>
    </row>
    <row r="71" spans="1:27" s="1" customFormat="1" ht="24.75" customHeight="1" x14ac:dyDescent="0.2">
      <c r="A71" s="700" t="s">
        <v>141</v>
      </c>
      <c r="B71" s="775"/>
      <c r="C71" s="763"/>
      <c r="D71" s="762"/>
      <c r="E71" s="763"/>
      <c r="F71" s="762"/>
      <c r="G71" s="763"/>
      <c r="H71" s="164">
        <v>38</v>
      </c>
      <c r="I71" s="165">
        <f>H71/SUM(H16)</f>
        <v>0.21111111111111111</v>
      </c>
      <c r="J71" s="164">
        <v>32</v>
      </c>
      <c r="K71" s="165">
        <f>J71/SUM(J16)</f>
        <v>0.17391304347826086</v>
      </c>
      <c r="L71" s="164">
        <v>40</v>
      </c>
      <c r="M71" s="165">
        <f>L71/L16</f>
        <v>0.24096385542168675</v>
      </c>
      <c r="N71" s="164">
        <v>44</v>
      </c>
      <c r="O71" s="165">
        <f>N71/N16</f>
        <v>0.26993865030674846</v>
      </c>
      <c r="P71" s="164">
        <v>41</v>
      </c>
      <c r="Q71" s="165">
        <f>P71/P16</f>
        <v>0.24260355029585798</v>
      </c>
      <c r="R71" s="164">
        <v>38</v>
      </c>
      <c r="S71" s="165">
        <f>R71/SUM(R16)</f>
        <v>0.38383838383838381</v>
      </c>
      <c r="T71" s="164"/>
      <c r="U71" s="417">
        <f>T71/SUM(T16)</f>
        <v>0</v>
      </c>
      <c r="V71" s="157"/>
      <c r="W71" s="166">
        <f>AVERAGE(N71,L71,R71,T71,P71)</f>
        <v>40.75</v>
      </c>
      <c r="X71" s="531">
        <f>W71/W16</f>
        <v>0.29148783977110154</v>
      </c>
    </row>
    <row r="72" spans="1:27" s="1" customFormat="1" ht="24.75" customHeight="1" x14ac:dyDescent="0.2">
      <c r="A72" s="491" t="s">
        <v>142</v>
      </c>
      <c r="B72" s="777"/>
      <c r="C72" s="778"/>
      <c r="D72" s="779"/>
      <c r="E72" s="778"/>
      <c r="F72" s="779"/>
      <c r="G72" s="778"/>
      <c r="H72" s="779"/>
      <c r="I72" s="778"/>
      <c r="J72" s="779"/>
      <c r="K72" s="778"/>
      <c r="L72" s="779"/>
      <c r="M72" s="778"/>
      <c r="N72" s="672">
        <v>1</v>
      </c>
      <c r="O72" s="673">
        <f>N72/N24</f>
        <v>0.25</v>
      </c>
      <c r="P72" s="672"/>
      <c r="Q72" s="673">
        <f>P72/P24</f>
        <v>0</v>
      </c>
      <c r="R72" s="672">
        <v>0</v>
      </c>
      <c r="S72" s="673">
        <f>R72/SUM(R24)</f>
        <v>0</v>
      </c>
      <c r="T72" s="672"/>
      <c r="U72" s="674">
        <f>T72/SUM(T24)</f>
        <v>0</v>
      </c>
      <c r="V72" s="157"/>
      <c r="W72" s="419">
        <f t="shared" ref="W72:W74" si="41">AVERAGE(N72,L72,R72,T72,P72)</f>
        <v>0.5</v>
      </c>
      <c r="X72" s="545">
        <f>W72/W24</f>
        <v>5.4054054054054057E-2</v>
      </c>
    </row>
    <row r="73" spans="1:27" s="1" customFormat="1" ht="24.75" customHeight="1" x14ac:dyDescent="0.2">
      <c r="A73" s="720" t="s">
        <v>144</v>
      </c>
      <c r="B73" s="780"/>
      <c r="C73" s="781"/>
      <c r="D73" s="782"/>
      <c r="E73" s="781"/>
      <c r="F73" s="782"/>
      <c r="G73" s="781"/>
      <c r="H73" s="782"/>
      <c r="I73" s="781"/>
      <c r="J73" s="782"/>
      <c r="K73" s="781"/>
      <c r="L73" s="782"/>
      <c r="M73" s="781"/>
      <c r="N73" s="782"/>
      <c r="O73" s="781"/>
      <c r="P73" s="782"/>
      <c r="Q73" s="781"/>
      <c r="R73" s="1000">
        <v>1</v>
      </c>
      <c r="S73" s="1001">
        <f>R73/R34</f>
        <v>2.2727272727272728E-2</v>
      </c>
      <c r="T73" s="418"/>
      <c r="U73" s="540">
        <f>T73/T34</f>
        <v>0</v>
      </c>
      <c r="V73" s="157"/>
      <c r="W73" s="419">
        <f t="shared" si="41"/>
        <v>1</v>
      </c>
      <c r="X73" s="545">
        <f>W73/W34</f>
        <v>2.197802197802198E-2</v>
      </c>
    </row>
    <row r="74" spans="1:27" ht="24.75" customHeight="1" thickBot="1" x14ac:dyDescent="0.25">
      <c r="A74" s="721" t="s">
        <v>159</v>
      </c>
      <c r="B74" s="776"/>
      <c r="C74" s="770"/>
      <c r="D74" s="769"/>
      <c r="E74" s="770"/>
      <c r="F74" s="769"/>
      <c r="G74" s="770"/>
      <c r="H74" s="769"/>
      <c r="I74" s="770"/>
      <c r="J74" s="769"/>
      <c r="K74" s="770"/>
      <c r="L74" s="769"/>
      <c r="M74" s="770"/>
      <c r="N74" s="769"/>
      <c r="O74" s="770"/>
      <c r="P74" s="769"/>
      <c r="Q74" s="770"/>
      <c r="R74" s="1002">
        <v>0</v>
      </c>
      <c r="S74" s="1003">
        <v>0</v>
      </c>
      <c r="T74" s="168"/>
      <c r="U74" s="170">
        <f>T74/T35</f>
        <v>0</v>
      </c>
      <c r="V74" s="157"/>
      <c r="W74" s="171">
        <f t="shared" si="41"/>
        <v>0</v>
      </c>
      <c r="X74" s="532">
        <f>W74/W35</f>
        <v>0</v>
      </c>
    </row>
    <row r="75" spans="1:27" s="46" customFormat="1" ht="13.5" thickTop="1" x14ac:dyDescent="0.2">
      <c r="A75" s="18" t="s">
        <v>178</v>
      </c>
      <c r="B75" s="19"/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19"/>
      <c r="Q75" s="20"/>
      <c r="R75" s="19"/>
      <c r="S75" s="20"/>
      <c r="T75" s="19"/>
      <c r="U75" s="20"/>
      <c r="W75" s="21"/>
      <c r="X75" s="22"/>
      <c r="Y75" s="32"/>
      <c r="Z75" s="32"/>
      <c r="AA75" s="33"/>
    </row>
    <row r="76" spans="1:27" s="1" customFormat="1" ht="15" customHeight="1" thickBot="1" x14ac:dyDescent="0.25">
      <c r="A76" s="688"/>
      <c r="B76" s="250"/>
      <c r="C76" s="497"/>
      <c r="D76" s="250"/>
      <c r="E76" s="497"/>
      <c r="F76" s="250"/>
      <c r="G76" s="497"/>
      <c r="H76" s="250"/>
      <c r="I76" s="497"/>
      <c r="J76" s="250"/>
      <c r="K76" s="497"/>
      <c r="L76" s="250"/>
      <c r="M76" s="497"/>
      <c r="N76" s="250"/>
      <c r="O76" s="497"/>
      <c r="P76" s="250"/>
      <c r="Q76" s="497"/>
      <c r="R76" s="250"/>
      <c r="S76" s="497"/>
      <c r="T76" s="250"/>
      <c r="U76" s="497"/>
      <c r="V76" s="191"/>
      <c r="W76" s="191"/>
      <c r="X76" s="498"/>
    </row>
    <row r="77" spans="1:27" s="1" customFormat="1" ht="18.75" customHeight="1" thickTop="1" thickBot="1" x14ac:dyDescent="0.25">
      <c r="A77" s="174" t="s">
        <v>157</v>
      </c>
      <c r="B77" s="1060" t="s">
        <v>23</v>
      </c>
      <c r="C77" s="1043"/>
      <c r="D77" s="1039" t="s">
        <v>24</v>
      </c>
      <c r="E77" s="1040"/>
      <c r="F77" s="1039" t="s">
        <v>25</v>
      </c>
      <c r="G77" s="1040"/>
      <c r="H77" s="1039" t="s">
        <v>26</v>
      </c>
      <c r="I77" s="1040"/>
      <c r="J77" s="1039" t="s">
        <v>27</v>
      </c>
      <c r="K77" s="1040"/>
      <c r="L77" s="1039" t="s">
        <v>28</v>
      </c>
      <c r="M77" s="1040"/>
      <c r="N77" s="1039" t="s">
        <v>29</v>
      </c>
      <c r="O77" s="1040"/>
      <c r="P77" s="1039" t="s">
        <v>30</v>
      </c>
      <c r="Q77" s="1040"/>
      <c r="R77" s="1039" t="s">
        <v>31</v>
      </c>
      <c r="S77" s="1040"/>
      <c r="T77" s="1039" t="s">
        <v>200</v>
      </c>
      <c r="U77" s="1051"/>
      <c r="V77" s="191"/>
      <c r="W77" s="1041" t="s">
        <v>9</v>
      </c>
      <c r="X77" s="1042"/>
    </row>
    <row r="78" spans="1:27" s="1" customFormat="1" ht="24" x14ac:dyDescent="0.2">
      <c r="A78" s="500" t="s">
        <v>171</v>
      </c>
      <c r="B78" s="685"/>
      <c r="C78" s="503"/>
      <c r="D78" s="502"/>
      <c r="E78" s="504"/>
      <c r="F78" s="502"/>
      <c r="G78" s="504"/>
      <c r="H78" s="502"/>
      <c r="I78" s="504"/>
      <c r="J78" s="502"/>
      <c r="K78" s="504"/>
      <c r="L78" s="502"/>
      <c r="M78" s="504"/>
      <c r="N78" s="502"/>
      <c r="O78" s="504"/>
      <c r="P78" s="502"/>
      <c r="Q78" s="504"/>
      <c r="R78" s="502"/>
      <c r="S78" s="504"/>
      <c r="T78" s="502"/>
      <c r="U78" s="505"/>
      <c r="V78" s="501"/>
      <c r="W78" s="954"/>
      <c r="X78" s="955"/>
    </row>
    <row r="79" spans="1:27" s="1" customFormat="1" ht="15" customHeight="1" x14ac:dyDescent="0.2">
      <c r="A79" s="698" t="s">
        <v>145</v>
      </c>
      <c r="B79" s="187"/>
      <c r="C79" s="420">
        <v>20</v>
      </c>
      <c r="D79" s="187"/>
      <c r="E79" s="420">
        <v>20</v>
      </c>
      <c r="F79" s="187"/>
      <c r="G79" s="420">
        <v>19</v>
      </c>
      <c r="H79" s="187"/>
      <c r="I79" s="420">
        <v>19</v>
      </c>
      <c r="J79" s="187"/>
      <c r="K79" s="420">
        <v>18</v>
      </c>
      <c r="L79" s="187"/>
      <c r="M79" s="420">
        <v>20</v>
      </c>
      <c r="N79" s="187"/>
      <c r="O79" s="420">
        <v>21</v>
      </c>
      <c r="P79" s="187"/>
      <c r="Q79" s="420">
        <v>23</v>
      </c>
      <c r="R79" s="187"/>
      <c r="S79" s="420">
        <v>22</v>
      </c>
      <c r="T79" s="421"/>
      <c r="U79" s="255"/>
      <c r="V79" s="191"/>
      <c r="W79" s="956"/>
      <c r="X79" s="255">
        <f>AVERAGE(O79,M79,S79,U79,Q79)</f>
        <v>21.5</v>
      </c>
    </row>
    <row r="80" spans="1:27" s="1" customFormat="1" ht="24" x14ac:dyDescent="0.2">
      <c r="A80" s="698" t="s">
        <v>163</v>
      </c>
      <c r="B80" s="686"/>
      <c r="C80" s="506">
        <v>16</v>
      </c>
      <c r="D80" s="421"/>
      <c r="E80" s="506">
        <v>14</v>
      </c>
      <c r="F80" s="421"/>
      <c r="G80" s="506">
        <v>16</v>
      </c>
      <c r="H80" s="421"/>
      <c r="I80" s="506">
        <v>14</v>
      </c>
      <c r="J80" s="421"/>
      <c r="K80" s="506">
        <v>18</v>
      </c>
      <c r="L80" s="421"/>
      <c r="M80" s="506">
        <v>20</v>
      </c>
      <c r="N80" s="421"/>
      <c r="O80" s="506">
        <v>19</v>
      </c>
      <c r="P80" s="421"/>
      <c r="Q80" s="506">
        <v>23</v>
      </c>
      <c r="R80" s="421"/>
      <c r="S80" s="506">
        <v>20</v>
      </c>
      <c r="T80" s="421"/>
      <c r="U80" s="255"/>
      <c r="V80" s="191"/>
      <c r="W80" s="957"/>
      <c r="X80" s="958">
        <f>AVERAGE(O80,M80,S80,U80,Q80)</f>
        <v>20.5</v>
      </c>
    </row>
    <row r="81" spans="1:24" s="1" customFormat="1" ht="15" customHeight="1" thickBot="1" x14ac:dyDescent="0.25">
      <c r="A81" s="722" t="s">
        <v>146</v>
      </c>
      <c r="B81" s="560"/>
      <c r="C81" s="561">
        <v>19.46</v>
      </c>
      <c r="D81" s="560"/>
      <c r="E81" s="561">
        <f>19.36+0.15</f>
        <v>19.509999999999998</v>
      </c>
      <c r="F81" s="560"/>
      <c r="G81" s="561">
        <v>18.36</v>
      </c>
      <c r="H81" s="560"/>
      <c r="I81" s="561">
        <v>18.62</v>
      </c>
      <c r="J81" s="560"/>
      <c r="K81" s="561">
        <f>18.64+0.15</f>
        <v>18.79</v>
      </c>
      <c r="L81" s="560"/>
      <c r="M81" s="561">
        <v>18.77</v>
      </c>
      <c r="N81" s="560"/>
      <c r="O81" s="561">
        <v>19.52</v>
      </c>
      <c r="P81" s="560"/>
      <c r="Q81" s="561">
        <v>21.5</v>
      </c>
      <c r="R81" s="560"/>
      <c r="S81" s="561">
        <f>20.85+0.9</f>
        <v>21.75</v>
      </c>
      <c r="T81" s="562"/>
      <c r="U81" s="563"/>
      <c r="V81" s="191"/>
      <c r="W81" s="959"/>
      <c r="X81" s="960">
        <f>AVERAGE(O81,M81,S81,U81,Q81)</f>
        <v>20.384999999999998</v>
      </c>
    </row>
    <row r="82" spans="1:24" s="1" customFormat="1" ht="18" customHeight="1" thickBot="1" x14ac:dyDescent="0.25">
      <c r="A82" s="575" t="s">
        <v>160</v>
      </c>
      <c r="B82" s="666" t="s">
        <v>33</v>
      </c>
      <c r="C82" s="565" t="s">
        <v>34</v>
      </c>
      <c r="D82" s="666" t="s">
        <v>33</v>
      </c>
      <c r="E82" s="647" t="s">
        <v>34</v>
      </c>
      <c r="F82" s="666" t="s">
        <v>33</v>
      </c>
      <c r="G82" s="647" t="s">
        <v>34</v>
      </c>
      <c r="H82" s="666" t="s">
        <v>33</v>
      </c>
      <c r="I82" s="647" t="s">
        <v>34</v>
      </c>
      <c r="J82" s="666" t="s">
        <v>33</v>
      </c>
      <c r="K82" s="647" t="s">
        <v>34</v>
      </c>
      <c r="L82" s="666" t="s">
        <v>33</v>
      </c>
      <c r="M82" s="647" t="s">
        <v>34</v>
      </c>
      <c r="N82" s="666" t="s">
        <v>33</v>
      </c>
      <c r="O82" s="647" t="s">
        <v>34</v>
      </c>
      <c r="P82" s="666" t="s">
        <v>33</v>
      </c>
      <c r="Q82" s="647" t="s">
        <v>34</v>
      </c>
      <c r="R82" s="666" t="s">
        <v>33</v>
      </c>
      <c r="S82" s="647" t="s">
        <v>34</v>
      </c>
      <c r="T82" s="666" t="s">
        <v>33</v>
      </c>
      <c r="U82" s="656" t="s">
        <v>34</v>
      </c>
      <c r="V82" s="191"/>
      <c r="W82" s="665" t="s">
        <v>33</v>
      </c>
      <c r="X82" s="961" t="s">
        <v>152</v>
      </c>
    </row>
    <row r="83" spans="1:24" s="1" customFormat="1" ht="15" customHeight="1" x14ac:dyDescent="0.2">
      <c r="A83" s="723" t="s">
        <v>35</v>
      </c>
      <c r="B83" s="648"/>
      <c r="C83" s="507"/>
      <c r="D83" s="648"/>
      <c r="E83" s="649"/>
      <c r="F83" s="648"/>
      <c r="G83" s="649"/>
      <c r="H83" s="648"/>
      <c r="I83" s="649"/>
      <c r="J83" s="667"/>
      <c r="K83" s="649"/>
      <c r="L83" s="667"/>
      <c r="M83" s="649"/>
      <c r="N83" s="667"/>
      <c r="O83" s="649"/>
      <c r="P83" s="667"/>
      <c r="Q83" s="649"/>
      <c r="R83" s="667"/>
      <c r="S83" s="649"/>
      <c r="T83" s="667"/>
      <c r="U83" s="657"/>
      <c r="V83" s="191"/>
      <c r="W83" s="662"/>
      <c r="X83" s="946"/>
    </row>
    <row r="84" spans="1:24" s="1" customFormat="1" ht="15" customHeight="1" x14ac:dyDescent="0.2">
      <c r="A84" s="724" t="s">
        <v>36</v>
      </c>
      <c r="B84" s="82"/>
      <c r="C84" s="204">
        <v>27</v>
      </c>
      <c r="D84" s="82"/>
      <c r="E84" s="650">
        <v>27</v>
      </c>
      <c r="F84" s="82"/>
      <c r="G84" s="650">
        <v>30</v>
      </c>
      <c r="H84" s="82"/>
      <c r="I84" s="650">
        <v>29</v>
      </c>
      <c r="J84" s="669">
        <v>33</v>
      </c>
      <c r="K84" s="650">
        <v>33</v>
      </c>
      <c r="L84" s="669">
        <v>33</v>
      </c>
      <c r="M84" s="650">
        <v>33</v>
      </c>
      <c r="N84" s="669">
        <v>33</v>
      </c>
      <c r="O84" s="650">
        <v>33</v>
      </c>
      <c r="P84" s="669">
        <v>35</v>
      </c>
      <c r="Q84" s="650">
        <v>35</v>
      </c>
      <c r="R84" s="669">
        <v>38</v>
      </c>
      <c r="S84" s="650">
        <v>38</v>
      </c>
      <c r="T84" s="669"/>
      <c r="U84" s="148"/>
      <c r="V84" s="191"/>
      <c r="W84" s="947">
        <f>AVERAGE(N84,L84,R84,T84,P84)</f>
        <v>34.75</v>
      </c>
      <c r="X84" s="948">
        <f>AVERAGE(O84,M84,S84,U84,Q84)</f>
        <v>34.75</v>
      </c>
    </row>
    <row r="85" spans="1:24" s="1" customFormat="1" ht="15" customHeight="1" x14ac:dyDescent="0.2">
      <c r="A85" s="724" t="s">
        <v>37</v>
      </c>
      <c r="B85" s="82"/>
      <c r="C85" s="204">
        <v>8</v>
      </c>
      <c r="D85" s="82"/>
      <c r="E85" s="650">
        <v>5</v>
      </c>
      <c r="F85" s="82"/>
      <c r="G85" s="650">
        <v>6</v>
      </c>
      <c r="H85" s="82"/>
      <c r="I85" s="650">
        <v>6</v>
      </c>
      <c r="J85" s="668">
        <v>3.72</v>
      </c>
      <c r="K85" s="650">
        <v>7</v>
      </c>
      <c r="L85" s="668">
        <v>4.3</v>
      </c>
      <c r="M85" s="650">
        <v>10</v>
      </c>
      <c r="N85" s="668">
        <v>3.8</v>
      </c>
      <c r="O85" s="650">
        <v>8</v>
      </c>
      <c r="P85" s="668">
        <v>5.6</v>
      </c>
      <c r="Q85" s="650">
        <v>12</v>
      </c>
      <c r="R85" s="668">
        <v>4.5999999999999996</v>
      </c>
      <c r="S85" s="650">
        <v>10</v>
      </c>
      <c r="T85" s="668"/>
      <c r="U85" s="148"/>
      <c r="V85" s="191"/>
      <c r="W85" s="947">
        <f t="shared" ref="W85:X88" si="42">AVERAGE(N85,L85,R85,T85,P85)</f>
        <v>4.5749999999999993</v>
      </c>
      <c r="X85" s="948">
        <f t="shared" si="42"/>
        <v>10</v>
      </c>
    </row>
    <row r="86" spans="1:24" s="1" customFormat="1" ht="15" customHeight="1" x14ac:dyDescent="0.2">
      <c r="A86" s="725" t="s">
        <v>38</v>
      </c>
      <c r="B86" s="651"/>
      <c r="C86" s="254"/>
      <c r="D86" s="651"/>
      <c r="E86" s="652"/>
      <c r="F86" s="651"/>
      <c r="G86" s="652"/>
      <c r="H86" s="651"/>
      <c r="I86" s="652"/>
      <c r="J86" s="668"/>
      <c r="K86" s="652"/>
      <c r="L86" s="668"/>
      <c r="M86" s="652"/>
      <c r="N86" s="668"/>
      <c r="O86" s="652"/>
      <c r="P86" s="668"/>
      <c r="Q86" s="652"/>
      <c r="R86" s="668"/>
      <c r="S86" s="652"/>
      <c r="T86" s="668"/>
      <c r="U86" s="658"/>
      <c r="V86" s="191"/>
      <c r="W86" s="947"/>
      <c r="X86" s="948"/>
    </row>
    <row r="87" spans="1:24" ht="15" customHeight="1" x14ac:dyDescent="0.2">
      <c r="A87" s="724" t="s">
        <v>36</v>
      </c>
      <c r="B87" s="82"/>
      <c r="C87" s="254">
        <v>9</v>
      </c>
      <c r="D87" s="82"/>
      <c r="E87" s="652">
        <v>8</v>
      </c>
      <c r="F87" s="82"/>
      <c r="G87" s="652">
        <v>8</v>
      </c>
      <c r="H87" s="82"/>
      <c r="I87" s="652">
        <v>8</v>
      </c>
      <c r="J87" s="669">
        <v>7</v>
      </c>
      <c r="K87" s="652">
        <v>7</v>
      </c>
      <c r="L87" s="669">
        <v>6</v>
      </c>
      <c r="M87" s="652">
        <v>6</v>
      </c>
      <c r="N87" s="669">
        <v>8</v>
      </c>
      <c r="O87" s="652">
        <v>8</v>
      </c>
      <c r="P87" s="669">
        <v>7</v>
      </c>
      <c r="Q87" s="652">
        <v>7</v>
      </c>
      <c r="R87" s="669">
        <v>11</v>
      </c>
      <c r="S87" s="652">
        <v>11</v>
      </c>
      <c r="T87" s="669"/>
      <c r="U87" s="658"/>
      <c r="V87" s="191"/>
      <c r="W87" s="947">
        <f t="shared" si="42"/>
        <v>8</v>
      </c>
      <c r="X87" s="948">
        <f t="shared" si="42"/>
        <v>8</v>
      </c>
    </row>
    <row r="88" spans="1:24" ht="15" customHeight="1" thickBot="1" x14ac:dyDescent="0.25">
      <c r="A88" s="726" t="s">
        <v>37</v>
      </c>
      <c r="B88" s="82"/>
      <c r="C88" s="254">
        <v>1</v>
      </c>
      <c r="D88" s="82"/>
      <c r="E88" s="652">
        <v>2</v>
      </c>
      <c r="F88" s="82"/>
      <c r="G88" s="652">
        <v>1</v>
      </c>
      <c r="H88" s="82"/>
      <c r="I88" s="652">
        <v>3</v>
      </c>
      <c r="J88" s="668">
        <v>1.4</v>
      </c>
      <c r="K88" s="652">
        <v>4</v>
      </c>
      <c r="L88" s="668">
        <v>1.4</v>
      </c>
      <c r="M88" s="652">
        <v>4</v>
      </c>
      <c r="N88" s="669">
        <v>3</v>
      </c>
      <c r="O88" s="652">
        <v>3</v>
      </c>
      <c r="P88" s="668">
        <v>0.4</v>
      </c>
      <c r="Q88" s="652">
        <v>1</v>
      </c>
      <c r="R88" s="668">
        <v>0</v>
      </c>
      <c r="S88" s="652">
        <v>0</v>
      </c>
      <c r="T88" s="671"/>
      <c r="U88" s="660"/>
      <c r="V88" s="191"/>
      <c r="W88" s="947">
        <f t="shared" si="42"/>
        <v>1.2000000000000002</v>
      </c>
      <c r="X88" s="948">
        <f t="shared" si="42"/>
        <v>2</v>
      </c>
    </row>
    <row r="89" spans="1:24" ht="15" customHeight="1" thickBot="1" x14ac:dyDescent="0.25">
      <c r="A89" s="567" t="s">
        <v>21</v>
      </c>
      <c r="B89" s="759"/>
      <c r="C89" s="569">
        <f>SUM(C84:C88)</f>
        <v>45</v>
      </c>
      <c r="D89" s="759"/>
      <c r="E89" s="653">
        <f>SUM(E84:E88)</f>
        <v>42</v>
      </c>
      <c r="F89" s="759"/>
      <c r="G89" s="653">
        <f>SUM(G84:G88)</f>
        <v>45</v>
      </c>
      <c r="H89" s="759"/>
      <c r="I89" s="653">
        <f>SUM(I84:I88)</f>
        <v>46</v>
      </c>
      <c r="J89" s="670">
        <f t="shared" ref="J89:S89" si="43">SUM(J84:J88)</f>
        <v>45.12</v>
      </c>
      <c r="K89" s="653">
        <f t="shared" si="43"/>
        <v>51</v>
      </c>
      <c r="L89" s="670">
        <f t="shared" si="43"/>
        <v>44.699999999999996</v>
      </c>
      <c r="M89" s="653">
        <f t="shared" si="43"/>
        <v>53</v>
      </c>
      <c r="N89" s="670">
        <f t="shared" si="43"/>
        <v>47.8</v>
      </c>
      <c r="O89" s="653">
        <f t="shared" si="43"/>
        <v>52</v>
      </c>
      <c r="P89" s="670">
        <f t="shared" si="43"/>
        <v>48</v>
      </c>
      <c r="Q89" s="653">
        <f t="shared" si="43"/>
        <v>55</v>
      </c>
      <c r="R89" s="670">
        <f t="shared" si="43"/>
        <v>53.6</v>
      </c>
      <c r="S89" s="653">
        <f t="shared" si="43"/>
        <v>59</v>
      </c>
      <c r="T89" s="670">
        <f t="shared" ref="T89:U89" si="44">SUM(T84:T88)</f>
        <v>0</v>
      </c>
      <c r="U89" s="661">
        <f t="shared" si="44"/>
        <v>0</v>
      </c>
      <c r="V89" s="191"/>
      <c r="W89" s="949">
        <f>AVERAGE(N89,L89,R89,T89,P89)</f>
        <v>38.82</v>
      </c>
      <c r="X89" s="950">
        <f>AVERAGE(O89,M89,S89,U89,Q89)</f>
        <v>43.8</v>
      </c>
    </row>
    <row r="90" spans="1:24" ht="18" customHeight="1" thickBot="1" x14ac:dyDescent="0.25">
      <c r="A90" s="575" t="s">
        <v>161</v>
      </c>
      <c r="B90" s="557" t="s">
        <v>32</v>
      </c>
      <c r="C90" s="555" t="s">
        <v>39</v>
      </c>
      <c r="D90" s="554" t="s">
        <v>32</v>
      </c>
      <c r="E90" s="556" t="s">
        <v>39</v>
      </c>
      <c r="F90" s="557" t="s">
        <v>32</v>
      </c>
      <c r="G90" s="556" t="s">
        <v>39</v>
      </c>
      <c r="H90" s="557" t="s">
        <v>32</v>
      </c>
      <c r="I90" s="556" t="s">
        <v>39</v>
      </c>
      <c r="J90" s="557" t="s">
        <v>32</v>
      </c>
      <c r="K90" s="556" t="s">
        <v>39</v>
      </c>
      <c r="L90" s="557" t="s">
        <v>32</v>
      </c>
      <c r="M90" s="556" t="s">
        <v>39</v>
      </c>
      <c r="N90" s="557" t="s">
        <v>32</v>
      </c>
      <c r="O90" s="556" t="s">
        <v>39</v>
      </c>
      <c r="P90" s="557" t="s">
        <v>32</v>
      </c>
      <c r="Q90" s="556" t="s">
        <v>39</v>
      </c>
      <c r="R90" s="557" t="s">
        <v>32</v>
      </c>
      <c r="S90" s="556" t="s">
        <v>39</v>
      </c>
      <c r="T90" s="557" t="s">
        <v>32</v>
      </c>
      <c r="U90" s="558" t="s">
        <v>39</v>
      </c>
      <c r="V90" s="191"/>
      <c r="W90" s="951" t="s">
        <v>32</v>
      </c>
      <c r="X90" s="656" t="s">
        <v>39</v>
      </c>
    </row>
    <row r="91" spans="1:24" ht="18" customHeight="1" x14ac:dyDescent="0.2">
      <c r="A91" s="723" t="s">
        <v>162</v>
      </c>
      <c r="B91" s="249"/>
      <c r="C91" s="577"/>
      <c r="D91" s="220"/>
      <c r="E91" s="629"/>
      <c r="F91" s="630"/>
      <c r="G91" s="629"/>
      <c r="H91" s="630"/>
      <c r="I91" s="629"/>
      <c r="J91" s="630"/>
      <c r="K91" s="629"/>
      <c r="L91" s="630"/>
      <c r="M91" s="629"/>
      <c r="N91" s="630"/>
      <c r="O91" s="629"/>
      <c r="P91" s="630"/>
      <c r="Q91" s="629"/>
      <c r="R91" s="630"/>
      <c r="S91" s="629"/>
      <c r="T91" s="630"/>
      <c r="U91" s="585"/>
      <c r="V91" s="191"/>
      <c r="W91" s="952"/>
      <c r="X91" s="585"/>
    </row>
    <row r="92" spans="1:24" ht="15" customHeight="1" x14ac:dyDescent="0.2">
      <c r="A92" s="508" t="s">
        <v>40</v>
      </c>
      <c r="B92" s="512">
        <v>42</v>
      </c>
      <c r="C92" s="510">
        <f t="shared" ref="C92:C99" si="45">B92/C$89</f>
        <v>0.93333333333333335</v>
      </c>
      <c r="D92" s="509">
        <v>39</v>
      </c>
      <c r="E92" s="511">
        <f t="shared" ref="E92:K99" si="46">D92/E$89</f>
        <v>0.9285714285714286</v>
      </c>
      <c r="F92" s="512">
        <v>42</v>
      </c>
      <c r="G92" s="511">
        <f t="shared" si="46"/>
        <v>0.93333333333333335</v>
      </c>
      <c r="H92" s="512">
        <v>42</v>
      </c>
      <c r="I92" s="511">
        <f t="shared" ref="I92:I99" si="47">H92/I$89</f>
        <v>0.91304347826086951</v>
      </c>
      <c r="J92" s="512">
        <f>10+37</f>
        <v>47</v>
      </c>
      <c r="K92" s="511">
        <f t="shared" si="46"/>
        <v>0.92156862745098034</v>
      </c>
      <c r="L92" s="512">
        <v>50</v>
      </c>
      <c r="M92" s="511">
        <f t="shared" ref="M92:M97" si="48">L92/M$89</f>
        <v>0.94339622641509435</v>
      </c>
      <c r="N92" s="512">
        <v>48</v>
      </c>
      <c r="O92" s="511">
        <f t="shared" ref="O92:Q97" si="49">N92/O$89</f>
        <v>0.92307692307692313</v>
      </c>
      <c r="P92" s="512">
        <v>52</v>
      </c>
      <c r="Q92" s="511">
        <f t="shared" si="49"/>
        <v>0.94545454545454544</v>
      </c>
      <c r="R92" s="512">
        <v>54</v>
      </c>
      <c r="S92" s="511">
        <f t="shared" ref="S92:S97" si="50">R92/S$89</f>
        <v>0.9152542372881356</v>
      </c>
      <c r="T92" s="512"/>
      <c r="U92" s="513" t="e">
        <f t="shared" ref="U92:U97" si="51">T92/U$89</f>
        <v>#DIV/0!</v>
      </c>
      <c r="V92" s="198"/>
      <c r="W92" s="947">
        <f t="shared" ref="W92:W111" si="52">AVERAGE(N92,L92,R92,T92,P92)</f>
        <v>51</v>
      </c>
      <c r="X92" s="199" t="e">
        <f>AVERAGE(O92,M92,U92,S92,Q92)</f>
        <v>#DIV/0!</v>
      </c>
    </row>
    <row r="93" spans="1:24" ht="15" customHeight="1" x14ac:dyDescent="0.2">
      <c r="A93" s="200" t="s">
        <v>41</v>
      </c>
      <c r="B93" s="196">
        <v>1</v>
      </c>
      <c r="C93" s="194">
        <f t="shared" si="45"/>
        <v>2.2222222222222223E-2</v>
      </c>
      <c r="D93" s="193">
        <v>1</v>
      </c>
      <c r="E93" s="195">
        <f t="shared" si="46"/>
        <v>2.3809523809523808E-2</v>
      </c>
      <c r="F93" s="196">
        <v>1</v>
      </c>
      <c r="G93" s="195">
        <f t="shared" si="46"/>
        <v>2.2222222222222223E-2</v>
      </c>
      <c r="H93" s="196">
        <v>1</v>
      </c>
      <c r="I93" s="195">
        <f t="shared" si="47"/>
        <v>2.1739130434782608E-2</v>
      </c>
      <c r="J93" s="196">
        <f>1</f>
        <v>1</v>
      </c>
      <c r="K93" s="195">
        <f t="shared" si="46"/>
        <v>1.9607843137254902E-2</v>
      </c>
      <c r="L93" s="196">
        <v>1</v>
      </c>
      <c r="M93" s="195">
        <f t="shared" si="48"/>
        <v>1.8867924528301886E-2</v>
      </c>
      <c r="N93" s="196">
        <v>1</v>
      </c>
      <c r="O93" s="195">
        <f t="shared" si="49"/>
        <v>1.9230769230769232E-2</v>
      </c>
      <c r="P93" s="196">
        <v>0</v>
      </c>
      <c r="Q93" s="195">
        <f t="shared" si="49"/>
        <v>0</v>
      </c>
      <c r="R93" s="196">
        <v>0</v>
      </c>
      <c r="S93" s="195">
        <f t="shared" si="50"/>
        <v>0</v>
      </c>
      <c r="T93" s="196"/>
      <c r="U93" s="197" t="e">
        <f t="shared" si="51"/>
        <v>#DIV/0!</v>
      </c>
      <c r="V93" s="198"/>
      <c r="W93" s="947">
        <f t="shared" si="52"/>
        <v>0.5</v>
      </c>
      <c r="X93" s="199" t="e">
        <f t="shared" ref="X93:X111" si="53">AVERAGE(O93,M93,U93,S93,Q93)</f>
        <v>#DIV/0!</v>
      </c>
    </row>
    <row r="94" spans="1:24" ht="15" customHeight="1" x14ac:dyDescent="0.2">
      <c r="A94" s="200" t="s">
        <v>42</v>
      </c>
      <c r="B94" s="196">
        <v>1</v>
      </c>
      <c r="C94" s="194">
        <f t="shared" si="45"/>
        <v>2.2222222222222223E-2</v>
      </c>
      <c r="D94" s="193">
        <v>1</v>
      </c>
      <c r="E94" s="195">
        <f t="shared" si="46"/>
        <v>2.3809523809523808E-2</v>
      </c>
      <c r="F94" s="196">
        <v>1</v>
      </c>
      <c r="G94" s="195">
        <f t="shared" si="46"/>
        <v>2.2222222222222223E-2</v>
      </c>
      <c r="H94" s="196">
        <v>1</v>
      </c>
      <c r="I94" s="195">
        <f t="shared" si="47"/>
        <v>2.1739130434782608E-2</v>
      </c>
      <c r="J94" s="196">
        <f>1</f>
        <v>1</v>
      </c>
      <c r="K94" s="195">
        <f t="shared" si="46"/>
        <v>1.9607843137254902E-2</v>
      </c>
      <c r="L94" s="196">
        <v>1</v>
      </c>
      <c r="M94" s="195">
        <f t="shared" si="48"/>
        <v>1.8867924528301886E-2</v>
      </c>
      <c r="N94" s="196">
        <v>1</v>
      </c>
      <c r="O94" s="195">
        <f t="shared" si="49"/>
        <v>1.9230769230769232E-2</v>
      </c>
      <c r="P94" s="196">
        <v>2</v>
      </c>
      <c r="Q94" s="195">
        <f t="shared" si="49"/>
        <v>3.6363636363636362E-2</v>
      </c>
      <c r="R94" s="196">
        <v>3</v>
      </c>
      <c r="S94" s="195">
        <f t="shared" si="50"/>
        <v>5.0847457627118647E-2</v>
      </c>
      <c r="T94" s="196"/>
      <c r="U94" s="197" t="e">
        <f t="shared" si="51"/>
        <v>#DIV/0!</v>
      </c>
      <c r="V94" s="198"/>
      <c r="W94" s="947">
        <f t="shared" si="52"/>
        <v>1.75</v>
      </c>
      <c r="X94" s="199" t="e">
        <f t="shared" si="53"/>
        <v>#DIV/0!</v>
      </c>
    </row>
    <row r="95" spans="1:24" ht="15" customHeight="1" x14ac:dyDescent="0.2">
      <c r="A95" s="200" t="s">
        <v>43</v>
      </c>
      <c r="B95" s="196">
        <v>0</v>
      </c>
      <c r="C95" s="194">
        <f t="shared" si="45"/>
        <v>0</v>
      </c>
      <c r="D95" s="193">
        <v>0</v>
      </c>
      <c r="E95" s="195">
        <f t="shared" si="46"/>
        <v>0</v>
      </c>
      <c r="F95" s="196">
        <v>0</v>
      </c>
      <c r="G95" s="195">
        <f t="shared" si="46"/>
        <v>0</v>
      </c>
      <c r="H95" s="196">
        <v>0</v>
      </c>
      <c r="I95" s="195">
        <f t="shared" si="47"/>
        <v>0</v>
      </c>
      <c r="J95" s="196">
        <f>0</f>
        <v>0</v>
      </c>
      <c r="K95" s="195">
        <f t="shared" si="46"/>
        <v>0</v>
      </c>
      <c r="L95" s="196">
        <v>0</v>
      </c>
      <c r="M95" s="195">
        <f t="shared" si="48"/>
        <v>0</v>
      </c>
      <c r="N95" s="196">
        <v>0</v>
      </c>
      <c r="O95" s="195">
        <f t="shared" si="49"/>
        <v>0</v>
      </c>
      <c r="P95" s="196">
        <v>0</v>
      </c>
      <c r="Q95" s="195">
        <f t="shared" si="49"/>
        <v>0</v>
      </c>
      <c r="R95" s="196">
        <v>0</v>
      </c>
      <c r="S95" s="195">
        <f t="shared" si="50"/>
        <v>0</v>
      </c>
      <c r="T95" s="196"/>
      <c r="U95" s="197" t="e">
        <f t="shared" si="51"/>
        <v>#DIV/0!</v>
      </c>
      <c r="V95" s="198"/>
      <c r="W95" s="947">
        <f t="shared" si="52"/>
        <v>0</v>
      </c>
      <c r="X95" s="199" t="e">
        <f t="shared" si="53"/>
        <v>#DIV/0!</v>
      </c>
    </row>
    <row r="96" spans="1:24" ht="15" customHeight="1" x14ac:dyDescent="0.2">
      <c r="A96" s="200" t="s">
        <v>44</v>
      </c>
      <c r="B96" s="196">
        <v>1</v>
      </c>
      <c r="C96" s="194">
        <f t="shared" si="45"/>
        <v>2.2222222222222223E-2</v>
      </c>
      <c r="D96" s="193">
        <v>1</v>
      </c>
      <c r="E96" s="195">
        <f t="shared" si="46"/>
        <v>2.3809523809523808E-2</v>
      </c>
      <c r="F96" s="196">
        <v>1</v>
      </c>
      <c r="G96" s="195">
        <f t="shared" si="46"/>
        <v>2.2222222222222223E-2</v>
      </c>
      <c r="H96" s="196">
        <v>1</v>
      </c>
      <c r="I96" s="195">
        <f t="shared" si="47"/>
        <v>2.1739130434782608E-2</v>
      </c>
      <c r="J96" s="196">
        <f>1</f>
        <v>1</v>
      </c>
      <c r="K96" s="195">
        <f t="shared" si="46"/>
        <v>1.9607843137254902E-2</v>
      </c>
      <c r="L96" s="196">
        <v>1</v>
      </c>
      <c r="M96" s="195">
        <f t="shared" si="48"/>
        <v>1.8867924528301886E-2</v>
      </c>
      <c r="N96" s="196">
        <v>2</v>
      </c>
      <c r="O96" s="195">
        <f t="shared" si="49"/>
        <v>3.8461538461538464E-2</v>
      </c>
      <c r="P96" s="196">
        <v>1</v>
      </c>
      <c r="Q96" s="195">
        <f t="shared" si="49"/>
        <v>1.8181818181818181E-2</v>
      </c>
      <c r="R96" s="196">
        <v>1</v>
      </c>
      <c r="S96" s="195">
        <f t="shared" si="50"/>
        <v>1.6949152542372881E-2</v>
      </c>
      <c r="T96" s="196"/>
      <c r="U96" s="197" t="e">
        <f t="shared" si="51"/>
        <v>#DIV/0!</v>
      </c>
      <c r="V96" s="198"/>
      <c r="W96" s="947">
        <f t="shared" si="52"/>
        <v>1.25</v>
      </c>
      <c r="X96" s="199" t="e">
        <f t="shared" si="53"/>
        <v>#DIV/0!</v>
      </c>
    </row>
    <row r="97" spans="1:24" ht="15" customHeight="1" x14ac:dyDescent="0.2">
      <c r="A97" s="200" t="s">
        <v>45</v>
      </c>
      <c r="B97" s="196">
        <v>0</v>
      </c>
      <c r="C97" s="194">
        <f t="shared" si="45"/>
        <v>0</v>
      </c>
      <c r="D97" s="193">
        <v>0</v>
      </c>
      <c r="E97" s="195">
        <f t="shared" si="46"/>
        <v>0</v>
      </c>
      <c r="F97" s="196">
        <v>0</v>
      </c>
      <c r="G97" s="195">
        <f t="shared" si="46"/>
        <v>0</v>
      </c>
      <c r="H97" s="196">
        <v>1</v>
      </c>
      <c r="I97" s="195">
        <f t="shared" si="47"/>
        <v>2.1739130434782608E-2</v>
      </c>
      <c r="J97" s="196">
        <f>1</f>
        <v>1</v>
      </c>
      <c r="K97" s="195">
        <f t="shared" si="46"/>
        <v>1.9607843137254902E-2</v>
      </c>
      <c r="L97" s="196">
        <v>0</v>
      </c>
      <c r="M97" s="195">
        <f t="shared" si="48"/>
        <v>0</v>
      </c>
      <c r="N97" s="196">
        <v>0</v>
      </c>
      <c r="O97" s="195">
        <f t="shared" si="49"/>
        <v>0</v>
      </c>
      <c r="P97" s="196">
        <v>0</v>
      </c>
      <c r="Q97" s="195">
        <f t="shared" si="49"/>
        <v>0</v>
      </c>
      <c r="R97" s="196">
        <v>1</v>
      </c>
      <c r="S97" s="195">
        <f t="shared" si="50"/>
        <v>1.6949152542372881E-2</v>
      </c>
      <c r="T97" s="196"/>
      <c r="U97" s="197" t="e">
        <f t="shared" si="51"/>
        <v>#DIV/0!</v>
      </c>
      <c r="V97" s="198"/>
      <c r="W97" s="947">
        <f t="shared" si="52"/>
        <v>0.25</v>
      </c>
      <c r="X97" s="199" t="e">
        <f t="shared" si="53"/>
        <v>#DIV/0!</v>
      </c>
    </row>
    <row r="98" spans="1:24" ht="15" customHeight="1" x14ac:dyDescent="0.2">
      <c r="A98" s="200" t="s">
        <v>46</v>
      </c>
      <c r="B98" s="202"/>
      <c r="C98" s="194"/>
      <c r="D98" s="201"/>
      <c r="E98" s="195"/>
      <c r="F98" s="202"/>
      <c r="G98" s="195"/>
      <c r="H98" s="202">
        <v>0</v>
      </c>
      <c r="I98" s="195">
        <f t="shared" si="47"/>
        <v>0</v>
      </c>
      <c r="J98" s="202">
        <f>0</f>
        <v>0</v>
      </c>
      <c r="K98" s="195">
        <f>J98/K$89</f>
        <v>0</v>
      </c>
      <c r="L98" s="202">
        <v>0</v>
      </c>
      <c r="M98" s="195">
        <f>L98/M$89</f>
        <v>0</v>
      </c>
      <c r="N98" s="202">
        <v>0</v>
      </c>
      <c r="O98" s="195">
        <f>N98/O$89</f>
        <v>0</v>
      </c>
      <c r="P98" s="202">
        <v>0</v>
      </c>
      <c r="Q98" s="195">
        <f>P98/Q$89</f>
        <v>0</v>
      </c>
      <c r="R98" s="202">
        <v>0</v>
      </c>
      <c r="S98" s="195">
        <f>R98/S$89</f>
        <v>0</v>
      </c>
      <c r="T98" s="196"/>
      <c r="U98" s="197" t="e">
        <f>T98/U$89</f>
        <v>#DIV/0!</v>
      </c>
      <c r="V98" s="198"/>
      <c r="W98" s="947">
        <f t="shared" si="52"/>
        <v>0</v>
      </c>
      <c r="X98" s="199" t="e">
        <f t="shared" si="53"/>
        <v>#DIV/0!</v>
      </c>
    </row>
    <row r="99" spans="1:24" ht="15" customHeight="1" thickBot="1" x14ac:dyDescent="0.25">
      <c r="A99" s="521" t="s">
        <v>47</v>
      </c>
      <c r="B99" s="525">
        <v>0</v>
      </c>
      <c r="C99" s="523">
        <f t="shared" si="45"/>
        <v>0</v>
      </c>
      <c r="D99" s="522">
        <v>0</v>
      </c>
      <c r="E99" s="524">
        <f t="shared" si="46"/>
        <v>0</v>
      </c>
      <c r="F99" s="525">
        <v>0</v>
      </c>
      <c r="G99" s="524">
        <f t="shared" si="46"/>
        <v>0</v>
      </c>
      <c r="H99" s="525">
        <v>0</v>
      </c>
      <c r="I99" s="524">
        <f t="shared" si="47"/>
        <v>0</v>
      </c>
      <c r="J99" s="525">
        <f>0</f>
        <v>0</v>
      </c>
      <c r="K99" s="524">
        <f t="shared" si="46"/>
        <v>0</v>
      </c>
      <c r="L99" s="525">
        <v>0</v>
      </c>
      <c r="M99" s="524">
        <f>L99/M$89</f>
        <v>0</v>
      </c>
      <c r="N99" s="525">
        <v>0</v>
      </c>
      <c r="O99" s="524">
        <f>N99/O$89</f>
        <v>0</v>
      </c>
      <c r="P99" s="525">
        <v>0</v>
      </c>
      <c r="Q99" s="524">
        <f>P99/Q$89</f>
        <v>0</v>
      </c>
      <c r="R99" s="525">
        <v>0</v>
      </c>
      <c r="S99" s="524">
        <f>R99/S$89</f>
        <v>0</v>
      </c>
      <c r="T99" s="525"/>
      <c r="U99" s="526" t="e">
        <f>T99/U$89</f>
        <v>#DIV/0!</v>
      </c>
      <c r="V99" s="198"/>
      <c r="W99" s="947">
        <f t="shared" si="52"/>
        <v>0</v>
      </c>
      <c r="X99" s="199" t="e">
        <f t="shared" si="53"/>
        <v>#DIV/0!</v>
      </c>
    </row>
    <row r="100" spans="1:24" ht="18" customHeight="1" x14ac:dyDescent="0.2">
      <c r="A100" s="723" t="s">
        <v>48</v>
      </c>
      <c r="B100" s="517"/>
      <c r="C100" s="515"/>
      <c r="D100" s="514"/>
      <c r="E100" s="516"/>
      <c r="F100" s="517"/>
      <c r="G100" s="516"/>
      <c r="H100" s="517"/>
      <c r="I100" s="516"/>
      <c r="J100" s="517"/>
      <c r="K100" s="516"/>
      <c r="L100" s="517"/>
      <c r="M100" s="516"/>
      <c r="N100" s="517"/>
      <c r="O100" s="516"/>
      <c r="P100" s="517"/>
      <c r="Q100" s="516"/>
      <c r="R100" s="517"/>
      <c r="S100" s="516"/>
      <c r="T100" s="517"/>
      <c r="U100" s="518"/>
      <c r="V100" s="198"/>
      <c r="W100" s="947"/>
      <c r="X100" s="199"/>
    </row>
    <row r="101" spans="1:24" ht="15" customHeight="1" x14ac:dyDescent="0.2">
      <c r="A101" s="192" t="s">
        <v>49</v>
      </c>
      <c r="B101" s="204">
        <v>15</v>
      </c>
      <c r="C101" s="194">
        <f>B101/C$89</f>
        <v>0.33333333333333331</v>
      </c>
      <c r="D101" s="203">
        <v>14</v>
      </c>
      <c r="E101" s="195">
        <f>D101/E$89</f>
        <v>0.33333333333333331</v>
      </c>
      <c r="F101" s="204">
        <v>14</v>
      </c>
      <c r="G101" s="195">
        <f>F101/G$89</f>
        <v>0.31111111111111112</v>
      </c>
      <c r="H101" s="204">
        <v>14</v>
      </c>
      <c r="I101" s="195">
        <f>H101/I$89</f>
        <v>0.30434782608695654</v>
      </c>
      <c r="J101" s="204">
        <f>2+12</f>
        <v>14</v>
      </c>
      <c r="K101" s="195">
        <f>J101/K$89</f>
        <v>0.27450980392156865</v>
      </c>
      <c r="L101" s="204">
        <v>15</v>
      </c>
      <c r="M101" s="195">
        <f>L101/M$89</f>
        <v>0.28301886792452829</v>
      </c>
      <c r="N101" s="204">
        <f>3+12</f>
        <v>15</v>
      </c>
      <c r="O101" s="195">
        <f>N101/O$89</f>
        <v>0.28846153846153844</v>
      </c>
      <c r="P101" s="204">
        <v>16</v>
      </c>
      <c r="Q101" s="195">
        <f>P101/Q$89</f>
        <v>0.29090909090909089</v>
      </c>
      <c r="R101" s="204">
        <v>18</v>
      </c>
      <c r="S101" s="195">
        <f>R101/S$89</f>
        <v>0.30508474576271188</v>
      </c>
      <c r="T101" s="204"/>
      <c r="U101" s="197" t="e">
        <f>T101/U$89</f>
        <v>#DIV/0!</v>
      </c>
      <c r="V101" s="198"/>
      <c r="W101" s="947">
        <f t="shared" si="52"/>
        <v>16</v>
      </c>
      <c r="X101" s="199" t="e">
        <f t="shared" si="53"/>
        <v>#DIV/0!</v>
      </c>
    </row>
    <row r="102" spans="1:24" ht="15" customHeight="1" thickBot="1" x14ac:dyDescent="0.25">
      <c r="A102" s="521" t="s">
        <v>50</v>
      </c>
      <c r="B102" s="528">
        <v>30</v>
      </c>
      <c r="C102" s="523">
        <f>B102/C$89</f>
        <v>0.66666666666666663</v>
      </c>
      <c r="D102" s="527">
        <v>28</v>
      </c>
      <c r="E102" s="524">
        <f>D102/E$89</f>
        <v>0.66666666666666663</v>
      </c>
      <c r="F102" s="528">
        <v>31</v>
      </c>
      <c r="G102" s="524">
        <f>F102/G$89</f>
        <v>0.68888888888888888</v>
      </c>
      <c r="H102" s="528">
        <v>32</v>
      </c>
      <c r="I102" s="524">
        <f>H102/I$89</f>
        <v>0.69565217391304346</v>
      </c>
      <c r="J102" s="528">
        <f>9+28</f>
        <v>37</v>
      </c>
      <c r="K102" s="524">
        <f>J102/K$89</f>
        <v>0.72549019607843135</v>
      </c>
      <c r="L102" s="528">
        <v>38</v>
      </c>
      <c r="M102" s="524">
        <f>L102/M$89</f>
        <v>0.71698113207547165</v>
      </c>
      <c r="N102" s="528">
        <f>8+29</f>
        <v>37</v>
      </c>
      <c r="O102" s="524">
        <f>N102/O$89</f>
        <v>0.71153846153846156</v>
      </c>
      <c r="P102" s="528">
        <v>39</v>
      </c>
      <c r="Q102" s="524">
        <f>P102/Q$89</f>
        <v>0.70909090909090911</v>
      </c>
      <c r="R102" s="528">
        <v>41</v>
      </c>
      <c r="S102" s="524">
        <f>R102/S$89</f>
        <v>0.69491525423728817</v>
      </c>
      <c r="T102" s="528"/>
      <c r="U102" s="526" t="e">
        <f>T102/U$89</f>
        <v>#DIV/0!</v>
      </c>
      <c r="V102" s="198"/>
      <c r="W102" s="947">
        <f t="shared" si="52"/>
        <v>38.75</v>
      </c>
      <c r="X102" s="199" t="e">
        <f t="shared" si="53"/>
        <v>#DIV/0!</v>
      </c>
    </row>
    <row r="103" spans="1:24" ht="18" customHeight="1" x14ac:dyDescent="0.2">
      <c r="A103" s="723" t="s">
        <v>51</v>
      </c>
      <c r="B103" s="520"/>
      <c r="C103" s="510"/>
      <c r="D103" s="519"/>
      <c r="E103" s="511"/>
      <c r="F103" s="520"/>
      <c r="G103" s="511"/>
      <c r="H103" s="520"/>
      <c r="I103" s="511"/>
      <c r="J103" s="520"/>
      <c r="K103" s="511"/>
      <c r="L103" s="520"/>
      <c r="M103" s="511"/>
      <c r="N103" s="520"/>
      <c r="O103" s="511"/>
      <c r="P103" s="520"/>
      <c r="Q103" s="511"/>
      <c r="R103" s="520"/>
      <c r="S103" s="511"/>
      <c r="T103" s="520"/>
      <c r="U103" s="513"/>
      <c r="V103" s="198"/>
      <c r="W103" s="947"/>
      <c r="X103" s="199"/>
    </row>
    <row r="104" spans="1:24" ht="15" customHeight="1" x14ac:dyDescent="0.2">
      <c r="A104" s="192" t="s">
        <v>52</v>
      </c>
      <c r="B104" s="206">
        <v>22</v>
      </c>
      <c r="C104" s="194">
        <f>B104/C$89</f>
        <v>0.48888888888888887</v>
      </c>
      <c r="D104" s="205">
        <v>18</v>
      </c>
      <c r="E104" s="195">
        <f>D104/E$89</f>
        <v>0.42857142857142855</v>
      </c>
      <c r="F104" s="206">
        <v>20</v>
      </c>
      <c r="G104" s="195">
        <f>F104/G$89</f>
        <v>0.44444444444444442</v>
      </c>
      <c r="H104" s="206">
        <v>18</v>
      </c>
      <c r="I104" s="195">
        <f>H104/I$89</f>
        <v>0.39130434782608697</v>
      </c>
      <c r="J104" s="206">
        <f>2+15</f>
        <v>17</v>
      </c>
      <c r="K104" s="195">
        <f>J104/K$89</f>
        <v>0.33333333333333331</v>
      </c>
      <c r="L104" s="206">
        <v>17</v>
      </c>
      <c r="M104" s="195">
        <f>L104/M$89</f>
        <v>0.32075471698113206</v>
      </c>
      <c r="N104" s="206">
        <f>3+17</f>
        <v>20</v>
      </c>
      <c r="O104" s="195">
        <f>N104/O$89</f>
        <v>0.38461538461538464</v>
      </c>
      <c r="P104" s="206">
        <v>22</v>
      </c>
      <c r="Q104" s="195">
        <f>P104/Q$89</f>
        <v>0.4</v>
      </c>
      <c r="R104" s="206">
        <v>21</v>
      </c>
      <c r="S104" s="195">
        <f>R104/S$89</f>
        <v>0.3559322033898305</v>
      </c>
      <c r="T104" s="206"/>
      <c r="U104" s="197" t="e">
        <f>T104/U$89</f>
        <v>#DIV/0!</v>
      </c>
      <c r="V104" s="198"/>
      <c r="W104" s="947">
        <f t="shared" si="52"/>
        <v>20</v>
      </c>
      <c r="X104" s="199" t="e">
        <f t="shared" si="53"/>
        <v>#DIV/0!</v>
      </c>
    </row>
    <row r="105" spans="1:24" ht="15" customHeight="1" x14ac:dyDescent="0.2">
      <c r="A105" s="192" t="s">
        <v>53</v>
      </c>
      <c r="B105" s="206">
        <v>7</v>
      </c>
      <c r="C105" s="194">
        <f>B105/C$89</f>
        <v>0.15555555555555556</v>
      </c>
      <c r="D105" s="205">
        <v>9</v>
      </c>
      <c r="E105" s="195">
        <f>D105/E$89</f>
        <v>0.21428571428571427</v>
      </c>
      <c r="F105" s="206">
        <v>8</v>
      </c>
      <c r="G105" s="195">
        <f>F105/G$89</f>
        <v>0.17777777777777778</v>
      </c>
      <c r="H105" s="206">
        <v>9</v>
      </c>
      <c r="I105" s="195">
        <f>H105/I$89</f>
        <v>0.19565217391304349</v>
      </c>
      <c r="J105" s="206">
        <f>9</f>
        <v>9</v>
      </c>
      <c r="K105" s="195">
        <f>J105/K$89</f>
        <v>0.17647058823529413</v>
      </c>
      <c r="L105" s="206">
        <v>9</v>
      </c>
      <c r="M105" s="195">
        <f>L105/M$89</f>
        <v>0.16981132075471697</v>
      </c>
      <c r="N105" s="206">
        <v>9</v>
      </c>
      <c r="O105" s="195">
        <f>N105/O$89</f>
        <v>0.17307692307692307</v>
      </c>
      <c r="P105" s="206">
        <v>9</v>
      </c>
      <c r="Q105" s="195">
        <f>P105/Q$89</f>
        <v>0.16363636363636364</v>
      </c>
      <c r="R105" s="206">
        <v>11</v>
      </c>
      <c r="S105" s="195">
        <f>R105/S$89</f>
        <v>0.1864406779661017</v>
      </c>
      <c r="T105" s="206"/>
      <c r="U105" s="197" t="e">
        <f>T105/U$89</f>
        <v>#DIV/0!</v>
      </c>
      <c r="V105" s="198"/>
      <c r="W105" s="947">
        <f t="shared" si="52"/>
        <v>9.5</v>
      </c>
      <c r="X105" s="199" t="e">
        <f t="shared" si="53"/>
        <v>#DIV/0!</v>
      </c>
    </row>
    <row r="106" spans="1:24" ht="15" customHeight="1" thickBot="1" x14ac:dyDescent="0.25">
      <c r="A106" s="521" t="s">
        <v>54</v>
      </c>
      <c r="B106" s="528">
        <v>16</v>
      </c>
      <c r="C106" s="523">
        <f>B106/C$89</f>
        <v>0.35555555555555557</v>
      </c>
      <c r="D106" s="527">
        <v>15</v>
      </c>
      <c r="E106" s="524">
        <f>D106/E$89</f>
        <v>0.35714285714285715</v>
      </c>
      <c r="F106" s="528">
        <v>17</v>
      </c>
      <c r="G106" s="524">
        <f>F106/G$89</f>
        <v>0.37777777777777777</v>
      </c>
      <c r="H106" s="528">
        <v>19</v>
      </c>
      <c r="I106" s="524">
        <f>H106/I$89</f>
        <v>0.41304347826086957</v>
      </c>
      <c r="J106" s="528">
        <f>9+16</f>
        <v>25</v>
      </c>
      <c r="K106" s="524">
        <f>J106/K$89</f>
        <v>0.49019607843137253</v>
      </c>
      <c r="L106" s="528">
        <v>27</v>
      </c>
      <c r="M106" s="524">
        <f>L106/M$89</f>
        <v>0.50943396226415094</v>
      </c>
      <c r="N106" s="528">
        <f>8+15</f>
        <v>23</v>
      </c>
      <c r="O106" s="524">
        <f>N106/O$89</f>
        <v>0.44230769230769229</v>
      </c>
      <c r="P106" s="528">
        <v>24</v>
      </c>
      <c r="Q106" s="524">
        <f>P106/Q$89</f>
        <v>0.43636363636363634</v>
      </c>
      <c r="R106" s="528">
        <v>27</v>
      </c>
      <c r="S106" s="524">
        <f>R106/S$89</f>
        <v>0.4576271186440678</v>
      </c>
      <c r="T106" s="528"/>
      <c r="U106" s="526" t="e">
        <f>T106/U$89</f>
        <v>#DIV/0!</v>
      </c>
      <c r="V106" s="198"/>
      <c r="W106" s="947">
        <f t="shared" si="52"/>
        <v>25.25</v>
      </c>
      <c r="X106" s="199" t="e">
        <f t="shared" si="53"/>
        <v>#DIV/0!</v>
      </c>
    </row>
    <row r="107" spans="1:24" ht="18" customHeight="1" x14ac:dyDescent="0.2">
      <c r="A107" s="723" t="s">
        <v>55</v>
      </c>
      <c r="B107" s="520"/>
      <c r="C107" s="510"/>
      <c r="D107" s="519"/>
      <c r="E107" s="511"/>
      <c r="F107" s="520"/>
      <c r="G107" s="511"/>
      <c r="H107" s="520"/>
      <c r="I107" s="511"/>
      <c r="J107" s="520"/>
      <c r="K107" s="511"/>
      <c r="L107" s="520"/>
      <c r="M107" s="511"/>
      <c r="N107" s="520"/>
      <c r="O107" s="511"/>
      <c r="P107" s="520"/>
      <c r="Q107" s="511"/>
      <c r="R107" s="520"/>
      <c r="S107" s="511"/>
      <c r="T107" s="520"/>
      <c r="U107" s="513"/>
      <c r="V107" s="198"/>
      <c r="W107" s="947"/>
      <c r="X107" s="199"/>
    </row>
    <row r="108" spans="1:24" ht="15" customHeight="1" x14ac:dyDescent="0.2">
      <c r="A108" s="192" t="s">
        <v>56</v>
      </c>
      <c r="B108" s="206">
        <v>31</v>
      </c>
      <c r="C108" s="194">
        <f>B108/C$89</f>
        <v>0.68888888888888888</v>
      </c>
      <c r="D108" s="205">
        <v>25</v>
      </c>
      <c r="E108" s="195">
        <f>D108/E$89</f>
        <v>0.59523809523809523</v>
      </c>
      <c r="F108" s="206">
        <v>26</v>
      </c>
      <c r="G108" s="195">
        <f>F108/G$89</f>
        <v>0.57777777777777772</v>
      </c>
      <c r="H108" s="206">
        <v>28</v>
      </c>
      <c r="I108" s="195">
        <f>H108/I$89</f>
        <v>0.60869565217391308</v>
      </c>
      <c r="J108" s="206">
        <f>5+26</f>
        <v>31</v>
      </c>
      <c r="K108" s="195">
        <f>J108/K$89</f>
        <v>0.60784313725490191</v>
      </c>
      <c r="L108" s="206">
        <v>32</v>
      </c>
      <c r="M108" s="195">
        <f>L108/M$89</f>
        <v>0.60377358490566035</v>
      </c>
      <c r="N108" s="206">
        <f>7+28</f>
        <v>35</v>
      </c>
      <c r="O108" s="195">
        <f>N108/O$89</f>
        <v>0.67307692307692313</v>
      </c>
      <c r="P108" s="206">
        <v>35</v>
      </c>
      <c r="Q108" s="195">
        <f>P108/Q$89</f>
        <v>0.63636363636363635</v>
      </c>
      <c r="R108" s="206">
        <v>38</v>
      </c>
      <c r="S108" s="195">
        <f>R108/S$89</f>
        <v>0.64406779661016944</v>
      </c>
      <c r="T108" s="206"/>
      <c r="U108" s="197" t="e">
        <f>T108/U$89</f>
        <v>#DIV/0!</v>
      </c>
      <c r="V108" s="198"/>
      <c r="W108" s="947">
        <f t="shared" si="52"/>
        <v>35</v>
      </c>
      <c r="X108" s="199" t="e">
        <f t="shared" si="53"/>
        <v>#DIV/0!</v>
      </c>
    </row>
    <row r="109" spans="1:24" ht="15" customHeight="1" x14ac:dyDescent="0.2">
      <c r="A109" s="192" t="s">
        <v>57</v>
      </c>
      <c r="B109" s="206">
        <v>14</v>
      </c>
      <c r="C109" s="194">
        <f>B109/C$89</f>
        <v>0.31111111111111112</v>
      </c>
      <c r="D109" s="205">
        <v>15</v>
      </c>
      <c r="E109" s="195">
        <f>D109/E$89</f>
        <v>0.35714285714285715</v>
      </c>
      <c r="F109" s="206">
        <v>18</v>
      </c>
      <c r="G109" s="195">
        <f>F109/G$89</f>
        <v>0.4</v>
      </c>
      <c r="H109" s="206">
        <v>18</v>
      </c>
      <c r="I109" s="195">
        <f>H109/I$89</f>
        <v>0.39130434782608697</v>
      </c>
      <c r="J109" s="206">
        <f>5+14</f>
        <v>19</v>
      </c>
      <c r="K109" s="195">
        <f>J109/K$89</f>
        <v>0.37254901960784315</v>
      </c>
      <c r="L109" s="206">
        <v>19</v>
      </c>
      <c r="M109" s="195">
        <f>L109/M$89</f>
        <v>0.35849056603773582</v>
      </c>
      <c r="N109" s="206">
        <f>4+12</f>
        <v>16</v>
      </c>
      <c r="O109" s="195">
        <f>N109/O$89</f>
        <v>0.30769230769230771</v>
      </c>
      <c r="P109" s="206">
        <v>19</v>
      </c>
      <c r="Q109" s="195">
        <f>P109/Q$89</f>
        <v>0.34545454545454546</v>
      </c>
      <c r="R109" s="206">
        <v>21</v>
      </c>
      <c r="S109" s="195">
        <f>R109/S$89</f>
        <v>0.3559322033898305</v>
      </c>
      <c r="T109" s="206"/>
      <c r="U109" s="197" t="e">
        <f>T109/U$89</f>
        <v>#DIV/0!</v>
      </c>
      <c r="V109" s="198"/>
      <c r="W109" s="947">
        <f t="shared" si="52"/>
        <v>18.75</v>
      </c>
      <c r="X109" s="199" t="e">
        <f t="shared" si="53"/>
        <v>#DIV/0!</v>
      </c>
    </row>
    <row r="110" spans="1:24" ht="15" customHeight="1" x14ac:dyDescent="0.2">
      <c r="A110" s="192" t="s">
        <v>58</v>
      </c>
      <c r="B110" s="206">
        <v>0</v>
      </c>
      <c r="C110" s="194">
        <f>B110/C$89</f>
        <v>0</v>
      </c>
      <c r="D110" s="205">
        <v>2</v>
      </c>
      <c r="E110" s="195">
        <f>D110/E$89</f>
        <v>4.7619047619047616E-2</v>
      </c>
      <c r="F110" s="206">
        <v>1</v>
      </c>
      <c r="G110" s="195">
        <f>F110/G$89</f>
        <v>2.2222222222222223E-2</v>
      </c>
      <c r="H110" s="206">
        <v>0</v>
      </c>
      <c r="I110" s="195">
        <f>H110/I$89</f>
        <v>0</v>
      </c>
      <c r="J110" s="206">
        <f>1</f>
        <v>1</v>
      </c>
      <c r="K110" s="195">
        <f>J110/K$89</f>
        <v>1.9607843137254902E-2</v>
      </c>
      <c r="L110" s="206">
        <v>2</v>
      </c>
      <c r="M110" s="195">
        <f>L110/M$89</f>
        <v>3.7735849056603772E-2</v>
      </c>
      <c r="N110" s="206">
        <v>1</v>
      </c>
      <c r="O110" s="195">
        <f>N110/O$89</f>
        <v>1.9230769230769232E-2</v>
      </c>
      <c r="P110" s="206">
        <v>1</v>
      </c>
      <c r="Q110" s="195">
        <f>P110/Q$89</f>
        <v>1.8181818181818181E-2</v>
      </c>
      <c r="R110" s="206">
        <v>0</v>
      </c>
      <c r="S110" s="195">
        <f>R110/S$89</f>
        <v>0</v>
      </c>
      <c r="T110" s="206"/>
      <c r="U110" s="197" t="e">
        <f>T110/U$89</f>
        <v>#DIV/0!</v>
      </c>
      <c r="V110" s="191"/>
      <c r="W110" s="947">
        <f t="shared" si="52"/>
        <v>1</v>
      </c>
      <c r="X110" s="199" t="e">
        <f t="shared" si="53"/>
        <v>#DIV/0!</v>
      </c>
    </row>
    <row r="111" spans="1:24" ht="15" customHeight="1" thickBot="1" x14ac:dyDescent="0.25">
      <c r="A111" s="207" t="s">
        <v>59</v>
      </c>
      <c r="B111" s="211">
        <v>0</v>
      </c>
      <c r="C111" s="209">
        <f>B111/C$89</f>
        <v>0</v>
      </c>
      <c r="D111" s="208">
        <v>0</v>
      </c>
      <c r="E111" s="210">
        <f>D111/E$89</f>
        <v>0</v>
      </c>
      <c r="F111" s="211">
        <v>0</v>
      </c>
      <c r="G111" s="210">
        <f>F111/G$89</f>
        <v>0</v>
      </c>
      <c r="H111" s="211">
        <v>0</v>
      </c>
      <c r="I111" s="210">
        <f>H111/I$89</f>
        <v>0</v>
      </c>
      <c r="J111" s="211">
        <f>0</f>
        <v>0</v>
      </c>
      <c r="K111" s="210">
        <f>J111/K$89</f>
        <v>0</v>
      </c>
      <c r="L111" s="211">
        <v>0</v>
      </c>
      <c r="M111" s="210">
        <f>L111/M$89</f>
        <v>0</v>
      </c>
      <c r="N111" s="211">
        <v>0</v>
      </c>
      <c r="O111" s="210">
        <f>N111/O$89</f>
        <v>0</v>
      </c>
      <c r="P111" s="211">
        <v>0</v>
      </c>
      <c r="Q111" s="210">
        <f>P111/Q$89</f>
        <v>0</v>
      </c>
      <c r="R111" s="211">
        <v>0</v>
      </c>
      <c r="S111" s="210">
        <f>R111/S$89</f>
        <v>0</v>
      </c>
      <c r="T111" s="211"/>
      <c r="U111" s="212" t="e">
        <f>T111/U$89</f>
        <v>#DIV/0!</v>
      </c>
      <c r="V111" s="191"/>
      <c r="W111" s="953">
        <f t="shared" si="52"/>
        <v>0</v>
      </c>
      <c r="X111" s="213" t="e">
        <f t="shared" si="53"/>
        <v>#DIV/0!</v>
      </c>
    </row>
    <row r="112" spans="1:24" ht="13.5" thickTop="1" x14ac:dyDescent="0.2">
      <c r="A112" s="488" t="s">
        <v>153</v>
      </c>
    </row>
    <row r="113" spans="1:20" x14ac:dyDescent="0.2">
      <c r="A113" s="126"/>
      <c r="H113" s="36" t="s">
        <v>14</v>
      </c>
      <c r="J113" s="36" t="s">
        <v>14</v>
      </c>
      <c r="L113" s="36" t="s">
        <v>14</v>
      </c>
      <c r="N113" s="36" t="s">
        <v>14</v>
      </c>
      <c r="P113" s="36" t="s">
        <v>14</v>
      </c>
      <c r="R113" s="36" t="s">
        <v>14</v>
      </c>
      <c r="T113" s="36" t="s">
        <v>14</v>
      </c>
    </row>
    <row r="114" spans="1:20" x14ac:dyDescent="0.2">
      <c r="A114" s="126"/>
    </row>
    <row r="115" spans="1:20" x14ac:dyDescent="0.2">
      <c r="A115" s="126"/>
    </row>
    <row r="116" spans="1:20" x14ac:dyDescent="0.2">
      <c r="A116" s="126"/>
    </row>
    <row r="117" spans="1:20" x14ac:dyDescent="0.2">
      <c r="A117" s="126"/>
    </row>
    <row r="118" spans="1:20" x14ac:dyDescent="0.2">
      <c r="A118" s="126"/>
    </row>
    <row r="119" spans="1:20" x14ac:dyDescent="0.2">
      <c r="A119" s="126"/>
    </row>
    <row r="120" spans="1:20" x14ac:dyDescent="0.2">
      <c r="A120" s="126"/>
    </row>
    <row r="121" spans="1:20" x14ac:dyDescent="0.2">
      <c r="A121" s="126"/>
    </row>
    <row r="122" spans="1:20" x14ac:dyDescent="0.2">
      <c r="A122" s="126"/>
    </row>
    <row r="123" spans="1:20" x14ac:dyDescent="0.2">
      <c r="A123" s="126"/>
    </row>
    <row r="124" spans="1:20" x14ac:dyDescent="0.2">
      <c r="A124" s="126"/>
    </row>
    <row r="125" spans="1:20" x14ac:dyDescent="0.2">
      <c r="A125" s="126"/>
    </row>
    <row r="126" spans="1:20" x14ac:dyDescent="0.2">
      <c r="A126" s="126"/>
    </row>
    <row r="127" spans="1:20" x14ac:dyDescent="0.2">
      <c r="A127" s="126"/>
    </row>
    <row r="128" spans="1:20" x14ac:dyDescent="0.2">
      <c r="A128" s="126"/>
    </row>
    <row r="129" spans="1:1" x14ac:dyDescent="0.2">
      <c r="A129" s="126"/>
    </row>
    <row r="130" spans="1:1" x14ac:dyDescent="0.2">
      <c r="A130" s="126"/>
    </row>
    <row r="131" spans="1:1" x14ac:dyDescent="0.2">
      <c r="A131" s="126"/>
    </row>
    <row r="132" spans="1:1" x14ac:dyDescent="0.2">
      <c r="A132" s="126"/>
    </row>
    <row r="133" spans="1:1" x14ac:dyDescent="0.2">
      <c r="A133" s="126"/>
    </row>
    <row r="134" spans="1:1" x14ac:dyDescent="0.2">
      <c r="A134" s="126"/>
    </row>
    <row r="135" spans="1:1" x14ac:dyDescent="0.2">
      <c r="A135" s="126"/>
    </row>
    <row r="136" spans="1:1" x14ac:dyDescent="0.2">
      <c r="A136" s="126"/>
    </row>
    <row r="137" spans="1:1" x14ac:dyDescent="0.2">
      <c r="A137" s="126"/>
    </row>
    <row r="138" spans="1:1" x14ac:dyDescent="0.2">
      <c r="A138" s="126"/>
    </row>
    <row r="139" spans="1:1" x14ac:dyDescent="0.2">
      <c r="A139" s="126"/>
    </row>
    <row r="140" spans="1:1" x14ac:dyDescent="0.2">
      <c r="A140" s="126"/>
    </row>
    <row r="141" spans="1:1" x14ac:dyDescent="0.2">
      <c r="A141" s="126"/>
    </row>
    <row r="142" spans="1:1" x14ac:dyDescent="0.2">
      <c r="A142" s="126"/>
    </row>
    <row r="143" spans="1:1" x14ac:dyDescent="0.2">
      <c r="A143" s="126"/>
    </row>
    <row r="144" spans="1:1" x14ac:dyDescent="0.2">
      <c r="A144" s="126"/>
    </row>
    <row r="145" spans="1:1" x14ac:dyDescent="0.2">
      <c r="A145" s="126"/>
    </row>
    <row r="146" spans="1:1" x14ac:dyDescent="0.2">
      <c r="A146" s="126"/>
    </row>
    <row r="147" spans="1:1" x14ac:dyDescent="0.2">
      <c r="A147" s="126"/>
    </row>
    <row r="148" spans="1:1" x14ac:dyDescent="0.2">
      <c r="A148" s="126"/>
    </row>
    <row r="149" spans="1:1" x14ac:dyDescent="0.2">
      <c r="A149" s="126"/>
    </row>
    <row r="150" spans="1:1" x14ac:dyDescent="0.2">
      <c r="A150" s="126"/>
    </row>
    <row r="151" spans="1:1" x14ac:dyDescent="0.2">
      <c r="A151" s="126"/>
    </row>
    <row r="152" spans="1:1" x14ac:dyDescent="0.2">
      <c r="A152" s="126"/>
    </row>
    <row r="153" spans="1:1" x14ac:dyDescent="0.2">
      <c r="A153" s="126"/>
    </row>
    <row r="154" spans="1:1" x14ac:dyDescent="0.2">
      <c r="A154" s="126"/>
    </row>
    <row r="155" spans="1:1" x14ac:dyDescent="0.2">
      <c r="A155" s="126"/>
    </row>
    <row r="156" spans="1:1" x14ac:dyDescent="0.2">
      <c r="A156" s="126"/>
    </row>
    <row r="157" spans="1:1" x14ac:dyDescent="0.2">
      <c r="A157" s="126"/>
    </row>
    <row r="158" spans="1:1" x14ac:dyDescent="0.2">
      <c r="A158" s="126"/>
    </row>
    <row r="159" spans="1:1" x14ac:dyDescent="0.2">
      <c r="A159" s="126"/>
    </row>
    <row r="160" spans="1:1" x14ac:dyDescent="0.2">
      <c r="A160" s="126"/>
    </row>
    <row r="161" spans="1:1" x14ac:dyDescent="0.2">
      <c r="A161" s="126"/>
    </row>
    <row r="162" spans="1:1" x14ac:dyDescent="0.2">
      <c r="A162" s="126"/>
    </row>
    <row r="163" spans="1:1" x14ac:dyDescent="0.2">
      <c r="A163" s="126"/>
    </row>
    <row r="164" spans="1:1" x14ac:dyDescent="0.2">
      <c r="A164" s="126"/>
    </row>
    <row r="165" spans="1:1" x14ac:dyDescent="0.2">
      <c r="A165" s="126"/>
    </row>
    <row r="166" spans="1:1" x14ac:dyDescent="0.2">
      <c r="A166" s="126"/>
    </row>
    <row r="167" spans="1:1" x14ac:dyDescent="0.2">
      <c r="A167" s="126"/>
    </row>
    <row r="168" spans="1:1" x14ac:dyDescent="0.2">
      <c r="A168" s="126"/>
    </row>
    <row r="169" spans="1:1" x14ac:dyDescent="0.2">
      <c r="A169" s="126"/>
    </row>
    <row r="170" spans="1:1" x14ac:dyDescent="0.2">
      <c r="A170" s="126"/>
    </row>
    <row r="171" spans="1:1" x14ac:dyDescent="0.2">
      <c r="A171" s="126"/>
    </row>
    <row r="172" spans="1:1" x14ac:dyDescent="0.2">
      <c r="A172" s="126"/>
    </row>
    <row r="173" spans="1:1" x14ac:dyDescent="0.2">
      <c r="A173" s="126"/>
    </row>
    <row r="174" spans="1:1" x14ac:dyDescent="0.2">
      <c r="A174" s="126"/>
    </row>
    <row r="175" spans="1:1" x14ac:dyDescent="0.2">
      <c r="A175" s="126"/>
    </row>
    <row r="176" spans="1:1" x14ac:dyDescent="0.2">
      <c r="A176" s="126"/>
    </row>
    <row r="177" spans="1:1" x14ac:dyDescent="0.2">
      <c r="A177" s="126"/>
    </row>
    <row r="178" spans="1:1" x14ac:dyDescent="0.2">
      <c r="A178" s="126"/>
    </row>
    <row r="179" spans="1:1" x14ac:dyDescent="0.2">
      <c r="A179" s="126"/>
    </row>
    <row r="180" spans="1:1" x14ac:dyDescent="0.2">
      <c r="A180" s="126"/>
    </row>
    <row r="181" spans="1:1" x14ac:dyDescent="0.2">
      <c r="A181" s="126"/>
    </row>
    <row r="182" spans="1:1" x14ac:dyDescent="0.2">
      <c r="A182" s="126"/>
    </row>
    <row r="183" spans="1:1" x14ac:dyDescent="0.2">
      <c r="A183" s="126"/>
    </row>
    <row r="184" spans="1:1" x14ac:dyDescent="0.2">
      <c r="A184" s="126"/>
    </row>
    <row r="185" spans="1:1" x14ac:dyDescent="0.2">
      <c r="A185" s="126"/>
    </row>
    <row r="186" spans="1:1" x14ac:dyDescent="0.2">
      <c r="A186" s="126"/>
    </row>
    <row r="187" spans="1:1" x14ac:dyDescent="0.2">
      <c r="A187" s="126"/>
    </row>
    <row r="188" spans="1:1" x14ac:dyDescent="0.2">
      <c r="A188" s="126"/>
    </row>
    <row r="189" spans="1:1" x14ac:dyDescent="0.2">
      <c r="A189" s="126"/>
    </row>
    <row r="190" spans="1:1" x14ac:dyDescent="0.2">
      <c r="A190" s="126"/>
    </row>
    <row r="191" spans="1:1" x14ac:dyDescent="0.2">
      <c r="A191" s="126"/>
    </row>
    <row r="192" spans="1:1" x14ac:dyDescent="0.2">
      <c r="A192" s="126"/>
    </row>
    <row r="193" spans="1:1" x14ac:dyDescent="0.2">
      <c r="A193" s="126"/>
    </row>
    <row r="194" spans="1:1" x14ac:dyDescent="0.2">
      <c r="A194" s="126"/>
    </row>
    <row r="195" spans="1:1" x14ac:dyDescent="0.2">
      <c r="A195" s="126"/>
    </row>
    <row r="196" spans="1:1" x14ac:dyDescent="0.2">
      <c r="A196" s="126"/>
    </row>
    <row r="197" spans="1:1" x14ac:dyDescent="0.2">
      <c r="A197" s="126"/>
    </row>
    <row r="198" spans="1:1" x14ac:dyDescent="0.2">
      <c r="A198" s="126"/>
    </row>
    <row r="199" spans="1:1" x14ac:dyDescent="0.2">
      <c r="A199" s="126"/>
    </row>
    <row r="200" spans="1:1" x14ac:dyDescent="0.2">
      <c r="A200" s="126"/>
    </row>
    <row r="201" spans="1:1" x14ac:dyDescent="0.2">
      <c r="A201" s="126"/>
    </row>
    <row r="202" spans="1:1" x14ac:dyDescent="0.2">
      <c r="A202" s="126"/>
    </row>
    <row r="203" spans="1:1" x14ac:dyDescent="0.2">
      <c r="A203" s="126"/>
    </row>
    <row r="204" spans="1:1" x14ac:dyDescent="0.2">
      <c r="A204" s="126"/>
    </row>
    <row r="205" spans="1:1" x14ac:dyDescent="0.2">
      <c r="A205" s="126"/>
    </row>
    <row r="206" spans="1:1" x14ac:dyDescent="0.2">
      <c r="A206" s="126"/>
    </row>
    <row r="207" spans="1:1" x14ac:dyDescent="0.2">
      <c r="A207" s="126"/>
    </row>
    <row r="208" spans="1:1" x14ac:dyDescent="0.2">
      <c r="A208" s="126"/>
    </row>
    <row r="209" spans="1:1" x14ac:dyDescent="0.2">
      <c r="A209" s="126"/>
    </row>
    <row r="210" spans="1:1" x14ac:dyDescent="0.2">
      <c r="A210" s="126"/>
    </row>
    <row r="211" spans="1:1" x14ac:dyDescent="0.2">
      <c r="A211" s="126"/>
    </row>
    <row r="212" spans="1:1" x14ac:dyDescent="0.2">
      <c r="A212" s="126"/>
    </row>
    <row r="213" spans="1:1" x14ac:dyDescent="0.2">
      <c r="A213" s="126"/>
    </row>
    <row r="214" spans="1:1" x14ac:dyDescent="0.2">
      <c r="A214" s="126"/>
    </row>
    <row r="215" spans="1:1" x14ac:dyDescent="0.2">
      <c r="A215" s="126"/>
    </row>
    <row r="216" spans="1:1" x14ac:dyDescent="0.2">
      <c r="A216" s="126"/>
    </row>
    <row r="217" spans="1:1" x14ac:dyDescent="0.2">
      <c r="A217" s="126"/>
    </row>
    <row r="218" spans="1:1" x14ac:dyDescent="0.2">
      <c r="A218" s="126"/>
    </row>
    <row r="219" spans="1:1" x14ac:dyDescent="0.2">
      <c r="A219" s="126"/>
    </row>
    <row r="220" spans="1:1" x14ac:dyDescent="0.2">
      <c r="A220" s="126"/>
    </row>
    <row r="221" spans="1:1" x14ac:dyDescent="0.2">
      <c r="A221" s="126"/>
    </row>
    <row r="222" spans="1:1" x14ac:dyDescent="0.2">
      <c r="A222" s="126"/>
    </row>
    <row r="223" spans="1:1" x14ac:dyDescent="0.2">
      <c r="A223" s="126"/>
    </row>
    <row r="224" spans="1:1" x14ac:dyDescent="0.2">
      <c r="A224" s="126"/>
    </row>
    <row r="225" spans="1:1" x14ac:dyDescent="0.2">
      <c r="A225" s="126"/>
    </row>
    <row r="226" spans="1:1" x14ac:dyDescent="0.2">
      <c r="A226" s="126"/>
    </row>
    <row r="227" spans="1:1" x14ac:dyDescent="0.2">
      <c r="A227" s="126"/>
    </row>
    <row r="228" spans="1:1" x14ac:dyDescent="0.2">
      <c r="A228" s="126"/>
    </row>
    <row r="229" spans="1:1" x14ac:dyDescent="0.2">
      <c r="A229" s="126"/>
    </row>
    <row r="230" spans="1:1" x14ac:dyDescent="0.2">
      <c r="A230" s="126"/>
    </row>
    <row r="231" spans="1:1" x14ac:dyDescent="0.2">
      <c r="A231" s="126"/>
    </row>
    <row r="232" spans="1:1" x14ac:dyDescent="0.2">
      <c r="A232" s="126"/>
    </row>
    <row r="233" spans="1:1" x14ac:dyDescent="0.2">
      <c r="A233" s="126"/>
    </row>
    <row r="234" spans="1:1" x14ac:dyDescent="0.2">
      <c r="A234" s="126"/>
    </row>
    <row r="235" spans="1:1" x14ac:dyDescent="0.2">
      <c r="A235" s="126"/>
    </row>
    <row r="236" spans="1:1" x14ac:dyDescent="0.2">
      <c r="A236" s="126"/>
    </row>
    <row r="237" spans="1:1" x14ac:dyDescent="0.2">
      <c r="A237" s="126"/>
    </row>
    <row r="238" spans="1:1" x14ac:dyDescent="0.2">
      <c r="A238" s="126"/>
    </row>
    <row r="239" spans="1:1" x14ac:dyDescent="0.2">
      <c r="A239" s="126"/>
    </row>
    <row r="240" spans="1:1" x14ac:dyDescent="0.2">
      <c r="A240" s="126"/>
    </row>
    <row r="241" spans="1:1" x14ac:dyDescent="0.2">
      <c r="A241" s="126"/>
    </row>
    <row r="242" spans="1:1" x14ac:dyDescent="0.2">
      <c r="A242" s="126"/>
    </row>
    <row r="243" spans="1:1" x14ac:dyDescent="0.2">
      <c r="A243" s="126"/>
    </row>
    <row r="244" spans="1:1" x14ac:dyDescent="0.2">
      <c r="A244" s="126"/>
    </row>
    <row r="245" spans="1:1" x14ac:dyDescent="0.2">
      <c r="A245" s="126"/>
    </row>
    <row r="246" spans="1:1" x14ac:dyDescent="0.2">
      <c r="A246" s="126"/>
    </row>
    <row r="247" spans="1:1" x14ac:dyDescent="0.2">
      <c r="A247" s="126"/>
    </row>
    <row r="248" spans="1:1" x14ac:dyDescent="0.2">
      <c r="A248" s="126"/>
    </row>
    <row r="249" spans="1:1" x14ac:dyDescent="0.2">
      <c r="A249" s="126"/>
    </row>
    <row r="250" spans="1:1" x14ac:dyDescent="0.2">
      <c r="A250" s="126"/>
    </row>
    <row r="251" spans="1:1" x14ac:dyDescent="0.2">
      <c r="A251" s="126"/>
    </row>
    <row r="252" spans="1:1" x14ac:dyDescent="0.2">
      <c r="A252" s="126"/>
    </row>
    <row r="253" spans="1:1" x14ac:dyDescent="0.2">
      <c r="A253" s="126"/>
    </row>
    <row r="254" spans="1:1" x14ac:dyDescent="0.2">
      <c r="A254" s="126"/>
    </row>
    <row r="255" spans="1:1" x14ac:dyDescent="0.2">
      <c r="A255" s="126"/>
    </row>
    <row r="256" spans="1:1" x14ac:dyDescent="0.2">
      <c r="A256" s="126"/>
    </row>
    <row r="257" spans="1:1" x14ac:dyDescent="0.2">
      <c r="A257" s="126"/>
    </row>
    <row r="258" spans="1:1" x14ac:dyDescent="0.2">
      <c r="A258" s="126"/>
    </row>
    <row r="259" spans="1:1" x14ac:dyDescent="0.2">
      <c r="A259" s="126"/>
    </row>
    <row r="260" spans="1:1" x14ac:dyDescent="0.2">
      <c r="A260" s="126"/>
    </row>
    <row r="261" spans="1:1" x14ac:dyDescent="0.2">
      <c r="A261" s="126"/>
    </row>
    <row r="262" spans="1:1" x14ac:dyDescent="0.2">
      <c r="A262" s="126"/>
    </row>
    <row r="263" spans="1:1" x14ac:dyDescent="0.2">
      <c r="A263" s="126"/>
    </row>
    <row r="264" spans="1:1" x14ac:dyDescent="0.2">
      <c r="A264" s="126"/>
    </row>
    <row r="265" spans="1:1" x14ac:dyDescent="0.2">
      <c r="A265" s="126"/>
    </row>
    <row r="266" spans="1:1" x14ac:dyDescent="0.2">
      <c r="A266" s="126"/>
    </row>
    <row r="267" spans="1:1" x14ac:dyDescent="0.2">
      <c r="A267" s="126"/>
    </row>
    <row r="268" spans="1:1" x14ac:dyDescent="0.2">
      <c r="A268" s="126"/>
    </row>
    <row r="269" spans="1:1" x14ac:dyDescent="0.2">
      <c r="A269" s="126"/>
    </row>
    <row r="270" spans="1:1" x14ac:dyDescent="0.2">
      <c r="A270" s="126"/>
    </row>
    <row r="271" spans="1:1" x14ac:dyDescent="0.2">
      <c r="A271" s="126"/>
    </row>
    <row r="272" spans="1:1" x14ac:dyDescent="0.2">
      <c r="A272" s="126"/>
    </row>
    <row r="273" spans="1:1" x14ac:dyDescent="0.2">
      <c r="A273" s="126"/>
    </row>
    <row r="274" spans="1:1" x14ac:dyDescent="0.2">
      <c r="A274" s="126"/>
    </row>
    <row r="275" spans="1:1" x14ac:dyDescent="0.2">
      <c r="A275" s="126"/>
    </row>
    <row r="276" spans="1:1" x14ac:dyDescent="0.2">
      <c r="A276" s="126"/>
    </row>
    <row r="277" spans="1:1" x14ac:dyDescent="0.2">
      <c r="A277" s="126"/>
    </row>
    <row r="278" spans="1:1" x14ac:dyDescent="0.2">
      <c r="A278" s="126"/>
    </row>
    <row r="279" spans="1:1" x14ac:dyDescent="0.2">
      <c r="A279" s="126"/>
    </row>
    <row r="280" spans="1:1" x14ac:dyDescent="0.2">
      <c r="A280" s="126"/>
    </row>
    <row r="281" spans="1:1" x14ac:dyDescent="0.2">
      <c r="A281" s="126"/>
    </row>
    <row r="282" spans="1:1" x14ac:dyDescent="0.2">
      <c r="A282" s="126"/>
    </row>
    <row r="283" spans="1:1" x14ac:dyDescent="0.2">
      <c r="A283" s="126"/>
    </row>
    <row r="284" spans="1:1" x14ac:dyDescent="0.2">
      <c r="A284" s="126"/>
    </row>
    <row r="285" spans="1:1" x14ac:dyDescent="0.2">
      <c r="A285" s="126"/>
    </row>
    <row r="286" spans="1:1" x14ac:dyDescent="0.2">
      <c r="A286" s="126"/>
    </row>
    <row r="287" spans="1:1" x14ac:dyDescent="0.2">
      <c r="A287" s="126"/>
    </row>
    <row r="288" spans="1:1" x14ac:dyDescent="0.2">
      <c r="A288" s="126"/>
    </row>
    <row r="289" spans="1:1" x14ac:dyDescent="0.2">
      <c r="A289" s="126"/>
    </row>
    <row r="290" spans="1:1" x14ac:dyDescent="0.2">
      <c r="A290" s="126"/>
    </row>
    <row r="291" spans="1:1" x14ac:dyDescent="0.2">
      <c r="A291" s="126"/>
    </row>
    <row r="292" spans="1:1" x14ac:dyDescent="0.2">
      <c r="A292" s="126"/>
    </row>
    <row r="293" spans="1:1" x14ac:dyDescent="0.2">
      <c r="A293" s="126"/>
    </row>
    <row r="294" spans="1:1" x14ac:dyDescent="0.2">
      <c r="A294" s="126"/>
    </row>
    <row r="295" spans="1:1" x14ac:dyDescent="0.2">
      <c r="A295" s="126"/>
    </row>
    <row r="296" spans="1:1" x14ac:dyDescent="0.2">
      <c r="A296" s="126"/>
    </row>
    <row r="297" spans="1:1" x14ac:dyDescent="0.2">
      <c r="A297" s="126"/>
    </row>
    <row r="298" spans="1:1" x14ac:dyDescent="0.2">
      <c r="A298" s="126"/>
    </row>
    <row r="299" spans="1:1" x14ac:dyDescent="0.2">
      <c r="A299" s="126"/>
    </row>
    <row r="300" spans="1:1" x14ac:dyDescent="0.2">
      <c r="A300" s="126"/>
    </row>
    <row r="301" spans="1:1" x14ac:dyDescent="0.2">
      <c r="A301" s="126"/>
    </row>
    <row r="302" spans="1:1" x14ac:dyDescent="0.2">
      <c r="A302" s="126"/>
    </row>
    <row r="303" spans="1:1" x14ac:dyDescent="0.2">
      <c r="A303" s="126"/>
    </row>
    <row r="304" spans="1:1" x14ac:dyDescent="0.2">
      <c r="A304" s="126"/>
    </row>
    <row r="305" spans="1:1" x14ac:dyDescent="0.2">
      <c r="A305" s="126"/>
    </row>
    <row r="306" spans="1:1" x14ac:dyDescent="0.2">
      <c r="A306" s="126"/>
    </row>
    <row r="307" spans="1:1" x14ac:dyDescent="0.2">
      <c r="A307" s="126"/>
    </row>
    <row r="308" spans="1:1" x14ac:dyDescent="0.2">
      <c r="A308" s="126"/>
    </row>
    <row r="309" spans="1:1" x14ac:dyDescent="0.2">
      <c r="A309" s="126"/>
    </row>
    <row r="310" spans="1:1" x14ac:dyDescent="0.2">
      <c r="A310" s="126"/>
    </row>
    <row r="311" spans="1:1" x14ac:dyDescent="0.2">
      <c r="A311" s="126"/>
    </row>
    <row r="312" spans="1:1" x14ac:dyDescent="0.2">
      <c r="A312" s="126"/>
    </row>
    <row r="313" spans="1:1" x14ac:dyDescent="0.2">
      <c r="A313" s="126"/>
    </row>
    <row r="314" spans="1:1" x14ac:dyDescent="0.2">
      <c r="A314" s="126"/>
    </row>
    <row r="315" spans="1:1" x14ac:dyDescent="0.2">
      <c r="A315" s="126"/>
    </row>
    <row r="316" spans="1:1" x14ac:dyDescent="0.2">
      <c r="A316" s="126"/>
    </row>
    <row r="317" spans="1:1" x14ac:dyDescent="0.2">
      <c r="A317" s="126"/>
    </row>
    <row r="318" spans="1:1" x14ac:dyDescent="0.2">
      <c r="A318" s="126"/>
    </row>
    <row r="319" spans="1:1" x14ac:dyDescent="0.2">
      <c r="A319" s="126"/>
    </row>
    <row r="320" spans="1:1" x14ac:dyDescent="0.2">
      <c r="A320" s="126"/>
    </row>
    <row r="321" spans="1:1" x14ac:dyDescent="0.2">
      <c r="A321" s="126"/>
    </row>
    <row r="322" spans="1:1" x14ac:dyDescent="0.2">
      <c r="A322" s="126"/>
    </row>
    <row r="323" spans="1:1" x14ac:dyDescent="0.2">
      <c r="A323" s="126"/>
    </row>
    <row r="324" spans="1:1" x14ac:dyDescent="0.2">
      <c r="A324" s="126"/>
    </row>
    <row r="325" spans="1:1" x14ac:dyDescent="0.2">
      <c r="A325" s="126"/>
    </row>
    <row r="326" spans="1:1" x14ac:dyDescent="0.2">
      <c r="A326" s="126"/>
    </row>
    <row r="327" spans="1:1" x14ac:dyDescent="0.2">
      <c r="A327" s="126"/>
    </row>
    <row r="328" spans="1:1" x14ac:dyDescent="0.2">
      <c r="A328" s="126"/>
    </row>
    <row r="329" spans="1:1" x14ac:dyDescent="0.2">
      <c r="A329" s="126"/>
    </row>
    <row r="330" spans="1:1" x14ac:dyDescent="0.2">
      <c r="A330" s="126"/>
    </row>
    <row r="331" spans="1:1" x14ac:dyDescent="0.2">
      <c r="A331" s="126"/>
    </row>
    <row r="332" spans="1:1" x14ac:dyDescent="0.2">
      <c r="A332" s="126"/>
    </row>
    <row r="333" spans="1:1" x14ac:dyDescent="0.2">
      <c r="A333" s="126"/>
    </row>
    <row r="334" spans="1:1" x14ac:dyDescent="0.2">
      <c r="A334" s="126"/>
    </row>
    <row r="335" spans="1:1" x14ac:dyDescent="0.2">
      <c r="A335" s="126"/>
    </row>
    <row r="336" spans="1:1" x14ac:dyDescent="0.2">
      <c r="A336" s="126"/>
    </row>
    <row r="337" spans="1:1" x14ac:dyDescent="0.2">
      <c r="A337" s="126"/>
    </row>
    <row r="338" spans="1:1" x14ac:dyDescent="0.2">
      <c r="A338" s="126"/>
    </row>
    <row r="339" spans="1:1" x14ac:dyDescent="0.2">
      <c r="A339" s="126"/>
    </row>
    <row r="340" spans="1:1" x14ac:dyDescent="0.2">
      <c r="A340" s="126"/>
    </row>
    <row r="341" spans="1:1" x14ac:dyDescent="0.2">
      <c r="A341" s="126"/>
    </row>
    <row r="342" spans="1:1" x14ac:dyDescent="0.2">
      <c r="A342" s="126"/>
    </row>
    <row r="343" spans="1:1" x14ac:dyDescent="0.2">
      <c r="A343" s="126"/>
    </row>
    <row r="344" spans="1:1" x14ac:dyDescent="0.2">
      <c r="A344" s="126"/>
    </row>
    <row r="345" spans="1:1" x14ac:dyDescent="0.2">
      <c r="A345" s="126"/>
    </row>
    <row r="346" spans="1:1" x14ac:dyDescent="0.2">
      <c r="A346" s="126"/>
    </row>
    <row r="347" spans="1:1" x14ac:dyDescent="0.2">
      <c r="A347" s="126"/>
    </row>
    <row r="348" spans="1:1" x14ac:dyDescent="0.2">
      <c r="A348" s="126"/>
    </row>
    <row r="349" spans="1:1" x14ac:dyDescent="0.2">
      <c r="A349" s="126"/>
    </row>
    <row r="350" spans="1:1" x14ac:dyDescent="0.2">
      <c r="A350" s="126"/>
    </row>
    <row r="351" spans="1:1" x14ac:dyDescent="0.2">
      <c r="A351" s="126"/>
    </row>
    <row r="352" spans="1:1" x14ac:dyDescent="0.2">
      <c r="A352" s="126"/>
    </row>
    <row r="353" spans="1:1" x14ac:dyDescent="0.2">
      <c r="A353" s="126"/>
    </row>
    <row r="354" spans="1:1" x14ac:dyDescent="0.2">
      <c r="A354" s="126"/>
    </row>
    <row r="355" spans="1:1" x14ac:dyDescent="0.2">
      <c r="A355" s="126"/>
    </row>
    <row r="356" spans="1:1" x14ac:dyDescent="0.2">
      <c r="A356" s="126"/>
    </row>
    <row r="357" spans="1:1" x14ac:dyDescent="0.2">
      <c r="A357" s="126"/>
    </row>
    <row r="358" spans="1:1" x14ac:dyDescent="0.2">
      <c r="A358" s="126"/>
    </row>
    <row r="359" spans="1:1" x14ac:dyDescent="0.2">
      <c r="A359" s="126"/>
    </row>
    <row r="360" spans="1:1" x14ac:dyDescent="0.2">
      <c r="A360" s="126"/>
    </row>
    <row r="361" spans="1:1" x14ac:dyDescent="0.2">
      <c r="A361" s="126"/>
    </row>
    <row r="362" spans="1:1" x14ac:dyDescent="0.2">
      <c r="A362" s="126"/>
    </row>
    <row r="363" spans="1:1" x14ac:dyDescent="0.2">
      <c r="A363" s="126"/>
    </row>
    <row r="364" spans="1:1" x14ac:dyDescent="0.2">
      <c r="A364" s="126"/>
    </row>
    <row r="365" spans="1:1" x14ac:dyDescent="0.2">
      <c r="A365" s="126"/>
    </row>
    <row r="366" spans="1:1" x14ac:dyDescent="0.2">
      <c r="A366" s="126"/>
    </row>
    <row r="367" spans="1:1" x14ac:dyDescent="0.2">
      <c r="A367" s="126"/>
    </row>
    <row r="368" spans="1:1" x14ac:dyDescent="0.2">
      <c r="A368" s="126"/>
    </row>
    <row r="369" spans="1:1" x14ac:dyDescent="0.2">
      <c r="A369" s="126"/>
    </row>
    <row r="370" spans="1:1" x14ac:dyDescent="0.2">
      <c r="A370" s="126"/>
    </row>
    <row r="371" spans="1:1" x14ac:dyDescent="0.2">
      <c r="A371" s="126"/>
    </row>
    <row r="372" spans="1:1" x14ac:dyDescent="0.2">
      <c r="A372" s="126"/>
    </row>
    <row r="373" spans="1:1" x14ac:dyDescent="0.2">
      <c r="A373" s="126"/>
    </row>
    <row r="374" spans="1:1" x14ac:dyDescent="0.2">
      <c r="A374" s="126"/>
    </row>
    <row r="375" spans="1:1" x14ac:dyDescent="0.2">
      <c r="A375" s="126"/>
    </row>
    <row r="376" spans="1:1" x14ac:dyDescent="0.2">
      <c r="A376" s="126"/>
    </row>
    <row r="377" spans="1:1" x14ac:dyDescent="0.2">
      <c r="A377" s="126"/>
    </row>
    <row r="378" spans="1:1" x14ac:dyDescent="0.2">
      <c r="A378" s="126"/>
    </row>
    <row r="379" spans="1:1" x14ac:dyDescent="0.2">
      <c r="A379" s="126"/>
    </row>
    <row r="380" spans="1:1" x14ac:dyDescent="0.2">
      <c r="A380" s="126"/>
    </row>
    <row r="381" spans="1:1" x14ac:dyDescent="0.2">
      <c r="A381" s="126"/>
    </row>
    <row r="382" spans="1:1" x14ac:dyDescent="0.2">
      <c r="A382" s="126"/>
    </row>
    <row r="383" spans="1:1" x14ac:dyDescent="0.2">
      <c r="A383" s="126"/>
    </row>
    <row r="384" spans="1:1" x14ac:dyDescent="0.2">
      <c r="A384" s="126"/>
    </row>
    <row r="385" spans="1:1" x14ac:dyDescent="0.2">
      <c r="A385" s="126"/>
    </row>
    <row r="386" spans="1:1" x14ac:dyDescent="0.2">
      <c r="A386" s="126"/>
    </row>
    <row r="387" spans="1:1" x14ac:dyDescent="0.2">
      <c r="A387" s="126"/>
    </row>
    <row r="388" spans="1:1" x14ac:dyDescent="0.2">
      <c r="A388" s="126"/>
    </row>
    <row r="389" spans="1:1" x14ac:dyDescent="0.2">
      <c r="A389" s="126"/>
    </row>
    <row r="390" spans="1:1" x14ac:dyDescent="0.2">
      <c r="A390" s="126"/>
    </row>
    <row r="391" spans="1:1" x14ac:dyDescent="0.2">
      <c r="A391" s="126"/>
    </row>
    <row r="392" spans="1:1" x14ac:dyDescent="0.2">
      <c r="A392" s="126"/>
    </row>
    <row r="393" spans="1:1" x14ac:dyDescent="0.2">
      <c r="A393" s="126"/>
    </row>
    <row r="394" spans="1:1" x14ac:dyDescent="0.2">
      <c r="A394" s="126"/>
    </row>
    <row r="395" spans="1:1" x14ac:dyDescent="0.2">
      <c r="A395" s="126"/>
    </row>
    <row r="396" spans="1:1" x14ac:dyDescent="0.2">
      <c r="A396" s="126"/>
    </row>
    <row r="397" spans="1:1" x14ac:dyDescent="0.2">
      <c r="A397" s="126"/>
    </row>
    <row r="398" spans="1:1" x14ac:dyDescent="0.2">
      <c r="A398" s="126"/>
    </row>
    <row r="399" spans="1:1" x14ac:dyDescent="0.2">
      <c r="A399" s="126"/>
    </row>
    <row r="400" spans="1:1" x14ac:dyDescent="0.2">
      <c r="A400" s="126"/>
    </row>
    <row r="401" spans="1:1" x14ac:dyDescent="0.2">
      <c r="A401" s="126"/>
    </row>
    <row r="402" spans="1:1" x14ac:dyDescent="0.2">
      <c r="A402" s="126"/>
    </row>
    <row r="403" spans="1:1" x14ac:dyDescent="0.2">
      <c r="A403" s="126"/>
    </row>
    <row r="404" spans="1:1" x14ac:dyDescent="0.2">
      <c r="A404" s="126"/>
    </row>
    <row r="405" spans="1:1" x14ac:dyDescent="0.2">
      <c r="A405" s="126"/>
    </row>
    <row r="406" spans="1:1" x14ac:dyDescent="0.2">
      <c r="A406" s="126"/>
    </row>
    <row r="407" spans="1:1" x14ac:dyDescent="0.2">
      <c r="A407" s="126"/>
    </row>
    <row r="408" spans="1:1" x14ac:dyDescent="0.2">
      <c r="A408" s="126"/>
    </row>
    <row r="409" spans="1:1" x14ac:dyDescent="0.2">
      <c r="A409" s="126"/>
    </row>
    <row r="410" spans="1:1" x14ac:dyDescent="0.2">
      <c r="A410" s="126"/>
    </row>
    <row r="411" spans="1:1" x14ac:dyDescent="0.2">
      <c r="A411" s="126"/>
    </row>
    <row r="412" spans="1:1" x14ac:dyDescent="0.2">
      <c r="A412" s="126"/>
    </row>
    <row r="413" spans="1:1" x14ac:dyDescent="0.2">
      <c r="A413" s="126"/>
    </row>
    <row r="414" spans="1:1" x14ac:dyDescent="0.2">
      <c r="A414" s="126"/>
    </row>
    <row r="415" spans="1:1" x14ac:dyDescent="0.2">
      <c r="A415" s="126"/>
    </row>
    <row r="416" spans="1:1" x14ac:dyDescent="0.2">
      <c r="A416" s="126"/>
    </row>
    <row r="417" spans="1:1" x14ac:dyDescent="0.2">
      <c r="A417" s="126"/>
    </row>
    <row r="418" spans="1:1" x14ac:dyDescent="0.2">
      <c r="A418" s="126"/>
    </row>
    <row r="419" spans="1:1" x14ac:dyDescent="0.2">
      <c r="A419" s="126"/>
    </row>
    <row r="420" spans="1:1" x14ac:dyDescent="0.2">
      <c r="A420" s="126"/>
    </row>
    <row r="421" spans="1:1" x14ac:dyDescent="0.2">
      <c r="A421" s="126"/>
    </row>
    <row r="422" spans="1:1" x14ac:dyDescent="0.2">
      <c r="A422" s="126"/>
    </row>
    <row r="423" spans="1:1" x14ac:dyDescent="0.2">
      <c r="A423" s="126"/>
    </row>
    <row r="424" spans="1:1" x14ac:dyDescent="0.2">
      <c r="A424" s="126"/>
    </row>
    <row r="425" spans="1:1" x14ac:dyDescent="0.2">
      <c r="A425" s="126"/>
    </row>
    <row r="426" spans="1:1" x14ac:dyDescent="0.2">
      <c r="A426" s="126"/>
    </row>
    <row r="427" spans="1:1" x14ac:dyDescent="0.2">
      <c r="A427" s="126"/>
    </row>
    <row r="428" spans="1:1" x14ac:dyDescent="0.2">
      <c r="A428" s="126"/>
    </row>
    <row r="429" spans="1:1" x14ac:dyDescent="0.2">
      <c r="A429" s="126"/>
    </row>
    <row r="430" spans="1:1" x14ac:dyDescent="0.2">
      <c r="A430" s="126"/>
    </row>
    <row r="431" spans="1:1" x14ac:dyDescent="0.2">
      <c r="A431" s="126"/>
    </row>
    <row r="432" spans="1:1" x14ac:dyDescent="0.2">
      <c r="A432" s="126"/>
    </row>
    <row r="433" spans="1:1" x14ac:dyDescent="0.2">
      <c r="A433" s="126"/>
    </row>
    <row r="434" spans="1:1" x14ac:dyDescent="0.2">
      <c r="A434" s="126"/>
    </row>
    <row r="435" spans="1:1" x14ac:dyDescent="0.2">
      <c r="A435" s="126"/>
    </row>
    <row r="436" spans="1:1" x14ac:dyDescent="0.2">
      <c r="A436" s="126"/>
    </row>
    <row r="437" spans="1:1" x14ac:dyDescent="0.2">
      <c r="A437" s="126"/>
    </row>
    <row r="438" spans="1:1" x14ac:dyDescent="0.2">
      <c r="A438" s="126"/>
    </row>
    <row r="439" spans="1:1" x14ac:dyDescent="0.2">
      <c r="A439" s="126"/>
    </row>
    <row r="440" spans="1:1" x14ac:dyDescent="0.2">
      <c r="A440" s="126"/>
    </row>
    <row r="441" spans="1:1" x14ac:dyDescent="0.2">
      <c r="A441" s="126"/>
    </row>
    <row r="442" spans="1:1" x14ac:dyDescent="0.2">
      <c r="A442" s="126"/>
    </row>
    <row r="443" spans="1:1" x14ac:dyDescent="0.2">
      <c r="A443" s="126"/>
    </row>
    <row r="444" spans="1:1" x14ac:dyDescent="0.2">
      <c r="A444" s="126"/>
    </row>
    <row r="445" spans="1:1" x14ac:dyDescent="0.2">
      <c r="A445" s="126"/>
    </row>
    <row r="446" spans="1:1" x14ac:dyDescent="0.2">
      <c r="A446" s="126"/>
    </row>
    <row r="447" spans="1:1" x14ac:dyDescent="0.2">
      <c r="A447" s="126"/>
    </row>
    <row r="448" spans="1:1" x14ac:dyDescent="0.2">
      <c r="A448" s="126"/>
    </row>
    <row r="449" spans="1:1" x14ac:dyDescent="0.2">
      <c r="A449" s="126"/>
    </row>
    <row r="450" spans="1:1" x14ac:dyDescent="0.2">
      <c r="A450" s="126"/>
    </row>
    <row r="451" spans="1:1" x14ac:dyDescent="0.2">
      <c r="A451" s="126"/>
    </row>
    <row r="452" spans="1:1" x14ac:dyDescent="0.2">
      <c r="A452" s="126"/>
    </row>
    <row r="453" spans="1:1" x14ac:dyDescent="0.2">
      <c r="A453" s="126"/>
    </row>
    <row r="454" spans="1:1" x14ac:dyDescent="0.2">
      <c r="A454" s="126"/>
    </row>
    <row r="455" spans="1:1" x14ac:dyDescent="0.2">
      <c r="A455" s="126"/>
    </row>
    <row r="456" spans="1:1" x14ac:dyDescent="0.2">
      <c r="A456" s="126"/>
    </row>
    <row r="457" spans="1:1" x14ac:dyDescent="0.2">
      <c r="A457" s="126"/>
    </row>
    <row r="458" spans="1:1" x14ac:dyDescent="0.2">
      <c r="A458" s="126"/>
    </row>
  </sheetData>
  <mergeCells count="77">
    <mergeCell ref="N69:O69"/>
    <mergeCell ref="P69:Q69"/>
    <mergeCell ref="R69:S69"/>
    <mergeCell ref="W69:X69"/>
    <mergeCell ref="L69:M69"/>
    <mergeCell ref="T69:U69"/>
    <mergeCell ref="B69:C69"/>
    <mergeCell ref="D69:E69"/>
    <mergeCell ref="F69:G69"/>
    <mergeCell ref="H69:I69"/>
    <mergeCell ref="J69:K69"/>
    <mergeCell ref="L66:M66"/>
    <mergeCell ref="N66:O66"/>
    <mergeCell ref="P66:Q66"/>
    <mergeCell ref="R66:S66"/>
    <mergeCell ref="W66:X66"/>
    <mergeCell ref="T66:U66"/>
    <mergeCell ref="B66:C66"/>
    <mergeCell ref="D66:E66"/>
    <mergeCell ref="F66:G66"/>
    <mergeCell ref="H66:I66"/>
    <mergeCell ref="J66:K66"/>
    <mergeCell ref="L59:M59"/>
    <mergeCell ref="N59:O59"/>
    <mergeCell ref="P59:Q59"/>
    <mergeCell ref="R59:S59"/>
    <mergeCell ref="W59:X59"/>
    <mergeCell ref="T59:U59"/>
    <mergeCell ref="B59:C59"/>
    <mergeCell ref="D59:E59"/>
    <mergeCell ref="F59:G59"/>
    <mergeCell ref="H59:I59"/>
    <mergeCell ref="J59:K59"/>
    <mergeCell ref="L54:M54"/>
    <mergeCell ref="N54:O54"/>
    <mergeCell ref="P54:Q54"/>
    <mergeCell ref="R54:S54"/>
    <mergeCell ref="W54:X54"/>
    <mergeCell ref="T54:U54"/>
    <mergeCell ref="B54:C54"/>
    <mergeCell ref="D54:E54"/>
    <mergeCell ref="F54:G54"/>
    <mergeCell ref="H54:I54"/>
    <mergeCell ref="J54:K5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W45:X45"/>
    <mergeCell ref="T45:U45"/>
    <mergeCell ref="N77:O77"/>
    <mergeCell ref="P77:Q77"/>
    <mergeCell ref="R77:S77"/>
    <mergeCell ref="W77:X77"/>
    <mergeCell ref="B77:C77"/>
    <mergeCell ref="D77:E77"/>
    <mergeCell ref="F77:G77"/>
    <mergeCell ref="H77:I77"/>
    <mergeCell ref="J77:K77"/>
    <mergeCell ref="L77:M77"/>
    <mergeCell ref="T77:U7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W9:X9"/>
    <mergeCell ref="T9:U9"/>
  </mergeCells>
  <pageMargins left="0.5" right="0.5" top="0.5" bottom="0.5" header="0.3" footer="0.3"/>
  <pageSetup scale="70" orientation="landscape" r:id="rId1"/>
  <headerFooter alignWithMargins="0">
    <oddFooter>&amp;L&amp;9Prepared by Planning and Analysis&amp;C&amp;9&amp;P of &amp;N&amp;R&amp;9Updated &amp;D</oddFooter>
  </headerFooter>
  <rowBreaks count="2" manualBreakCount="2">
    <brk id="44" max="16383" man="1"/>
    <brk id="75" max="21" man="1"/>
  </rowBreaks>
  <colBreaks count="1" manualBreakCount="1">
    <brk id="21" max="1048575" man="1"/>
  </colBreaks>
  <ignoredErrors>
    <ignoredError sqref="J92:Q1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zoomScaleNormal="100" zoomScaleSheetLayoutView="100" workbookViewId="0">
      <pane xSplit="1" ySplit="8" topLeftCell="R9" activePane="bottomRight" state="frozen"/>
      <selection activeCell="T35" sqref="T35:U35"/>
      <selection pane="topRight" activeCell="T35" sqref="T35:U35"/>
      <selection pane="bottomLeft" activeCell="T35" sqref="T35:U35"/>
      <selection pane="bottomRight" activeCell="T35" sqref="T35:U35"/>
    </sheetView>
  </sheetViews>
  <sheetFormatPr defaultColWidth="10.28515625" defaultRowHeight="12.75" x14ac:dyDescent="0.2"/>
  <cols>
    <col min="1" max="1" width="35.710937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customWidth="1"/>
    <col min="7" max="7" width="10.7109375" customWidth="1"/>
    <col min="8" max="8" width="6.7109375" customWidth="1"/>
    <col min="9" max="9" width="10.7109375" customWidth="1"/>
    <col min="10" max="10" width="6.7109375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1" width="10.7109375" customWidth="1"/>
    <col min="22" max="22" width="3.28515625" customWidth="1"/>
    <col min="23" max="23" width="6.7109375" customWidth="1"/>
    <col min="24" max="24" width="10.7109375" customWidth="1"/>
    <col min="25" max="25" width="1.5703125" customWidth="1"/>
  </cols>
  <sheetData>
    <row r="1" spans="1:29" s="1" customFormat="1" ht="15.75" x14ac:dyDescent="0.25">
      <c r="A1" s="458" t="s">
        <v>150</v>
      </c>
      <c r="B1"/>
      <c r="C1"/>
      <c r="D1"/>
      <c r="E1"/>
      <c r="F1" s="433"/>
      <c r="G1" s="433"/>
      <c r="H1" s="433"/>
      <c r="I1" s="433"/>
    </row>
    <row r="2" spans="1:29" s="1" customFormat="1" ht="15.75" x14ac:dyDescent="0.25">
      <c r="A2" s="458" t="s">
        <v>151</v>
      </c>
      <c r="B2"/>
      <c r="C2"/>
      <c r="D2"/>
      <c r="E2"/>
      <c r="F2" s="433"/>
      <c r="G2" s="433"/>
      <c r="H2" s="433"/>
      <c r="I2" s="433"/>
    </row>
    <row r="3" spans="1:29" s="1" customFormat="1" ht="5.25" customHeight="1" x14ac:dyDescent="0.25">
      <c r="A3" s="458"/>
      <c r="B3"/>
      <c r="C3"/>
      <c r="D3"/>
      <c r="E3"/>
      <c r="F3" s="433"/>
      <c r="G3" s="433"/>
      <c r="H3" s="433"/>
      <c r="I3" s="433"/>
    </row>
    <row r="4" spans="1:29" s="1" customFormat="1" ht="15.75" x14ac:dyDescent="0.25">
      <c r="A4" s="459" t="s">
        <v>158</v>
      </c>
      <c r="B4"/>
      <c r="C4"/>
      <c r="D4"/>
      <c r="E4"/>
      <c r="F4" s="433"/>
      <c r="G4" s="433"/>
      <c r="H4" s="433"/>
      <c r="I4" s="433"/>
    </row>
    <row r="5" spans="1:29" s="1" customFormat="1" ht="6" customHeight="1" x14ac:dyDescent="0.25">
      <c r="A5" s="459"/>
      <c r="B5"/>
      <c r="C5"/>
      <c r="D5"/>
      <c r="E5"/>
      <c r="F5" s="433"/>
      <c r="G5" s="433"/>
      <c r="H5" s="433"/>
      <c r="I5" s="433"/>
    </row>
    <row r="6" spans="1:29" s="1" customFormat="1" x14ac:dyDescent="0.2">
      <c r="A6" s="460" t="s">
        <v>72</v>
      </c>
      <c r="F6" s="2"/>
      <c r="G6" s="2"/>
      <c r="H6" s="2"/>
      <c r="I6" s="2"/>
    </row>
    <row r="7" spans="1:29" s="1" customFormat="1" x14ac:dyDescent="0.2">
      <c r="A7" s="461">
        <v>3670020210</v>
      </c>
      <c r="F7" s="2"/>
      <c r="G7" s="2"/>
      <c r="H7" s="2"/>
      <c r="I7" s="2"/>
    </row>
    <row r="8" spans="1:29" s="1" customFormat="1" ht="15" customHeight="1" thickBot="1" x14ac:dyDescent="0.25">
      <c r="A8" s="462"/>
      <c r="B8" s="463"/>
      <c r="C8" s="463"/>
      <c r="D8" s="463"/>
      <c r="E8" s="463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</row>
    <row r="9" spans="1:29" ht="18" customHeight="1" thickTop="1" thickBot="1" x14ac:dyDescent="0.25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W9" s="1044" t="s">
        <v>9</v>
      </c>
      <c r="X9" s="1045"/>
    </row>
    <row r="10" spans="1:29" ht="30" customHeight="1" thickBot="1" x14ac:dyDescent="0.25">
      <c r="A10" s="37" t="s">
        <v>154</v>
      </c>
      <c r="B10" s="709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710" t="s">
        <v>166</v>
      </c>
      <c r="R10" s="709" t="s">
        <v>165</v>
      </c>
      <c r="S10" s="710" t="s">
        <v>166</v>
      </c>
      <c r="T10" s="709" t="s">
        <v>165</v>
      </c>
      <c r="U10" s="712" t="s">
        <v>166</v>
      </c>
      <c r="W10" s="713" t="s">
        <v>165</v>
      </c>
      <c r="X10" s="714" t="s">
        <v>166</v>
      </c>
    </row>
    <row r="11" spans="1:29" ht="15" customHeight="1" x14ac:dyDescent="0.2">
      <c r="A11" s="706" t="s">
        <v>134</v>
      </c>
      <c r="B11" s="7"/>
      <c r="C11" s="437"/>
      <c r="D11" s="6"/>
      <c r="E11" s="312"/>
      <c r="F11" s="7"/>
      <c r="G11" s="312"/>
      <c r="H11" s="7"/>
      <c r="I11" s="312"/>
      <c r="J11" s="7"/>
      <c r="K11" s="312"/>
      <c r="L11" s="7"/>
      <c r="M11" s="312"/>
      <c r="N11" s="7"/>
      <c r="O11" s="312"/>
      <c r="P11" s="7"/>
      <c r="Q11" s="312"/>
      <c r="R11" s="7"/>
      <c r="S11" s="312"/>
      <c r="T11" s="7"/>
      <c r="U11" s="8"/>
      <c r="V11" s="433"/>
      <c r="W11" s="434"/>
      <c r="X11" s="764"/>
    </row>
    <row r="12" spans="1:29" s="13" customFormat="1" ht="15" customHeight="1" x14ac:dyDescent="0.2">
      <c r="A12" s="10" t="s">
        <v>10</v>
      </c>
      <c r="B12" s="68">
        <v>188</v>
      </c>
      <c r="C12" s="139"/>
      <c r="D12" s="76">
        <v>176</v>
      </c>
      <c r="E12" s="141"/>
      <c r="F12" s="11">
        <v>211</v>
      </c>
      <c r="G12" s="141"/>
      <c r="H12" s="11">
        <v>195</v>
      </c>
      <c r="I12" s="141"/>
      <c r="J12" s="11">
        <v>223</v>
      </c>
      <c r="K12" s="141"/>
      <c r="L12" s="11">
        <v>289</v>
      </c>
      <c r="M12" s="141"/>
      <c r="N12" s="11">
        <v>297</v>
      </c>
      <c r="O12" s="141"/>
      <c r="P12" s="11">
        <v>325</v>
      </c>
      <c r="Q12" s="141"/>
      <c r="R12" s="11">
        <f>130+152+1+10+12+3</f>
        <v>308</v>
      </c>
      <c r="S12" s="141"/>
      <c r="T12" s="11">
        <v>293</v>
      </c>
      <c r="U12" s="146"/>
      <c r="W12" s="9">
        <f t="shared" ref="W12:W17" si="0">AVERAGE(N12,L12,R12,T12,P12)</f>
        <v>302.39999999999998</v>
      </c>
      <c r="X12" s="633"/>
    </row>
    <row r="13" spans="1:29" s="13" customFormat="1" ht="15" customHeight="1" thickBot="1" x14ac:dyDescent="0.25">
      <c r="A13" s="15" t="s">
        <v>11</v>
      </c>
      <c r="B13" s="77">
        <v>304</v>
      </c>
      <c r="C13" s="143"/>
      <c r="D13" s="78">
        <v>266</v>
      </c>
      <c r="E13" s="145"/>
      <c r="F13" s="17">
        <v>248</v>
      </c>
      <c r="G13" s="145"/>
      <c r="H13" s="17">
        <v>280</v>
      </c>
      <c r="I13" s="145"/>
      <c r="J13" s="17">
        <v>306</v>
      </c>
      <c r="K13" s="145"/>
      <c r="L13" s="17">
        <v>316</v>
      </c>
      <c r="M13" s="145"/>
      <c r="N13" s="17">
        <v>340</v>
      </c>
      <c r="O13" s="145"/>
      <c r="P13" s="17">
        <v>380</v>
      </c>
      <c r="Q13" s="145"/>
      <c r="R13" s="17">
        <f>137+196+18+16</f>
        <v>367</v>
      </c>
      <c r="S13" s="145"/>
      <c r="T13" s="17">
        <v>331</v>
      </c>
      <c r="U13" s="147"/>
      <c r="W13" s="150">
        <f t="shared" si="0"/>
        <v>346.8</v>
      </c>
      <c r="X13" s="634"/>
    </row>
    <row r="14" spans="1:29" s="39" customFormat="1" ht="15" customHeight="1" thickBot="1" x14ac:dyDescent="0.25">
      <c r="A14" s="52" t="s">
        <v>12</v>
      </c>
      <c r="B14" s="135">
        <f t="shared" ref="B14:R14" si="1">SUM(B12:B13)</f>
        <v>492</v>
      </c>
      <c r="C14" s="53">
        <v>100</v>
      </c>
      <c r="D14" s="135">
        <f t="shared" si="1"/>
        <v>442</v>
      </c>
      <c r="E14" s="53">
        <v>102</v>
      </c>
      <c r="F14" s="135">
        <f t="shared" si="1"/>
        <v>459</v>
      </c>
      <c r="G14" s="53">
        <v>87</v>
      </c>
      <c r="H14" s="410">
        <f t="shared" si="1"/>
        <v>475</v>
      </c>
      <c r="I14" s="53">
        <v>94</v>
      </c>
      <c r="J14" s="135">
        <f t="shared" si="1"/>
        <v>529</v>
      </c>
      <c r="K14" s="53">
        <v>93</v>
      </c>
      <c r="L14" s="410">
        <f t="shared" si="1"/>
        <v>605</v>
      </c>
      <c r="M14" s="53">
        <v>101</v>
      </c>
      <c r="N14" s="410">
        <f t="shared" si="1"/>
        <v>637</v>
      </c>
      <c r="O14" s="53">
        <v>107</v>
      </c>
      <c r="P14" s="135">
        <f t="shared" si="1"/>
        <v>705</v>
      </c>
      <c r="Q14" s="53">
        <v>141</v>
      </c>
      <c r="R14" s="135">
        <f t="shared" si="1"/>
        <v>675</v>
      </c>
      <c r="S14" s="53">
        <v>151</v>
      </c>
      <c r="T14" s="48">
        <v>624</v>
      </c>
      <c r="U14" s="106">
        <f t="shared" ref="U14" si="2">SUM(U12:U13)</f>
        <v>0</v>
      </c>
      <c r="W14" s="256">
        <f t="shared" si="0"/>
        <v>649.20000000000005</v>
      </c>
      <c r="X14" s="635">
        <f>AVERAGE(O14,M14,S14,K14,Q14)</f>
        <v>118.6</v>
      </c>
    </row>
    <row r="15" spans="1:29" s="39" customFormat="1" ht="15" customHeight="1" x14ac:dyDescent="0.2">
      <c r="A15" s="793" t="s">
        <v>176</v>
      </c>
      <c r="B15" s="794">
        <v>112</v>
      </c>
      <c r="C15" s="795">
        <v>19</v>
      </c>
      <c r="D15" s="796">
        <v>79</v>
      </c>
      <c r="E15" s="797">
        <v>4</v>
      </c>
      <c r="F15" s="794">
        <v>98</v>
      </c>
      <c r="G15" s="797">
        <v>11</v>
      </c>
      <c r="H15" s="794">
        <v>89</v>
      </c>
      <c r="I15" s="797">
        <v>11</v>
      </c>
      <c r="J15" s="794">
        <v>98</v>
      </c>
      <c r="K15" s="797">
        <v>12</v>
      </c>
      <c r="L15" s="794">
        <v>92</v>
      </c>
      <c r="M15" s="797">
        <v>9</v>
      </c>
      <c r="N15" s="794">
        <f>25+34+5</f>
        <v>64</v>
      </c>
      <c r="O15" s="797">
        <v>16</v>
      </c>
      <c r="P15" s="794">
        <v>33</v>
      </c>
      <c r="Q15" s="797">
        <v>4</v>
      </c>
      <c r="R15" s="794">
        <v>56</v>
      </c>
      <c r="S15" s="797">
        <v>12</v>
      </c>
      <c r="T15" s="796">
        <v>17</v>
      </c>
      <c r="U15" s="798"/>
      <c r="V15" s="842"/>
      <c r="W15" s="799">
        <f t="shared" si="0"/>
        <v>52.4</v>
      </c>
      <c r="X15" s="800">
        <f t="shared" ref="X15:X17" si="3">AVERAGE(O15,M15,S15,K15,Q15)</f>
        <v>10.6</v>
      </c>
    </row>
    <row r="16" spans="1:29" s="39" customFormat="1" ht="15" customHeight="1" x14ac:dyDescent="0.2">
      <c r="A16" s="16" t="s">
        <v>13</v>
      </c>
      <c r="B16" s="702"/>
      <c r="C16" s="85"/>
      <c r="D16" s="84"/>
      <c r="E16" s="86"/>
      <c r="F16" s="22">
        <v>0</v>
      </c>
      <c r="G16" s="87">
        <v>1</v>
      </c>
      <c r="H16" s="22">
        <v>1</v>
      </c>
      <c r="I16" s="87">
        <v>0</v>
      </c>
      <c r="J16" s="22">
        <v>41</v>
      </c>
      <c r="K16" s="87">
        <v>24</v>
      </c>
      <c r="L16" s="22">
        <v>29</v>
      </c>
      <c r="M16" s="87">
        <v>17</v>
      </c>
      <c r="N16" s="22">
        <v>25</v>
      </c>
      <c r="O16" s="87">
        <v>26</v>
      </c>
      <c r="P16" s="22">
        <v>15</v>
      </c>
      <c r="Q16" s="379">
        <v>20</v>
      </c>
      <c r="R16" s="22">
        <v>14</v>
      </c>
      <c r="S16" s="379">
        <v>5</v>
      </c>
      <c r="T16" s="457">
        <v>20</v>
      </c>
      <c r="U16" s="787"/>
      <c r="W16" s="9">
        <f t="shared" si="0"/>
        <v>20.6</v>
      </c>
      <c r="X16" s="632">
        <f t="shared" si="3"/>
        <v>18.399999999999999</v>
      </c>
    </row>
    <row r="17" spans="1:27" s="39" customFormat="1" ht="15" customHeight="1" thickBot="1" x14ac:dyDescent="0.25">
      <c r="A17" s="405" t="s">
        <v>15</v>
      </c>
      <c r="B17" s="378">
        <v>21</v>
      </c>
      <c r="C17" s="376">
        <f>13</f>
        <v>13</v>
      </c>
      <c r="D17" s="375">
        <v>16</v>
      </c>
      <c r="E17" s="377">
        <v>8</v>
      </c>
      <c r="F17" s="378">
        <v>15</v>
      </c>
      <c r="G17" s="377">
        <v>8</v>
      </c>
      <c r="H17" s="378">
        <v>14</v>
      </c>
      <c r="I17" s="377">
        <v>4</v>
      </c>
      <c r="J17" s="378">
        <v>19</v>
      </c>
      <c r="K17" s="377">
        <v>5</v>
      </c>
      <c r="L17" s="378">
        <v>30</v>
      </c>
      <c r="M17" s="377">
        <v>11</v>
      </c>
      <c r="N17" s="378">
        <v>21</v>
      </c>
      <c r="O17" s="377">
        <v>15</v>
      </c>
      <c r="P17" s="378">
        <v>17</v>
      </c>
      <c r="Q17" s="406">
        <v>6</v>
      </c>
      <c r="R17" s="378">
        <v>21</v>
      </c>
      <c r="S17" s="406">
        <v>12</v>
      </c>
      <c r="T17" s="414">
        <v>18</v>
      </c>
      <c r="U17" s="788"/>
      <c r="W17" s="155">
        <f t="shared" si="0"/>
        <v>21.4</v>
      </c>
      <c r="X17" s="765">
        <f t="shared" si="3"/>
        <v>9.8000000000000007</v>
      </c>
    </row>
    <row r="18" spans="1:27" ht="18" customHeight="1" thickTop="1" thickBot="1" x14ac:dyDescent="0.25">
      <c r="A18" s="38" t="s">
        <v>62</v>
      </c>
      <c r="B18" s="1049"/>
      <c r="C18" s="1034"/>
      <c r="D18" s="1033"/>
      <c r="E18" s="1034"/>
      <c r="F18" s="1033"/>
      <c r="G18" s="1034"/>
      <c r="H18" s="1033"/>
      <c r="I18" s="1034"/>
      <c r="J18" s="1033"/>
      <c r="K18" s="1034"/>
      <c r="L18" s="1033"/>
      <c r="M18" s="1034"/>
      <c r="N18" s="1033"/>
      <c r="O18" s="1034"/>
      <c r="P18" s="1033"/>
      <c r="Q18" s="1034"/>
      <c r="R18" s="1033"/>
      <c r="S18" s="1034"/>
      <c r="T18" s="1033"/>
      <c r="U18" s="1050"/>
      <c r="W18" s="1044"/>
      <c r="X18" s="1045"/>
    </row>
    <row r="19" spans="1:27" ht="15" customHeight="1" x14ac:dyDescent="0.2">
      <c r="A19" s="494" t="s">
        <v>170</v>
      </c>
      <c r="B19" s="579"/>
      <c r="C19" s="58"/>
      <c r="D19" s="55"/>
      <c r="E19" s="58"/>
      <c r="F19" s="55"/>
      <c r="G19" s="58"/>
      <c r="H19" s="55"/>
      <c r="I19" s="58"/>
      <c r="J19" s="55"/>
      <c r="K19" s="58"/>
      <c r="L19" s="55"/>
      <c r="M19" s="58"/>
      <c r="N19" s="55"/>
      <c r="O19" s="58"/>
      <c r="P19" s="55"/>
      <c r="Q19" s="58"/>
      <c r="R19" s="55"/>
      <c r="S19" s="58"/>
      <c r="T19" s="55"/>
      <c r="U19" s="59"/>
      <c r="W19" s="5"/>
      <c r="X19" s="225" t="e">
        <f>AVERAGE(O19,M19,S19,U19,Q19)</f>
        <v>#DIV/0!</v>
      </c>
    </row>
    <row r="20" spans="1:27" ht="15" customHeight="1" x14ac:dyDescent="0.2">
      <c r="A20" s="467" t="s">
        <v>155</v>
      </c>
      <c r="B20" s="703"/>
      <c r="C20" s="57">
        <v>0.41</v>
      </c>
      <c r="D20" s="54"/>
      <c r="E20" s="57">
        <v>0.34</v>
      </c>
      <c r="F20" s="54"/>
      <c r="G20" s="57">
        <v>0.33</v>
      </c>
      <c r="H20" s="54"/>
      <c r="I20" s="57">
        <v>0.44</v>
      </c>
      <c r="J20" s="56"/>
      <c r="K20" s="57">
        <v>0.46</v>
      </c>
      <c r="L20" s="54"/>
      <c r="M20" s="57">
        <v>0.44</v>
      </c>
      <c r="N20" s="54"/>
      <c r="O20" s="57">
        <v>0.7</v>
      </c>
      <c r="P20" s="54"/>
      <c r="Q20" s="286">
        <v>0.51</v>
      </c>
      <c r="R20" s="54"/>
      <c r="S20" s="1018"/>
      <c r="T20" s="54"/>
      <c r="U20" s="423"/>
      <c r="W20" s="789"/>
      <c r="X20" s="225">
        <f t="shared" ref="X20:X21" si="4">AVERAGE(O20,M20,S20,K20,Q20)</f>
        <v>0.52749999999999997</v>
      </c>
    </row>
    <row r="21" spans="1:27" ht="27" customHeight="1" thickBot="1" x14ac:dyDescent="0.25">
      <c r="A21" s="699" t="s">
        <v>156</v>
      </c>
      <c r="B21" s="704"/>
      <c r="C21" s="298">
        <v>0.47</v>
      </c>
      <c r="D21" s="297"/>
      <c r="E21" s="298">
        <v>0.51</v>
      </c>
      <c r="F21" s="297"/>
      <c r="G21" s="298">
        <v>0.56000000000000005</v>
      </c>
      <c r="H21" s="297"/>
      <c r="I21" s="298">
        <v>0.52</v>
      </c>
      <c r="J21" s="299"/>
      <c r="K21" s="298">
        <v>0.47</v>
      </c>
      <c r="L21" s="297"/>
      <c r="M21" s="298">
        <v>0.47</v>
      </c>
      <c r="N21" s="297"/>
      <c r="O21" s="298">
        <v>0.3</v>
      </c>
      <c r="P21" s="297"/>
      <c r="Q21" s="534">
        <v>0.45</v>
      </c>
      <c r="R21" s="297"/>
      <c r="S21" s="1021"/>
      <c r="T21" s="297"/>
      <c r="U21" s="424"/>
      <c r="W21" s="790"/>
      <c r="X21" s="225">
        <f t="shared" si="4"/>
        <v>0.42249999999999999</v>
      </c>
    </row>
    <row r="22" spans="1:27" ht="18" customHeight="1" thickTop="1" thickBot="1" x14ac:dyDescent="0.25">
      <c r="A22" s="173" t="s">
        <v>67</v>
      </c>
      <c r="B22" s="1046"/>
      <c r="C22" s="1047"/>
      <c r="D22" s="1048"/>
      <c r="E22" s="1047"/>
      <c r="F22" s="1048"/>
      <c r="G22" s="1047"/>
      <c r="H22" s="1048"/>
      <c r="I22" s="1047"/>
      <c r="J22" s="1048"/>
      <c r="K22" s="1047"/>
      <c r="L22" s="1048"/>
      <c r="M22" s="1047"/>
      <c r="N22" s="1048"/>
      <c r="O22" s="1047"/>
      <c r="P22" s="1048"/>
      <c r="Q22" s="1047"/>
      <c r="R22" s="1048"/>
      <c r="S22" s="1047"/>
      <c r="T22" s="1048"/>
      <c r="U22" s="1042"/>
      <c r="V22" s="157"/>
      <c r="W22" s="1041"/>
      <c r="X22" s="1042"/>
    </row>
    <row r="23" spans="1:27" ht="15" customHeight="1" x14ac:dyDescent="0.2">
      <c r="A23" s="496" t="s">
        <v>107</v>
      </c>
      <c r="B23" s="705"/>
      <c r="C23" s="238">
        <v>23.1</v>
      </c>
      <c r="D23" s="296"/>
      <c r="E23" s="238">
        <v>23.5</v>
      </c>
      <c r="F23" s="296"/>
      <c r="G23" s="238">
        <v>23.8</v>
      </c>
      <c r="H23" s="296"/>
      <c r="I23" s="238">
        <v>23.6</v>
      </c>
      <c r="J23" s="296"/>
      <c r="K23" s="238">
        <v>23.7</v>
      </c>
      <c r="L23" s="296"/>
      <c r="M23" s="238">
        <v>24.1</v>
      </c>
      <c r="N23" s="296"/>
      <c r="O23" s="238">
        <v>23.7</v>
      </c>
      <c r="P23" s="296"/>
      <c r="Q23" s="425">
        <v>24</v>
      </c>
      <c r="R23" s="296"/>
      <c r="S23" s="425">
        <v>23.8</v>
      </c>
      <c r="T23" s="220"/>
      <c r="U23" s="240"/>
      <c r="V23" s="157"/>
      <c r="W23" s="287"/>
      <c r="X23" s="288">
        <f>AVERAGE(O23,M23,S23,U23,Q23)</f>
        <v>23.9</v>
      </c>
    </row>
    <row r="24" spans="1:27" ht="15" customHeight="1" thickBot="1" x14ac:dyDescent="0.25">
      <c r="A24" s="492" t="s">
        <v>108</v>
      </c>
      <c r="B24" s="680"/>
      <c r="C24" s="236"/>
      <c r="D24" s="235"/>
      <c r="E24" s="236">
        <v>24</v>
      </c>
      <c r="F24" s="235"/>
      <c r="G24" s="236">
        <v>24.7</v>
      </c>
      <c r="H24" s="235"/>
      <c r="I24" s="236">
        <v>24.7</v>
      </c>
      <c r="J24" s="235"/>
      <c r="K24" s="236">
        <v>24.2</v>
      </c>
      <c r="L24" s="235"/>
      <c r="M24" s="236">
        <v>25.2</v>
      </c>
      <c r="N24" s="235"/>
      <c r="O24" s="236">
        <v>24.7</v>
      </c>
      <c r="P24" s="235"/>
      <c r="Q24" s="236">
        <v>25.2</v>
      </c>
      <c r="R24" s="235"/>
      <c r="S24" s="236">
        <v>24.6</v>
      </c>
      <c r="T24" s="235"/>
      <c r="U24" s="237"/>
      <c r="V24" s="157"/>
      <c r="W24" s="289"/>
      <c r="X24" s="663">
        <f>AVERAGE(O24,M24,S24,U24,Q24)</f>
        <v>24.925000000000001</v>
      </c>
    </row>
    <row r="25" spans="1:27" ht="18" customHeight="1" thickTop="1" thickBot="1" x14ac:dyDescent="0.25">
      <c r="A25" s="43" t="s">
        <v>16</v>
      </c>
      <c r="B25" s="1049"/>
      <c r="C25" s="1034"/>
      <c r="D25" s="1033"/>
      <c r="E25" s="1034"/>
      <c r="F25" s="1033"/>
      <c r="G25" s="1034"/>
      <c r="H25" s="1033"/>
      <c r="I25" s="1034"/>
      <c r="J25" s="1033"/>
      <c r="K25" s="1034"/>
      <c r="L25" s="1033"/>
      <c r="M25" s="1034"/>
      <c r="N25" s="1033"/>
      <c r="O25" s="1034"/>
      <c r="P25" s="1033"/>
      <c r="Q25" s="1034"/>
      <c r="R25" s="1033"/>
      <c r="S25" s="1034"/>
      <c r="T25" s="1033"/>
      <c r="U25" s="1050"/>
      <c r="W25" s="1044"/>
      <c r="X25" s="1045"/>
    </row>
    <row r="26" spans="1:27" ht="15" customHeight="1" x14ac:dyDescent="0.2">
      <c r="A26" s="467" t="s">
        <v>17</v>
      </c>
      <c r="B26" s="24"/>
      <c r="C26" s="26">
        <v>1992</v>
      </c>
      <c r="D26" s="23"/>
      <c r="E26" s="25">
        <v>2113</v>
      </c>
      <c r="F26" s="24"/>
      <c r="G26" s="25">
        <v>2042</v>
      </c>
      <c r="H26" s="24"/>
      <c r="I26" s="25">
        <v>2163</v>
      </c>
      <c r="J26" s="24"/>
      <c r="K26" s="25">
        <v>2113</v>
      </c>
      <c r="L26" s="24"/>
      <c r="M26" s="25">
        <v>3063</v>
      </c>
      <c r="N26" s="24"/>
      <c r="O26" s="25">
        <v>2985</v>
      </c>
      <c r="P26" s="24"/>
      <c r="Q26" s="25">
        <v>2766</v>
      </c>
      <c r="R26" s="24"/>
      <c r="S26" s="25">
        <v>2538</v>
      </c>
      <c r="T26" s="24"/>
      <c r="U26" s="976"/>
      <c r="W26" s="27"/>
      <c r="X26" s="28">
        <f t="shared" ref="X26:X30" si="5">AVERAGE(O26,M26,S26,K26,Q26)</f>
        <v>2693</v>
      </c>
    </row>
    <row r="27" spans="1:27" ht="15" customHeight="1" x14ac:dyDescent="0.2">
      <c r="A27" s="467" t="s">
        <v>18</v>
      </c>
      <c r="B27" s="24"/>
      <c r="C27" s="26">
        <v>4800</v>
      </c>
      <c r="D27" s="23"/>
      <c r="E27" s="25">
        <v>4826</v>
      </c>
      <c r="F27" s="24"/>
      <c r="G27" s="25">
        <v>4998</v>
      </c>
      <c r="H27" s="24"/>
      <c r="I27" s="25">
        <v>5332</v>
      </c>
      <c r="J27" s="24"/>
      <c r="K27" s="25">
        <v>5830</v>
      </c>
      <c r="L27" s="24"/>
      <c r="M27" s="25">
        <v>6267</v>
      </c>
      <c r="N27" s="24"/>
      <c r="O27" s="25">
        <v>6643</v>
      </c>
      <c r="P27" s="24"/>
      <c r="Q27" s="25">
        <v>7565</v>
      </c>
      <c r="R27" s="24"/>
      <c r="S27" s="25">
        <v>7817</v>
      </c>
      <c r="T27" s="24"/>
      <c r="U27" s="976"/>
      <c r="W27" s="29"/>
      <c r="X27" s="28">
        <f t="shared" si="5"/>
        <v>6824.4</v>
      </c>
    </row>
    <row r="28" spans="1:27" ht="15" customHeight="1" x14ac:dyDescent="0.2">
      <c r="A28" s="467" t="s">
        <v>19</v>
      </c>
      <c r="B28" s="24"/>
      <c r="C28" s="26">
        <v>382</v>
      </c>
      <c r="D28" s="23"/>
      <c r="E28" s="25">
        <v>280</v>
      </c>
      <c r="F28" s="24"/>
      <c r="G28" s="25">
        <v>382</v>
      </c>
      <c r="H28" s="24"/>
      <c r="I28" s="25">
        <v>437</v>
      </c>
      <c r="J28" s="24"/>
      <c r="K28" s="25">
        <v>467</v>
      </c>
      <c r="L28" s="24"/>
      <c r="M28" s="25">
        <v>659</v>
      </c>
      <c r="N28" s="24"/>
      <c r="O28" s="25">
        <v>402</v>
      </c>
      <c r="P28" s="24"/>
      <c r="Q28" s="25">
        <v>354</v>
      </c>
      <c r="R28" s="24"/>
      <c r="S28" s="25">
        <v>465</v>
      </c>
      <c r="T28" s="24"/>
      <c r="U28" s="976"/>
      <c r="W28" s="29"/>
      <c r="X28" s="28">
        <f t="shared" si="5"/>
        <v>469.4</v>
      </c>
    </row>
    <row r="29" spans="1:27" ht="15" customHeight="1" thickBot="1" x14ac:dyDescent="0.25">
      <c r="A29" s="610" t="s">
        <v>20</v>
      </c>
      <c r="B29" s="24"/>
      <c r="C29" s="31">
        <v>0</v>
      </c>
      <c r="D29" s="23"/>
      <c r="E29" s="30">
        <v>0</v>
      </c>
      <c r="F29" s="24"/>
      <c r="G29" s="30">
        <v>0</v>
      </c>
      <c r="H29" s="24"/>
      <c r="I29" s="30">
        <v>0</v>
      </c>
      <c r="J29" s="24"/>
      <c r="K29" s="30">
        <v>0</v>
      </c>
      <c r="L29" s="24"/>
      <c r="M29" s="30">
        <v>0</v>
      </c>
      <c r="N29" s="24"/>
      <c r="O29" s="30">
        <v>14</v>
      </c>
      <c r="P29" s="24"/>
      <c r="Q29" s="30">
        <v>22</v>
      </c>
      <c r="R29" s="24"/>
      <c r="S29" s="30">
        <v>63</v>
      </c>
      <c r="T29" s="49"/>
      <c r="U29" s="966"/>
      <c r="W29" s="35"/>
      <c r="X29" s="277">
        <f t="shared" si="5"/>
        <v>19.8</v>
      </c>
    </row>
    <row r="30" spans="1:27" ht="15" customHeight="1" thickBot="1" x14ac:dyDescent="0.25">
      <c r="A30" s="609" t="s">
        <v>21</v>
      </c>
      <c r="B30" s="72"/>
      <c r="C30" s="73">
        <f>SUM(C26:C29)</f>
        <v>7174</v>
      </c>
      <c r="D30" s="74"/>
      <c r="E30" s="75">
        <f>SUM(E26:E29)</f>
        <v>7219</v>
      </c>
      <c r="F30" s="51"/>
      <c r="G30" s="50">
        <f>SUM(G26:G29)</f>
        <v>7422</v>
      </c>
      <c r="H30" s="51"/>
      <c r="I30" s="50">
        <f>SUM(I26:I29)</f>
        <v>7932</v>
      </c>
      <c r="J30" s="51"/>
      <c r="K30" s="50">
        <f>SUM(K26:K29)</f>
        <v>8410</v>
      </c>
      <c r="L30" s="51"/>
      <c r="M30" s="50">
        <f>SUM(M26:M29)</f>
        <v>9989</v>
      </c>
      <c r="N30" s="51"/>
      <c r="O30" s="50">
        <f>SUM(O26:O29)</f>
        <v>10044</v>
      </c>
      <c r="P30" s="51"/>
      <c r="Q30" s="50">
        <f>SUM(Q26:Q29)</f>
        <v>10707</v>
      </c>
      <c r="R30" s="51"/>
      <c r="S30" s="50">
        <f>SUM(S26:S29)</f>
        <v>10883</v>
      </c>
      <c r="T30" s="51"/>
      <c r="U30" s="977">
        <f>SUM(U26:U29)</f>
        <v>0</v>
      </c>
      <c r="W30" s="278"/>
      <c r="X30" s="279">
        <f t="shared" si="5"/>
        <v>10006.6</v>
      </c>
    </row>
    <row r="31" spans="1:27" ht="15" customHeight="1" thickTop="1" thickBot="1" x14ac:dyDescent="0.25">
      <c r="A31" s="707"/>
      <c r="B31" s="40"/>
      <c r="C31" s="41"/>
      <c r="D31" s="40"/>
      <c r="E31" s="42"/>
      <c r="F31" s="40"/>
      <c r="G31" s="42"/>
      <c r="H31" s="40"/>
      <c r="I31" s="42"/>
      <c r="J31" s="40"/>
      <c r="K31" s="42"/>
      <c r="L31" s="40"/>
      <c r="M31" s="42"/>
      <c r="N31" s="40"/>
      <c r="O31" s="42"/>
      <c r="P31" s="40"/>
      <c r="Q31" s="42"/>
      <c r="R31" s="40"/>
      <c r="S31" s="42"/>
      <c r="T31" s="40"/>
      <c r="U31" s="42"/>
      <c r="V31" s="46"/>
      <c r="W31" s="45"/>
      <c r="X31" s="41"/>
    </row>
    <row r="32" spans="1:27" ht="18" customHeight="1" thickTop="1" thickBot="1" x14ac:dyDescent="0.25">
      <c r="A32" s="469" t="s">
        <v>22</v>
      </c>
      <c r="B32" s="1060" t="s">
        <v>23</v>
      </c>
      <c r="C32" s="1043"/>
      <c r="D32" s="1039" t="s">
        <v>24</v>
      </c>
      <c r="E32" s="1040"/>
      <c r="F32" s="1039" t="s">
        <v>25</v>
      </c>
      <c r="G32" s="1040"/>
      <c r="H32" s="1039" t="s">
        <v>26</v>
      </c>
      <c r="I32" s="1040"/>
      <c r="J32" s="1039" t="s">
        <v>27</v>
      </c>
      <c r="K32" s="1040"/>
      <c r="L32" s="1039" t="s">
        <v>28</v>
      </c>
      <c r="M32" s="1040"/>
      <c r="N32" s="1039" t="s">
        <v>29</v>
      </c>
      <c r="O32" s="1040"/>
      <c r="P32" s="1039" t="s">
        <v>30</v>
      </c>
      <c r="Q32" s="1040"/>
      <c r="R32" s="1039" t="s">
        <v>31</v>
      </c>
      <c r="S32" s="1040"/>
      <c r="T32" s="1039" t="s">
        <v>200</v>
      </c>
      <c r="U32" s="1051"/>
      <c r="V32" s="175"/>
      <c r="W32" s="1041" t="s">
        <v>9</v>
      </c>
      <c r="X32" s="1042"/>
      <c r="Y32" s="32"/>
      <c r="Z32" s="32"/>
      <c r="AA32" s="33"/>
    </row>
    <row r="33" spans="1:27" ht="15" customHeight="1" x14ac:dyDescent="0.2">
      <c r="A33" s="716" t="s">
        <v>167</v>
      </c>
      <c r="B33" s="684"/>
      <c r="C33" s="177">
        <v>0.52600000000000002</v>
      </c>
      <c r="D33" s="178"/>
      <c r="E33" s="179">
        <v>0.64400000000000002</v>
      </c>
      <c r="F33" s="180"/>
      <c r="G33" s="179">
        <v>0.51100000000000001</v>
      </c>
      <c r="H33" s="180"/>
      <c r="I33" s="179">
        <v>0.52100000000000002</v>
      </c>
      <c r="J33" s="180"/>
      <c r="K33" s="179">
        <v>0.57299999999999995</v>
      </c>
      <c r="L33" s="180"/>
      <c r="M33" s="179">
        <v>0.55600000000000005</v>
      </c>
      <c r="N33" s="180"/>
      <c r="O33" s="179">
        <v>0.57699999999999996</v>
      </c>
      <c r="P33" s="180"/>
      <c r="Q33" s="179">
        <v>0.64900000000000002</v>
      </c>
      <c r="R33" s="180"/>
      <c r="S33" s="179">
        <v>0.63100000000000001</v>
      </c>
      <c r="T33" s="180"/>
      <c r="U33" s="181">
        <v>0.66</v>
      </c>
      <c r="V33" s="182"/>
      <c r="W33" s="183"/>
      <c r="X33" s="184">
        <f>AVERAGE(O33,M33,S33,U33,Q33)</f>
        <v>0.61460000000000004</v>
      </c>
      <c r="Y33" s="32"/>
      <c r="Z33" s="32"/>
      <c r="AA33" s="33"/>
    </row>
    <row r="34" spans="1:27" ht="15" customHeight="1" x14ac:dyDescent="0.2">
      <c r="A34" s="717" t="s">
        <v>168</v>
      </c>
      <c r="B34" s="187"/>
      <c r="C34" s="186">
        <v>4.2000000000000003E-2</v>
      </c>
      <c r="D34" s="185"/>
      <c r="E34" s="186">
        <v>2.7E-2</v>
      </c>
      <c r="F34" s="187"/>
      <c r="G34" s="186">
        <v>0.03</v>
      </c>
      <c r="H34" s="187"/>
      <c r="I34" s="186">
        <v>2.8000000000000001E-2</v>
      </c>
      <c r="J34" s="187"/>
      <c r="K34" s="186">
        <v>2.9000000000000001E-2</v>
      </c>
      <c r="L34" s="187"/>
      <c r="M34" s="186">
        <v>4.2000000000000003E-2</v>
      </c>
      <c r="N34" s="187"/>
      <c r="O34" s="186">
        <v>3.1E-2</v>
      </c>
      <c r="P34" s="187"/>
      <c r="Q34" s="186">
        <v>1.7000000000000001E-2</v>
      </c>
      <c r="R34" s="187"/>
      <c r="S34" s="186">
        <v>2.1999999999999999E-2</v>
      </c>
      <c r="T34" s="187"/>
      <c r="U34" s="188">
        <v>2.5000000000000001E-2</v>
      </c>
      <c r="V34" s="182"/>
      <c r="W34" s="189"/>
      <c r="X34" s="190">
        <f>AVERAGE(O34,M34,S34,U34,Q34)</f>
        <v>2.7400000000000001E-2</v>
      </c>
      <c r="Y34" s="32"/>
      <c r="Z34" s="32"/>
      <c r="AA34" s="33"/>
    </row>
    <row r="35" spans="1:27" ht="15" customHeight="1" thickBot="1" x14ac:dyDescent="0.25">
      <c r="A35" s="718" t="s">
        <v>169</v>
      </c>
      <c r="B35" s="1054">
        <f>1-C33-C34</f>
        <v>0.432</v>
      </c>
      <c r="C35" s="1055"/>
      <c r="D35" s="1058">
        <f>1-E33-E34</f>
        <v>0.32899999999999996</v>
      </c>
      <c r="E35" s="1055"/>
      <c r="F35" s="1054">
        <v>1</v>
      </c>
      <c r="G35" s="1055"/>
      <c r="H35" s="1054">
        <v>1</v>
      </c>
      <c r="I35" s="1055"/>
      <c r="J35" s="1054">
        <v>0.98499999999999999</v>
      </c>
      <c r="K35" s="1055"/>
      <c r="L35" s="1054">
        <f>1-M33</f>
        <v>0.44399999999999995</v>
      </c>
      <c r="M35" s="1055"/>
      <c r="N35" s="1054">
        <f>1-O33</f>
        <v>0.42300000000000004</v>
      </c>
      <c r="O35" s="1055"/>
      <c r="P35" s="1054">
        <f>1-Q33</f>
        <v>0.35099999999999998</v>
      </c>
      <c r="Q35" s="1055"/>
      <c r="R35" s="1054">
        <f>1-S33-S34</f>
        <v>0.34699999999999998</v>
      </c>
      <c r="S35" s="1055"/>
      <c r="T35" s="1058">
        <f>1-U33-U34</f>
        <v>0.31499999999999995</v>
      </c>
      <c r="U35" s="1057"/>
      <c r="V35" s="182"/>
      <c r="W35" s="1056">
        <f>1-X33-X34</f>
        <v>0.35799999999999998</v>
      </c>
      <c r="X35" s="1057"/>
      <c r="Y35" s="34"/>
      <c r="Z35" s="32"/>
      <c r="AA35" s="33"/>
    </row>
    <row r="36" spans="1:27" s="3" customFormat="1" ht="18" customHeight="1" thickTop="1" thickBot="1" x14ac:dyDescent="0.25">
      <c r="A36" s="158" t="s">
        <v>60</v>
      </c>
      <c r="B36" s="159" t="s">
        <v>32</v>
      </c>
      <c r="C36" s="727" t="s">
        <v>65</v>
      </c>
      <c r="D36" s="728" t="s">
        <v>32</v>
      </c>
      <c r="E36" s="160" t="s">
        <v>65</v>
      </c>
      <c r="F36" s="159" t="s">
        <v>32</v>
      </c>
      <c r="G36" s="727" t="s">
        <v>65</v>
      </c>
      <c r="H36" s="728" t="s">
        <v>32</v>
      </c>
      <c r="I36" s="160" t="s">
        <v>65</v>
      </c>
      <c r="J36" s="159" t="s">
        <v>32</v>
      </c>
      <c r="K36" s="727" t="s">
        <v>65</v>
      </c>
      <c r="L36" s="728" t="s">
        <v>32</v>
      </c>
      <c r="M36" s="160" t="s">
        <v>65</v>
      </c>
      <c r="N36" s="159" t="s">
        <v>32</v>
      </c>
      <c r="O36" s="727" t="s">
        <v>65</v>
      </c>
      <c r="P36" s="728" t="s">
        <v>32</v>
      </c>
      <c r="Q36" s="160" t="s">
        <v>65</v>
      </c>
      <c r="R36" s="728" t="s">
        <v>32</v>
      </c>
      <c r="S36" s="160" t="s">
        <v>65</v>
      </c>
      <c r="T36" s="728" t="s">
        <v>32</v>
      </c>
      <c r="U36" s="161" t="s">
        <v>65</v>
      </c>
      <c r="V36" s="162"/>
      <c r="W36" s="729" t="s">
        <v>32</v>
      </c>
      <c r="X36" s="163" t="s">
        <v>65</v>
      </c>
    </row>
    <row r="37" spans="1:27" ht="15" customHeight="1" thickBot="1" x14ac:dyDescent="0.25">
      <c r="A37" s="719" t="s">
        <v>61</v>
      </c>
      <c r="B37" s="783"/>
      <c r="C37" s="774"/>
      <c r="D37" s="773"/>
      <c r="E37" s="774"/>
      <c r="F37" s="773"/>
      <c r="G37" s="774"/>
      <c r="H37" s="300">
        <v>5</v>
      </c>
      <c r="I37" s="301">
        <f>H37/H17</f>
        <v>0.35714285714285715</v>
      </c>
      <c r="J37" s="300">
        <v>6</v>
      </c>
      <c r="K37" s="301">
        <f>J37/J17</f>
        <v>0.31578947368421051</v>
      </c>
      <c r="L37" s="300">
        <v>9</v>
      </c>
      <c r="M37" s="301">
        <f>L37/L17</f>
        <v>0.3</v>
      </c>
      <c r="N37" s="300">
        <v>7</v>
      </c>
      <c r="O37" s="301">
        <f>N37/N17</f>
        <v>0.33333333333333331</v>
      </c>
      <c r="P37" s="300">
        <v>4</v>
      </c>
      <c r="Q37" s="301">
        <f>P37/P17</f>
        <v>0.23529411764705882</v>
      </c>
      <c r="R37" s="300">
        <v>3</v>
      </c>
      <c r="S37" s="301">
        <f>R37/R17</f>
        <v>0.14285714285714285</v>
      </c>
      <c r="T37" s="300"/>
      <c r="U37" s="547">
        <f>T37/T17</f>
        <v>0</v>
      </c>
      <c r="V37" s="157"/>
      <c r="W37" s="529">
        <f>AVERAGE(N37,L37,R37,T37,P37)</f>
        <v>5.75</v>
      </c>
      <c r="X37" s="546">
        <f>W37/W17</f>
        <v>0.26869158878504673</v>
      </c>
      <c r="Z37" s="36" t="s">
        <v>14</v>
      </c>
    </row>
    <row r="38" spans="1:27" s="46" customFormat="1" ht="15" customHeight="1" thickTop="1" x14ac:dyDescent="0.2">
      <c r="A38" s="792" t="s">
        <v>175</v>
      </c>
      <c r="B38" s="216"/>
      <c r="C38" s="489"/>
      <c r="D38" s="216"/>
      <c r="E38" s="489"/>
      <c r="G38" s="489"/>
      <c r="H38" s="216"/>
      <c r="I38" s="489"/>
      <c r="J38" s="216"/>
      <c r="K38" s="489"/>
      <c r="L38" s="216"/>
      <c r="M38" s="489"/>
      <c r="N38" s="216"/>
      <c r="O38" s="489"/>
      <c r="P38" s="216"/>
      <c r="Q38" s="489"/>
      <c r="R38" s="216"/>
      <c r="S38" s="489"/>
      <c r="T38" s="216"/>
      <c r="U38" s="489"/>
      <c r="V38" s="252"/>
      <c r="W38" s="217"/>
      <c r="X38" s="218"/>
      <c r="Z38" s="499"/>
    </row>
    <row r="39" spans="1:27" s="46" customFormat="1" ht="15" customHeight="1" x14ac:dyDescent="0.2">
      <c r="A39" s="18" t="s">
        <v>178</v>
      </c>
      <c r="B39" s="216"/>
      <c r="C39" s="489"/>
      <c r="D39" s="216"/>
      <c r="E39" s="489"/>
      <c r="F39" s="18"/>
      <c r="G39" s="489"/>
      <c r="H39" s="216"/>
      <c r="I39" s="489"/>
      <c r="J39" s="216"/>
      <c r="K39" s="489"/>
      <c r="L39" s="216"/>
      <c r="M39" s="489"/>
      <c r="N39" s="216"/>
      <c r="O39" s="489"/>
      <c r="P39" s="216"/>
      <c r="Q39" s="489"/>
      <c r="R39" s="216"/>
      <c r="S39" s="489"/>
      <c r="T39" s="216"/>
      <c r="U39" s="489"/>
      <c r="V39" s="252"/>
      <c r="W39" s="217"/>
      <c r="X39" s="218"/>
      <c r="Z39" s="499"/>
    </row>
    <row r="40" spans="1:27" s="1" customFormat="1" ht="15" customHeight="1" thickBot="1" x14ac:dyDescent="0.25">
      <c r="A40" s="18"/>
      <c r="B40" s="250"/>
      <c r="C40" s="497"/>
      <c r="D40" s="250"/>
      <c r="E40" s="497"/>
      <c r="F40" s="250"/>
      <c r="G40" s="497"/>
      <c r="H40" s="250"/>
      <c r="I40" s="497"/>
      <c r="J40" s="250"/>
      <c r="K40" s="497"/>
      <c r="L40" s="250"/>
      <c r="M40" s="497"/>
      <c r="N40" s="250"/>
      <c r="O40" s="497"/>
      <c r="P40" s="250"/>
      <c r="Q40" s="497"/>
      <c r="R40" s="250"/>
      <c r="S40" s="497" t="s">
        <v>14</v>
      </c>
      <c r="T40" s="250"/>
      <c r="U40" s="497" t="s">
        <v>14</v>
      </c>
      <c r="V40" s="191"/>
      <c r="W40" s="191"/>
      <c r="X40" s="498"/>
    </row>
    <row r="41" spans="1:27" s="1" customFormat="1" ht="18.75" customHeight="1" thickTop="1" thickBot="1" x14ac:dyDescent="0.25">
      <c r="A41" s="174" t="s">
        <v>157</v>
      </c>
      <c r="B41" s="1060" t="s">
        <v>23</v>
      </c>
      <c r="C41" s="1043"/>
      <c r="D41" s="1039" t="s">
        <v>24</v>
      </c>
      <c r="E41" s="1040"/>
      <c r="F41" s="1039" t="s">
        <v>25</v>
      </c>
      <c r="G41" s="1040"/>
      <c r="H41" s="1039" t="s">
        <v>26</v>
      </c>
      <c r="I41" s="1040"/>
      <c r="J41" s="1039" t="s">
        <v>27</v>
      </c>
      <c r="K41" s="1040"/>
      <c r="L41" s="1039" t="s">
        <v>28</v>
      </c>
      <c r="M41" s="1040"/>
      <c r="N41" s="1039" t="s">
        <v>29</v>
      </c>
      <c r="O41" s="1040"/>
      <c r="P41" s="1039" t="s">
        <v>30</v>
      </c>
      <c r="Q41" s="1040"/>
      <c r="R41" s="1039" t="s">
        <v>31</v>
      </c>
      <c r="S41" s="1040"/>
      <c r="T41" s="1039" t="s">
        <v>200</v>
      </c>
      <c r="U41" s="1051"/>
      <c r="V41" s="191"/>
      <c r="W41" s="1041" t="s">
        <v>9</v>
      </c>
      <c r="X41" s="1042"/>
    </row>
    <row r="42" spans="1:27" s="1" customFormat="1" ht="24" x14ac:dyDescent="0.2">
      <c r="A42" s="500" t="s">
        <v>171</v>
      </c>
      <c r="B42" s="685"/>
      <c r="C42" s="503"/>
      <c r="D42" s="502"/>
      <c r="E42" s="504"/>
      <c r="F42" s="502"/>
      <c r="G42" s="504"/>
      <c r="H42" s="502"/>
      <c r="I42" s="504"/>
      <c r="J42" s="502"/>
      <c r="K42" s="504"/>
      <c r="L42" s="502"/>
      <c r="M42" s="504"/>
      <c r="N42" s="502"/>
      <c r="O42" s="504"/>
      <c r="P42" s="502"/>
      <c r="Q42" s="504"/>
      <c r="R42" s="502"/>
      <c r="S42" s="504"/>
      <c r="T42" s="502"/>
      <c r="U42" s="505"/>
      <c r="V42" s="501"/>
      <c r="W42" s="954"/>
      <c r="X42" s="955"/>
    </row>
    <row r="43" spans="1:27" s="1" customFormat="1" ht="15" customHeight="1" x14ac:dyDescent="0.2">
      <c r="A43" s="698" t="s">
        <v>145</v>
      </c>
      <c r="B43" s="187"/>
      <c r="C43" s="420">
        <v>9</v>
      </c>
      <c r="D43" s="187"/>
      <c r="E43" s="420">
        <v>9</v>
      </c>
      <c r="F43" s="187"/>
      <c r="G43" s="420">
        <v>10</v>
      </c>
      <c r="H43" s="187"/>
      <c r="I43" s="420">
        <v>10</v>
      </c>
      <c r="J43" s="187"/>
      <c r="K43" s="420">
        <v>9</v>
      </c>
      <c r="L43" s="187"/>
      <c r="M43" s="420">
        <v>10</v>
      </c>
      <c r="N43" s="187"/>
      <c r="O43" s="420">
        <v>9</v>
      </c>
      <c r="P43" s="187"/>
      <c r="Q43" s="420">
        <v>10</v>
      </c>
      <c r="R43" s="187"/>
      <c r="S43" s="420">
        <v>10</v>
      </c>
      <c r="T43" s="421"/>
      <c r="U43" s="255"/>
      <c r="V43" s="191"/>
      <c r="W43" s="956"/>
      <c r="X43" s="255">
        <f>AVERAGE(O43,M43,S43,U43,Q43)</f>
        <v>9.75</v>
      </c>
    </row>
    <row r="44" spans="1:27" s="1" customFormat="1" ht="24" x14ac:dyDescent="0.2">
      <c r="A44" s="698" t="s">
        <v>163</v>
      </c>
      <c r="B44" s="686"/>
      <c r="C44" s="506">
        <v>9</v>
      </c>
      <c r="D44" s="421"/>
      <c r="E44" s="506">
        <v>9</v>
      </c>
      <c r="F44" s="421"/>
      <c r="G44" s="506">
        <v>10</v>
      </c>
      <c r="H44" s="421"/>
      <c r="I44" s="506">
        <v>10</v>
      </c>
      <c r="J44" s="421"/>
      <c r="K44" s="506">
        <v>9</v>
      </c>
      <c r="L44" s="421"/>
      <c r="M44" s="506">
        <v>10</v>
      </c>
      <c r="N44" s="421"/>
      <c r="O44" s="506">
        <v>9</v>
      </c>
      <c r="P44" s="421"/>
      <c r="Q44" s="506">
        <v>10</v>
      </c>
      <c r="R44" s="421"/>
      <c r="S44" s="506">
        <v>10</v>
      </c>
      <c r="T44" s="421"/>
      <c r="U44" s="255"/>
      <c r="V44" s="191"/>
      <c r="W44" s="957"/>
      <c r="X44" s="958">
        <f>AVERAGE(O44,M44,S44,U44,Q44)</f>
        <v>9.75</v>
      </c>
    </row>
    <row r="45" spans="1:27" s="1" customFormat="1" ht="15" customHeight="1" thickBot="1" x14ac:dyDescent="0.25">
      <c r="A45" s="722" t="s">
        <v>146</v>
      </c>
      <c r="B45" s="571"/>
      <c r="C45" s="572">
        <v>8.5399999999999991</v>
      </c>
      <c r="D45" s="571"/>
      <c r="E45" s="572">
        <f>8.46+0.95</f>
        <v>9.41</v>
      </c>
      <c r="F45" s="571"/>
      <c r="G45" s="572">
        <v>9.4600000000000009</v>
      </c>
      <c r="H45" s="571"/>
      <c r="I45" s="572">
        <v>9.4600000000000009</v>
      </c>
      <c r="J45" s="571"/>
      <c r="K45" s="572">
        <v>8.4600000000000009</v>
      </c>
      <c r="L45" s="571"/>
      <c r="M45" s="572">
        <v>9.4600000000000009</v>
      </c>
      <c r="N45" s="571"/>
      <c r="O45" s="572">
        <v>8.4600000000000009</v>
      </c>
      <c r="P45" s="571"/>
      <c r="Q45" s="572">
        <v>9.6999999999999993</v>
      </c>
      <c r="R45" s="571"/>
      <c r="S45" s="572">
        <v>9.34</v>
      </c>
      <c r="T45" s="573"/>
      <c r="U45" s="574"/>
      <c r="V45" s="191"/>
      <c r="W45" s="959"/>
      <c r="X45" s="960">
        <f>AVERAGE(O45,M45,S45,U45,Q45)</f>
        <v>9.24</v>
      </c>
    </row>
    <row r="46" spans="1:27" s="1" customFormat="1" ht="18" customHeight="1" thickBot="1" x14ac:dyDescent="0.25">
      <c r="A46" s="575" t="s">
        <v>160</v>
      </c>
      <c r="B46" s="675" t="s">
        <v>33</v>
      </c>
      <c r="C46" s="559" t="s">
        <v>34</v>
      </c>
      <c r="D46" s="675" t="s">
        <v>33</v>
      </c>
      <c r="E46" s="619" t="s">
        <v>34</v>
      </c>
      <c r="F46" s="675" t="s">
        <v>33</v>
      </c>
      <c r="G46" s="619" t="s">
        <v>34</v>
      </c>
      <c r="H46" s="675" t="s">
        <v>33</v>
      </c>
      <c r="I46" s="619" t="s">
        <v>34</v>
      </c>
      <c r="J46" s="675" t="s">
        <v>33</v>
      </c>
      <c r="K46" s="619" t="s">
        <v>34</v>
      </c>
      <c r="L46" s="675" t="s">
        <v>33</v>
      </c>
      <c r="M46" s="619" t="s">
        <v>34</v>
      </c>
      <c r="N46" s="675" t="s">
        <v>33</v>
      </c>
      <c r="O46" s="619" t="s">
        <v>34</v>
      </c>
      <c r="P46" s="675" t="s">
        <v>33</v>
      </c>
      <c r="Q46" s="619" t="s">
        <v>34</v>
      </c>
      <c r="R46" s="675" t="s">
        <v>33</v>
      </c>
      <c r="S46" s="619" t="s">
        <v>34</v>
      </c>
      <c r="T46" s="675" t="s">
        <v>33</v>
      </c>
      <c r="U46" s="625" t="s">
        <v>34</v>
      </c>
      <c r="W46" s="665" t="s">
        <v>33</v>
      </c>
      <c r="X46" s="961" t="s">
        <v>152</v>
      </c>
    </row>
    <row r="47" spans="1:27" s="1" customFormat="1" ht="15" customHeight="1" x14ac:dyDescent="0.2">
      <c r="A47" s="723" t="s">
        <v>35</v>
      </c>
      <c r="B47" s="598"/>
      <c r="C47" s="470"/>
      <c r="D47" s="598"/>
      <c r="E47" s="599"/>
      <c r="F47" s="598"/>
      <c r="G47" s="599"/>
      <c r="H47" s="598"/>
      <c r="I47" s="599"/>
      <c r="J47" s="588"/>
      <c r="K47" s="599"/>
      <c r="L47" s="588"/>
      <c r="M47" s="599"/>
      <c r="N47" s="588"/>
      <c r="O47" s="599"/>
      <c r="P47" s="588"/>
      <c r="Q47" s="599"/>
      <c r="R47" s="588"/>
      <c r="S47" s="599"/>
      <c r="T47" s="588"/>
      <c r="U47" s="589"/>
      <c r="W47" s="662"/>
      <c r="X47" s="946"/>
    </row>
    <row r="48" spans="1:27" s="1" customFormat="1" ht="15" customHeight="1" x14ac:dyDescent="0.2">
      <c r="A48" s="724" t="s">
        <v>36</v>
      </c>
      <c r="B48" s="82"/>
      <c r="C48" s="26">
        <v>11</v>
      </c>
      <c r="D48" s="82"/>
      <c r="E48" s="446">
        <v>12</v>
      </c>
      <c r="F48" s="82"/>
      <c r="G48" s="446">
        <v>13</v>
      </c>
      <c r="H48" s="82"/>
      <c r="I48" s="446">
        <v>14</v>
      </c>
      <c r="J48" s="590">
        <v>14</v>
      </c>
      <c r="K48" s="446">
        <v>14</v>
      </c>
      <c r="L48" s="590">
        <v>14</v>
      </c>
      <c r="M48" s="446">
        <v>14</v>
      </c>
      <c r="N48" s="590">
        <v>12</v>
      </c>
      <c r="O48" s="446">
        <v>12</v>
      </c>
      <c r="P48" s="590">
        <v>13</v>
      </c>
      <c r="Q48" s="446">
        <v>13</v>
      </c>
      <c r="R48" s="590">
        <v>13</v>
      </c>
      <c r="S48" s="446">
        <v>13</v>
      </c>
      <c r="T48" s="590"/>
      <c r="U48" s="444"/>
      <c r="W48" s="947">
        <f>AVERAGE(N48,L48,R48,T48,P48)</f>
        <v>13</v>
      </c>
      <c r="X48" s="948">
        <f>AVERAGE(O48,M48,S48,U48,Q48)</f>
        <v>13</v>
      </c>
    </row>
    <row r="49" spans="1:27" s="1" customFormat="1" ht="15" customHeight="1" x14ac:dyDescent="0.2">
      <c r="A49" s="724" t="s">
        <v>37</v>
      </c>
      <c r="B49" s="82"/>
      <c r="C49" s="26">
        <v>0</v>
      </c>
      <c r="D49" s="82"/>
      <c r="E49" s="446">
        <v>0</v>
      </c>
      <c r="F49" s="82"/>
      <c r="G49" s="446">
        <v>0</v>
      </c>
      <c r="H49" s="82"/>
      <c r="I49" s="446">
        <v>1</v>
      </c>
      <c r="J49" s="590">
        <v>0</v>
      </c>
      <c r="K49" s="446">
        <v>0</v>
      </c>
      <c r="L49" s="590">
        <v>0</v>
      </c>
      <c r="M49" s="446">
        <v>0</v>
      </c>
      <c r="N49" s="590">
        <v>0</v>
      </c>
      <c r="O49" s="446">
        <v>0</v>
      </c>
      <c r="P49" s="590">
        <v>0</v>
      </c>
      <c r="Q49" s="446">
        <v>0</v>
      </c>
      <c r="R49" s="590">
        <v>0</v>
      </c>
      <c r="S49" s="446">
        <v>0</v>
      </c>
      <c r="T49" s="590"/>
      <c r="U49" s="444"/>
      <c r="W49" s="947">
        <f t="shared" ref="W49:X52" si="6">AVERAGE(N49,L49,R49,T49,P49)</f>
        <v>0</v>
      </c>
      <c r="X49" s="948">
        <f t="shared" si="6"/>
        <v>0</v>
      </c>
    </row>
    <row r="50" spans="1:27" s="1" customFormat="1" ht="15" customHeight="1" x14ac:dyDescent="0.2">
      <c r="A50" s="725" t="s">
        <v>38</v>
      </c>
      <c r="B50" s="6"/>
      <c r="C50" s="31"/>
      <c r="D50" s="6"/>
      <c r="E50" s="601"/>
      <c r="F50" s="6"/>
      <c r="G50" s="601"/>
      <c r="H50" s="6"/>
      <c r="I50" s="601"/>
      <c r="J50" s="7"/>
      <c r="K50" s="601"/>
      <c r="L50" s="590"/>
      <c r="M50" s="601"/>
      <c r="N50" s="590"/>
      <c r="O50" s="601"/>
      <c r="P50" s="590"/>
      <c r="Q50" s="601"/>
      <c r="R50" s="590"/>
      <c r="S50" s="601"/>
      <c r="T50" s="590"/>
      <c r="U50" s="591"/>
      <c r="W50" s="947"/>
      <c r="X50" s="948"/>
    </row>
    <row r="51" spans="1:27" s="1" customFormat="1" ht="18" customHeight="1" x14ac:dyDescent="0.2">
      <c r="A51" s="724" t="s">
        <v>36</v>
      </c>
      <c r="B51" s="82"/>
      <c r="C51" s="31">
        <v>1</v>
      </c>
      <c r="D51" s="82"/>
      <c r="E51" s="601">
        <v>1</v>
      </c>
      <c r="F51" s="82"/>
      <c r="G51" s="601">
        <v>0</v>
      </c>
      <c r="H51" s="82"/>
      <c r="I51" s="601">
        <v>0</v>
      </c>
      <c r="J51" s="590">
        <v>0</v>
      </c>
      <c r="K51" s="601">
        <v>0</v>
      </c>
      <c r="L51" s="590">
        <v>0</v>
      </c>
      <c r="M51" s="601">
        <v>0</v>
      </c>
      <c r="N51" s="590">
        <v>0</v>
      </c>
      <c r="O51" s="601">
        <v>0</v>
      </c>
      <c r="P51" s="590">
        <v>0</v>
      </c>
      <c r="Q51" s="601">
        <v>0</v>
      </c>
      <c r="R51" s="590">
        <v>0</v>
      </c>
      <c r="S51" s="601">
        <v>0</v>
      </c>
      <c r="T51" s="590"/>
      <c r="U51" s="591"/>
      <c r="W51" s="947">
        <f t="shared" si="6"/>
        <v>0</v>
      </c>
      <c r="X51" s="948">
        <f t="shared" si="6"/>
        <v>0</v>
      </c>
    </row>
    <row r="52" spans="1:27" s="1" customFormat="1" ht="15" customHeight="1" thickBot="1" x14ac:dyDescent="0.25">
      <c r="A52" s="726" t="s">
        <v>37</v>
      </c>
      <c r="B52" s="82"/>
      <c r="C52" s="31">
        <v>0</v>
      </c>
      <c r="D52" s="82"/>
      <c r="E52" s="601">
        <v>0</v>
      </c>
      <c r="F52" s="82"/>
      <c r="G52" s="601">
        <v>0</v>
      </c>
      <c r="H52" s="82"/>
      <c r="I52" s="601">
        <v>0</v>
      </c>
      <c r="J52" s="590">
        <v>0</v>
      </c>
      <c r="K52" s="601">
        <v>0</v>
      </c>
      <c r="L52" s="590">
        <v>0</v>
      </c>
      <c r="M52" s="601">
        <v>0</v>
      </c>
      <c r="N52" s="590">
        <v>0</v>
      </c>
      <c r="O52" s="601">
        <v>0</v>
      </c>
      <c r="P52" s="590">
        <v>0</v>
      </c>
      <c r="Q52" s="601">
        <v>0</v>
      </c>
      <c r="R52" s="590">
        <v>0</v>
      </c>
      <c r="S52" s="601">
        <v>0</v>
      </c>
      <c r="T52" s="676"/>
      <c r="U52" s="627"/>
      <c r="W52" s="947">
        <f t="shared" si="6"/>
        <v>0</v>
      </c>
      <c r="X52" s="948">
        <f t="shared" si="6"/>
        <v>0</v>
      </c>
    </row>
    <row r="53" spans="1:27" s="1" customFormat="1" ht="15" customHeight="1" thickBot="1" x14ac:dyDescent="0.25">
      <c r="A53" s="567" t="s">
        <v>21</v>
      </c>
      <c r="B53" s="759"/>
      <c r="C53" s="553">
        <f>SUM(C48:C52)</f>
        <v>12</v>
      </c>
      <c r="D53" s="759"/>
      <c r="E53" s="605">
        <f>SUM(E48:E52)</f>
        <v>13</v>
      </c>
      <c r="F53" s="759"/>
      <c r="G53" s="605">
        <f t="shared" ref="G53:S53" si="7">SUM(G48:G52)</f>
        <v>13</v>
      </c>
      <c r="H53" s="759"/>
      <c r="I53" s="605">
        <f t="shared" si="7"/>
        <v>15</v>
      </c>
      <c r="J53" s="594">
        <f t="shared" si="7"/>
        <v>14</v>
      </c>
      <c r="K53" s="605">
        <f t="shared" si="7"/>
        <v>14</v>
      </c>
      <c r="L53" s="594">
        <f t="shared" si="7"/>
        <v>14</v>
      </c>
      <c r="M53" s="605">
        <f t="shared" si="7"/>
        <v>14</v>
      </c>
      <c r="N53" s="594">
        <f t="shared" si="7"/>
        <v>12</v>
      </c>
      <c r="O53" s="605">
        <f t="shared" si="7"/>
        <v>12</v>
      </c>
      <c r="P53" s="594">
        <f t="shared" si="7"/>
        <v>13</v>
      </c>
      <c r="Q53" s="605">
        <f t="shared" si="7"/>
        <v>13</v>
      </c>
      <c r="R53" s="594">
        <f t="shared" si="7"/>
        <v>13</v>
      </c>
      <c r="S53" s="605">
        <f t="shared" si="7"/>
        <v>13</v>
      </c>
      <c r="T53" s="594">
        <f t="shared" ref="T53:U53" si="8">SUM(T48:T52)</f>
        <v>0</v>
      </c>
      <c r="U53" s="595">
        <f t="shared" si="8"/>
        <v>0</v>
      </c>
      <c r="W53" s="949">
        <f>AVERAGE(N53,L53,R53,T53,P53)</f>
        <v>10.4</v>
      </c>
      <c r="X53" s="950">
        <f>AVERAGE(O53,M53,S53,U53,Q53)</f>
        <v>10.4</v>
      </c>
      <c r="AA53" s="786" t="s">
        <v>173</v>
      </c>
    </row>
    <row r="54" spans="1:27" s="1" customFormat="1" ht="18" customHeight="1" thickBot="1" x14ac:dyDescent="0.25">
      <c r="A54" s="575" t="s">
        <v>161</v>
      </c>
      <c r="B54" s="708" t="s">
        <v>32</v>
      </c>
      <c r="C54" s="555" t="s">
        <v>39</v>
      </c>
      <c r="D54" s="554" t="s">
        <v>32</v>
      </c>
      <c r="E54" s="556" t="s">
        <v>39</v>
      </c>
      <c r="F54" s="557" t="s">
        <v>32</v>
      </c>
      <c r="G54" s="556" t="s">
        <v>39</v>
      </c>
      <c r="H54" s="557" t="s">
        <v>32</v>
      </c>
      <c r="I54" s="556" t="s">
        <v>39</v>
      </c>
      <c r="J54" s="557" t="s">
        <v>32</v>
      </c>
      <c r="K54" s="556" t="s">
        <v>39</v>
      </c>
      <c r="L54" s="557" t="s">
        <v>32</v>
      </c>
      <c r="M54" s="556" t="s">
        <v>39</v>
      </c>
      <c r="N54" s="557" t="s">
        <v>32</v>
      </c>
      <c r="O54" s="556" t="s">
        <v>39</v>
      </c>
      <c r="P54" s="557" t="s">
        <v>32</v>
      </c>
      <c r="Q54" s="556" t="s">
        <v>39</v>
      </c>
      <c r="R54" s="557" t="s">
        <v>32</v>
      </c>
      <c r="S54" s="556" t="s">
        <v>39</v>
      </c>
      <c r="T54" s="557" t="s">
        <v>32</v>
      </c>
      <c r="U54" s="558" t="s">
        <v>39</v>
      </c>
      <c r="V54" s="191"/>
      <c r="W54" s="951" t="s">
        <v>32</v>
      </c>
      <c r="X54" s="656" t="s">
        <v>39</v>
      </c>
    </row>
    <row r="55" spans="1:27" s="1" customFormat="1" ht="18" customHeight="1" x14ac:dyDescent="0.2">
      <c r="A55" s="723" t="s">
        <v>162</v>
      </c>
      <c r="B55" s="578"/>
      <c r="C55" s="577"/>
      <c r="D55" s="220"/>
      <c r="E55" s="629"/>
      <c r="F55" s="630"/>
      <c r="G55" s="629"/>
      <c r="H55" s="630"/>
      <c r="I55" s="629"/>
      <c r="J55" s="630"/>
      <c r="K55" s="629"/>
      <c r="L55" s="630"/>
      <c r="M55" s="629"/>
      <c r="N55" s="630"/>
      <c r="O55" s="629"/>
      <c r="P55" s="630"/>
      <c r="Q55" s="629"/>
      <c r="R55" s="630"/>
      <c r="S55" s="629"/>
      <c r="T55" s="630"/>
      <c r="U55" s="585"/>
      <c r="V55" s="191"/>
      <c r="W55" s="952"/>
      <c r="X55" s="585"/>
    </row>
    <row r="56" spans="1:27" s="1" customFormat="1" ht="15" customHeight="1" x14ac:dyDescent="0.2">
      <c r="A56" s="508" t="s">
        <v>40</v>
      </c>
      <c r="B56" s="512">
        <v>11</v>
      </c>
      <c r="C56" s="510">
        <f t="shared" ref="C56:C63" si="9">B56/C$53</f>
        <v>0.91666666666666663</v>
      </c>
      <c r="D56" s="509">
        <v>11</v>
      </c>
      <c r="E56" s="511">
        <f t="shared" ref="E56:K63" si="10">D56/E$53</f>
        <v>0.84615384615384615</v>
      </c>
      <c r="F56" s="512">
        <v>11</v>
      </c>
      <c r="G56" s="511">
        <f t="shared" si="10"/>
        <v>0.84615384615384615</v>
      </c>
      <c r="H56" s="512">
        <v>13</v>
      </c>
      <c r="I56" s="511">
        <f t="shared" ref="I56:I63" si="11">H56/I$53</f>
        <v>0.8666666666666667</v>
      </c>
      <c r="J56" s="512">
        <v>11</v>
      </c>
      <c r="K56" s="511">
        <f t="shared" si="10"/>
        <v>0.7857142857142857</v>
      </c>
      <c r="L56" s="512">
        <v>12</v>
      </c>
      <c r="M56" s="511">
        <f t="shared" ref="M56:M61" si="12">L56/M$53</f>
        <v>0.8571428571428571</v>
      </c>
      <c r="N56" s="512">
        <v>11</v>
      </c>
      <c r="O56" s="511">
        <f t="shared" ref="O56:Q61" si="13">N56/O$53</f>
        <v>0.91666666666666663</v>
      </c>
      <c r="P56" s="512">
        <v>12</v>
      </c>
      <c r="Q56" s="511">
        <f t="shared" si="13"/>
        <v>0.92307692307692313</v>
      </c>
      <c r="R56" s="512">
        <v>12</v>
      </c>
      <c r="S56" s="511">
        <f t="shared" ref="S56:S61" si="14">R56/S$53</f>
        <v>0.92307692307692313</v>
      </c>
      <c r="T56" s="512"/>
      <c r="U56" s="513" t="e">
        <f t="shared" ref="U56:U61" si="15">T56/U$53</f>
        <v>#DIV/0!</v>
      </c>
      <c r="V56" s="198"/>
      <c r="W56" s="947">
        <f t="shared" ref="W56:W75" si="16">AVERAGE(N56,L56,R56,T56,P56)</f>
        <v>11.75</v>
      </c>
      <c r="X56" s="199" t="e">
        <f>AVERAGE(O56,M56,U56,S56,Q56)</f>
        <v>#DIV/0!</v>
      </c>
    </row>
    <row r="57" spans="1:27" s="1" customFormat="1" ht="15" customHeight="1" x14ac:dyDescent="0.2">
      <c r="A57" s="200" t="s">
        <v>41</v>
      </c>
      <c r="B57" s="196">
        <v>0</v>
      </c>
      <c r="C57" s="194">
        <f t="shared" si="9"/>
        <v>0</v>
      </c>
      <c r="D57" s="193">
        <v>0</v>
      </c>
      <c r="E57" s="195">
        <f t="shared" si="10"/>
        <v>0</v>
      </c>
      <c r="F57" s="196">
        <v>0</v>
      </c>
      <c r="G57" s="195">
        <f t="shared" si="10"/>
        <v>0</v>
      </c>
      <c r="H57" s="196">
        <v>0</v>
      </c>
      <c r="I57" s="195">
        <f t="shared" si="11"/>
        <v>0</v>
      </c>
      <c r="J57" s="196">
        <v>0</v>
      </c>
      <c r="K57" s="195">
        <f t="shared" si="10"/>
        <v>0</v>
      </c>
      <c r="L57" s="196">
        <v>0</v>
      </c>
      <c r="M57" s="195">
        <f t="shared" si="12"/>
        <v>0</v>
      </c>
      <c r="N57" s="196">
        <v>0</v>
      </c>
      <c r="O57" s="195">
        <f t="shared" si="13"/>
        <v>0</v>
      </c>
      <c r="P57" s="196">
        <v>0</v>
      </c>
      <c r="Q57" s="195">
        <f t="shared" si="13"/>
        <v>0</v>
      </c>
      <c r="R57" s="196">
        <v>0</v>
      </c>
      <c r="S57" s="195">
        <f t="shared" si="14"/>
        <v>0</v>
      </c>
      <c r="T57" s="196"/>
      <c r="U57" s="197" t="e">
        <f t="shared" si="15"/>
        <v>#DIV/0!</v>
      </c>
      <c r="V57" s="198"/>
      <c r="W57" s="947">
        <f t="shared" si="16"/>
        <v>0</v>
      </c>
      <c r="X57" s="199" t="e">
        <f t="shared" ref="X57:X75" si="17">AVERAGE(O57,M57,U57,S57,Q57)</f>
        <v>#DIV/0!</v>
      </c>
    </row>
    <row r="58" spans="1:27" s="1" customFormat="1" ht="15" customHeight="1" x14ac:dyDescent="0.2">
      <c r="A58" s="200" t="s">
        <v>42</v>
      </c>
      <c r="B58" s="196">
        <v>1</v>
      </c>
      <c r="C58" s="194">
        <f t="shared" si="9"/>
        <v>8.3333333333333329E-2</v>
      </c>
      <c r="D58" s="193">
        <v>1</v>
      </c>
      <c r="E58" s="195">
        <f t="shared" si="10"/>
        <v>7.6923076923076927E-2</v>
      </c>
      <c r="F58" s="196">
        <v>1</v>
      </c>
      <c r="G58" s="195">
        <f t="shared" si="10"/>
        <v>7.6923076923076927E-2</v>
      </c>
      <c r="H58" s="196">
        <v>1</v>
      </c>
      <c r="I58" s="195">
        <f t="shared" si="11"/>
        <v>6.6666666666666666E-2</v>
      </c>
      <c r="J58" s="196">
        <v>1</v>
      </c>
      <c r="K58" s="195">
        <f t="shared" si="10"/>
        <v>7.1428571428571425E-2</v>
      </c>
      <c r="L58" s="196">
        <v>1</v>
      </c>
      <c r="M58" s="195">
        <f t="shared" si="12"/>
        <v>7.1428571428571425E-2</v>
      </c>
      <c r="N58" s="196">
        <v>0</v>
      </c>
      <c r="O58" s="195">
        <f t="shared" si="13"/>
        <v>0</v>
      </c>
      <c r="P58" s="196">
        <v>0</v>
      </c>
      <c r="Q58" s="195">
        <f t="shared" si="13"/>
        <v>0</v>
      </c>
      <c r="R58" s="196">
        <v>0</v>
      </c>
      <c r="S58" s="195">
        <f t="shared" si="14"/>
        <v>0</v>
      </c>
      <c r="T58" s="196"/>
      <c r="U58" s="197" t="e">
        <f t="shared" si="15"/>
        <v>#DIV/0!</v>
      </c>
      <c r="V58" s="198"/>
      <c r="W58" s="947">
        <f t="shared" si="16"/>
        <v>0.25</v>
      </c>
      <c r="X58" s="199" t="e">
        <f t="shared" si="17"/>
        <v>#DIV/0!</v>
      </c>
    </row>
    <row r="59" spans="1:27" s="1" customFormat="1" ht="15" customHeight="1" x14ac:dyDescent="0.2">
      <c r="A59" s="200" t="s">
        <v>43</v>
      </c>
      <c r="B59" s="196">
        <v>0</v>
      </c>
      <c r="C59" s="194">
        <f t="shared" si="9"/>
        <v>0</v>
      </c>
      <c r="D59" s="193">
        <v>0</v>
      </c>
      <c r="E59" s="195">
        <f t="shared" si="10"/>
        <v>0</v>
      </c>
      <c r="F59" s="196">
        <v>0</v>
      </c>
      <c r="G59" s="195">
        <f t="shared" si="10"/>
        <v>0</v>
      </c>
      <c r="H59" s="196">
        <v>0</v>
      </c>
      <c r="I59" s="195">
        <f t="shared" si="11"/>
        <v>0</v>
      </c>
      <c r="J59" s="196">
        <v>0</v>
      </c>
      <c r="K59" s="195">
        <f t="shared" si="10"/>
        <v>0</v>
      </c>
      <c r="L59" s="196">
        <v>0</v>
      </c>
      <c r="M59" s="195">
        <f t="shared" si="12"/>
        <v>0</v>
      </c>
      <c r="N59" s="196">
        <v>0</v>
      </c>
      <c r="O59" s="195">
        <f t="shared" si="13"/>
        <v>0</v>
      </c>
      <c r="P59" s="196">
        <v>0</v>
      </c>
      <c r="Q59" s="195">
        <f t="shared" si="13"/>
        <v>0</v>
      </c>
      <c r="R59" s="196">
        <v>0</v>
      </c>
      <c r="S59" s="195">
        <f t="shared" si="14"/>
        <v>0</v>
      </c>
      <c r="T59" s="196"/>
      <c r="U59" s="197" t="e">
        <f t="shared" si="15"/>
        <v>#DIV/0!</v>
      </c>
      <c r="V59" s="198"/>
      <c r="W59" s="947">
        <f t="shared" si="16"/>
        <v>0</v>
      </c>
      <c r="X59" s="199" t="e">
        <f t="shared" si="17"/>
        <v>#DIV/0!</v>
      </c>
    </row>
    <row r="60" spans="1:27" s="1" customFormat="1" ht="15" customHeight="1" x14ac:dyDescent="0.2">
      <c r="A60" s="200" t="s">
        <v>44</v>
      </c>
      <c r="B60" s="196">
        <v>0</v>
      </c>
      <c r="C60" s="194">
        <f t="shared" si="9"/>
        <v>0</v>
      </c>
      <c r="D60" s="193">
        <v>0</v>
      </c>
      <c r="E60" s="195">
        <f t="shared" si="10"/>
        <v>0</v>
      </c>
      <c r="F60" s="196">
        <v>0</v>
      </c>
      <c r="G60" s="195">
        <f t="shared" si="10"/>
        <v>0</v>
      </c>
      <c r="H60" s="196">
        <v>0</v>
      </c>
      <c r="I60" s="195">
        <f t="shared" si="11"/>
        <v>0</v>
      </c>
      <c r="J60" s="196">
        <v>0</v>
      </c>
      <c r="K60" s="195">
        <f t="shared" si="10"/>
        <v>0</v>
      </c>
      <c r="L60" s="196">
        <v>0</v>
      </c>
      <c r="M60" s="195">
        <f t="shared" si="12"/>
        <v>0</v>
      </c>
      <c r="N60" s="196">
        <v>0</v>
      </c>
      <c r="O60" s="195">
        <f t="shared" si="13"/>
        <v>0</v>
      </c>
      <c r="P60" s="196">
        <v>0</v>
      </c>
      <c r="Q60" s="195">
        <f t="shared" si="13"/>
        <v>0</v>
      </c>
      <c r="R60" s="196">
        <v>0</v>
      </c>
      <c r="S60" s="195">
        <f t="shared" si="14"/>
        <v>0</v>
      </c>
      <c r="T60" s="196"/>
      <c r="U60" s="197" t="e">
        <f t="shared" si="15"/>
        <v>#DIV/0!</v>
      </c>
      <c r="V60" s="198"/>
      <c r="W60" s="947">
        <f t="shared" si="16"/>
        <v>0</v>
      </c>
      <c r="X60" s="199" t="e">
        <f t="shared" si="17"/>
        <v>#DIV/0!</v>
      </c>
    </row>
    <row r="61" spans="1:27" s="1" customFormat="1" ht="15" customHeight="1" x14ac:dyDescent="0.2">
      <c r="A61" s="200" t="s">
        <v>45</v>
      </c>
      <c r="B61" s="196">
        <v>0</v>
      </c>
      <c r="C61" s="194">
        <f t="shared" si="9"/>
        <v>0</v>
      </c>
      <c r="D61" s="193">
        <v>1</v>
      </c>
      <c r="E61" s="195">
        <f t="shared" si="10"/>
        <v>7.6923076923076927E-2</v>
      </c>
      <c r="F61" s="196">
        <v>1</v>
      </c>
      <c r="G61" s="195">
        <f t="shared" si="10"/>
        <v>7.6923076923076927E-2</v>
      </c>
      <c r="H61" s="196">
        <v>1</v>
      </c>
      <c r="I61" s="195">
        <f t="shared" si="11"/>
        <v>6.6666666666666666E-2</v>
      </c>
      <c r="J61" s="196">
        <v>1</v>
      </c>
      <c r="K61" s="195">
        <f t="shared" si="10"/>
        <v>7.1428571428571425E-2</v>
      </c>
      <c r="L61" s="196">
        <v>0</v>
      </c>
      <c r="M61" s="195">
        <f t="shared" si="12"/>
        <v>0</v>
      </c>
      <c r="N61" s="196">
        <v>0</v>
      </c>
      <c r="O61" s="195">
        <f t="shared" si="13"/>
        <v>0</v>
      </c>
      <c r="P61" s="196">
        <v>0</v>
      </c>
      <c r="Q61" s="195">
        <f t="shared" si="13"/>
        <v>0</v>
      </c>
      <c r="R61" s="196">
        <v>0</v>
      </c>
      <c r="S61" s="195">
        <f t="shared" si="14"/>
        <v>0</v>
      </c>
      <c r="T61" s="196"/>
      <c r="U61" s="197" t="e">
        <f t="shared" si="15"/>
        <v>#DIV/0!</v>
      </c>
      <c r="V61" s="198"/>
      <c r="W61" s="947">
        <f t="shared" si="16"/>
        <v>0</v>
      </c>
      <c r="X61" s="199" t="e">
        <f t="shared" si="17"/>
        <v>#DIV/0!</v>
      </c>
    </row>
    <row r="62" spans="1:27" s="1" customFormat="1" ht="15" customHeight="1" x14ac:dyDescent="0.2">
      <c r="A62" s="200" t="s">
        <v>46</v>
      </c>
      <c r="B62" s="784"/>
      <c r="C62" s="194">
        <f t="shared" si="9"/>
        <v>0</v>
      </c>
      <c r="D62" s="785"/>
      <c r="E62" s="195">
        <f t="shared" si="10"/>
        <v>0</v>
      </c>
      <c r="F62" s="202">
        <v>0</v>
      </c>
      <c r="G62" s="195">
        <f t="shared" si="10"/>
        <v>0</v>
      </c>
      <c r="H62" s="202">
        <v>0</v>
      </c>
      <c r="I62" s="195">
        <f t="shared" si="11"/>
        <v>0</v>
      </c>
      <c r="J62" s="202">
        <v>1</v>
      </c>
      <c r="K62" s="195">
        <f>J62/K$53</f>
        <v>7.1428571428571425E-2</v>
      </c>
      <c r="L62" s="202">
        <v>1</v>
      </c>
      <c r="M62" s="195">
        <f>L62/M$53</f>
        <v>7.1428571428571425E-2</v>
      </c>
      <c r="N62" s="202">
        <v>1</v>
      </c>
      <c r="O62" s="195">
        <f>N62/O$53</f>
        <v>8.3333333333333329E-2</v>
      </c>
      <c r="P62" s="202">
        <v>1</v>
      </c>
      <c r="Q62" s="195">
        <f>P62/Q$53</f>
        <v>7.6923076923076927E-2</v>
      </c>
      <c r="R62" s="202">
        <v>1</v>
      </c>
      <c r="S62" s="195">
        <f>R62/S$53</f>
        <v>7.6923076923076927E-2</v>
      </c>
      <c r="T62" s="196"/>
      <c r="U62" s="197" t="e">
        <f>T62/U$53</f>
        <v>#DIV/0!</v>
      </c>
      <c r="V62" s="198"/>
      <c r="W62" s="947">
        <f t="shared" si="16"/>
        <v>1</v>
      </c>
      <c r="X62" s="199" t="e">
        <f t="shared" si="17"/>
        <v>#DIV/0!</v>
      </c>
    </row>
    <row r="63" spans="1:27" s="1" customFormat="1" ht="15" customHeight="1" thickBot="1" x14ac:dyDescent="0.25">
      <c r="A63" s="521" t="s">
        <v>47</v>
      </c>
      <c r="B63" s="525">
        <v>0</v>
      </c>
      <c r="C63" s="523">
        <f t="shared" si="9"/>
        <v>0</v>
      </c>
      <c r="D63" s="522">
        <v>0</v>
      </c>
      <c r="E63" s="524">
        <f t="shared" si="10"/>
        <v>0</v>
      </c>
      <c r="F63" s="525">
        <v>0</v>
      </c>
      <c r="G63" s="524">
        <f t="shared" si="10"/>
        <v>0</v>
      </c>
      <c r="H63" s="525">
        <v>0</v>
      </c>
      <c r="I63" s="524">
        <f t="shared" si="11"/>
        <v>0</v>
      </c>
      <c r="J63" s="525">
        <v>0</v>
      </c>
      <c r="K63" s="524">
        <f t="shared" si="10"/>
        <v>0</v>
      </c>
      <c r="L63" s="525">
        <v>0</v>
      </c>
      <c r="M63" s="524">
        <f>L63/M$53</f>
        <v>0</v>
      </c>
      <c r="N63" s="525">
        <v>0</v>
      </c>
      <c r="O63" s="524">
        <f>N63/O$53</f>
        <v>0</v>
      </c>
      <c r="P63" s="525">
        <v>0</v>
      </c>
      <c r="Q63" s="524">
        <f>P63/Q$53</f>
        <v>0</v>
      </c>
      <c r="R63" s="525">
        <v>0</v>
      </c>
      <c r="S63" s="524">
        <f>R63/S$53</f>
        <v>0</v>
      </c>
      <c r="T63" s="525"/>
      <c r="U63" s="526" t="e">
        <f>T63/U$53</f>
        <v>#DIV/0!</v>
      </c>
      <c r="V63" s="198"/>
      <c r="W63" s="947">
        <f t="shared" si="16"/>
        <v>0</v>
      </c>
      <c r="X63" s="199" t="e">
        <f t="shared" si="17"/>
        <v>#DIV/0!</v>
      </c>
    </row>
    <row r="64" spans="1:27" s="1" customFormat="1" ht="18" customHeight="1" x14ac:dyDescent="0.2">
      <c r="A64" s="723" t="s">
        <v>48</v>
      </c>
      <c r="B64" s="517"/>
      <c r="C64" s="515"/>
      <c r="D64" s="514"/>
      <c r="E64" s="516"/>
      <c r="F64" s="517"/>
      <c r="G64" s="516"/>
      <c r="H64" s="517"/>
      <c r="I64" s="516"/>
      <c r="J64" s="517"/>
      <c r="K64" s="516"/>
      <c r="L64" s="517"/>
      <c r="M64" s="516"/>
      <c r="N64" s="517"/>
      <c r="O64" s="516"/>
      <c r="P64" s="517"/>
      <c r="Q64" s="516"/>
      <c r="R64" s="517"/>
      <c r="S64" s="516"/>
      <c r="T64" s="517"/>
      <c r="U64" s="518"/>
      <c r="V64" s="198"/>
      <c r="W64" s="947"/>
      <c r="X64" s="199"/>
    </row>
    <row r="65" spans="1:24" s="1" customFormat="1" ht="15" customHeight="1" x14ac:dyDescent="0.2">
      <c r="A65" s="192" t="s">
        <v>49</v>
      </c>
      <c r="B65" s="204">
        <v>9</v>
      </c>
      <c r="C65" s="194">
        <f>B65/C$53</f>
        <v>0.75</v>
      </c>
      <c r="D65" s="203">
        <v>9</v>
      </c>
      <c r="E65" s="195">
        <f>D65/E$53</f>
        <v>0.69230769230769229</v>
      </c>
      <c r="F65" s="204">
        <v>9</v>
      </c>
      <c r="G65" s="195">
        <f>F65/G$53</f>
        <v>0.69230769230769229</v>
      </c>
      <c r="H65" s="204">
        <v>9</v>
      </c>
      <c r="I65" s="195">
        <f>H65/I$53</f>
        <v>0.6</v>
      </c>
      <c r="J65" s="204">
        <v>9</v>
      </c>
      <c r="K65" s="195">
        <f>J65/K$53</f>
        <v>0.6428571428571429</v>
      </c>
      <c r="L65" s="204">
        <v>9</v>
      </c>
      <c r="M65" s="195">
        <f>L65/M$53</f>
        <v>0.6428571428571429</v>
      </c>
      <c r="N65" s="204">
        <v>8</v>
      </c>
      <c r="O65" s="195">
        <f>N65/O$53</f>
        <v>0.66666666666666663</v>
      </c>
      <c r="P65" s="204">
        <v>9</v>
      </c>
      <c r="Q65" s="195">
        <f>P65/Q$53</f>
        <v>0.69230769230769229</v>
      </c>
      <c r="R65" s="204">
        <v>9</v>
      </c>
      <c r="S65" s="195">
        <f>R65/S$53</f>
        <v>0.69230769230769229</v>
      </c>
      <c r="T65" s="204"/>
      <c r="U65" s="197" t="e">
        <f>T65/U$53</f>
        <v>#DIV/0!</v>
      </c>
      <c r="V65" s="198"/>
      <c r="W65" s="947">
        <f t="shared" si="16"/>
        <v>8.75</v>
      </c>
      <c r="X65" s="199" t="e">
        <f t="shared" si="17"/>
        <v>#DIV/0!</v>
      </c>
    </row>
    <row r="66" spans="1:24" s="1" customFormat="1" ht="15" customHeight="1" thickBot="1" x14ac:dyDescent="0.25">
      <c r="A66" s="521" t="s">
        <v>50</v>
      </c>
      <c r="B66" s="528">
        <v>3</v>
      </c>
      <c r="C66" s="523">
        <f>B66/C$53</f>
        <v>0.25</v>
      </c>
      <c r="D66" s="527">
        <v>4</v>
      </c>
      <c r="E66" s="524">
        <f>D66/E$53</f>
        <v>0.30769230769230771</v>
      </c>
      <c r="F66" s="528">
        <v>4</v>
      </c>
      <c r="G66" s="524">
        <f>F66/G$53</f>
        <v>0.30769230769230771</v>
      </c>
      <c r="H66" s="528">
        <v>6</v>
      </c>
      <c r="I66" s="524">
        <f>H66/I$53</f>
        <v>0.4</v>
      </c>
      <c r="J66" s="528">
        <v>5</v>
      </c>
      <c r="K66" s="524">
        <f>J66/K$53</f>
        <v>0.35714285714285715</v>
      </c>
      <c r="L66" s="528">
        <v>5</v>
      </c>
      <c r="M66" s="524">
        <f>L66/M$53</f>
        <v>0.35714285714285715</v>
      </c>
      <c r="N66" s="528">
        <v>4</v>
      </c>
      <c r="O66" s="524">
        <f>N66/O$53</f>
        <v>0.33333333333333331</v>
      </c>
      <c r="P66" s="528">
        <v>4</v>
      </c>
      <c r="Q66" s="524">
        <f>P66/Q$53</f>
        <v>0.30769230769230771</v>
      </c>
      <c r="R66" s="528">
        <v>4</v>
      </c>
      <c r="S66" s="524">
        <f>R66/S$53</f>
        <v>0.30769230769230771</v>
      </c>
      <c r="T66" s="528"/>
      <c r="U66" s="526" t="e">
        <f>T66/U$53</f>
        <v>#DIV/0!</v>
      </c>
      <c r="V66" s="198"/>
      <c r="W66" s="947">
        <f t="shared" si="16"/>
        <v>4.25</v>
      </c>
      <c r="X66" s="199" t="e">
        <f t="shared" si="17"/>
        <v>#DIV/0!</v>
      </c>
    </row>
    <row r="67" spans="1:24" s="1" customFormat="1" ht="18" customHeight="1" x14ac:dyDescent="0.2">
      <c r="A67" s="723" t="s">
        <v>51</v>
      </c>
      <c r="B67" s="520"/>
      <c r="C67" s="510"/>
      <c r="D67" s="519"/>
      <c r="E67" s="511"/>
      <c r="F67" s="520"/>
      <c r="G67" s="511"/>
      <c r="H67" s="520"/>
      <c r="I67" s="511"/>
      <c r="J67" s="520"/>
      <c r="K67" s="511"/>
      <c r="L67" s="520"/>
      <c r="M67" s="511"/>
      <c r="N67" s="520"/>
      <c r="O67" s="511"/>
      <c r="P67" s="520"/>
      <c r="Q67" s="511"/>
      <c r="R67" s="520"/>
      <c r="S67" s="511"/>
      <c r="T67" s="520"/>
      <c r="U67" s="513"/>
      <c r="V67" s="198"/>
      <c r="W67" s="947"/>
      <c r="X67" s="199"/>
    </row>
    <row r="68" spans="1:24" s="1" customFormat="1" ht="15" customHeight="1" x14ac:dyDescent="0.2">
      <c r="A68" s="192" t="s">
        <v>52</v>
      </c>
      <c r="B68" s="206">
        <v>6</v>
      </c>
      <c r="C68" s="194">
        <f>B68/C$53</f>
        <v>0.5</v>
      </c>
      <c r="D68" s="205">
        <v>6</v>
      </c>
      <c r="E68" s="195">
        <f>D68/E$53</f>
        <v>0.46153846153846156</v>
      </c>
      <c r="F68" s="206">
        <v>6</v>
      </c>
      <c r="G68" s="195">
        <f>F68/G$53</f>
        <v>0.46153846153846156</v>
      </c>
      <c r="H68" s="206">
        <v>6</v>
      </c>
      <c r="I68" s="195">
        <f>H68/I$53</f>
        <v>0.4</v>
      </c>
      <c r="J68" s="206">
        <v>6</v>
      </c>
      <c r="K68" s="195">
        <f>J68/K$53</f>
        <v>0.42857142857142855</v>
      </c>
      <c r="L68" s="206">
        <v>6</v>
      </c>
      <c r="M68" s="195">
        <f>L68/M$53</f>
        <v>0.42857142857142855</v>
      </c>
      <c r="N68" s="206">
        <v>6</v>
      </c>
      <c r="O68" s="195">
        <f>N68/O$53</f>
        <v>0.5</v>
      </c>
      <c r="P68" s="206">
        <v>7</v>
      </c>
      <c r="Q68" s="195">
        <f>P68/Q$53</f>
        <v>0.53846153846153844</v>
      </c>
      <c r="R68" s="206">
        <v>8</v>
      </c>
      <c r="S68" s="195">
        <f>R68/S$53</f>
        <v>0.61538461538461542</v>
      </c>
      <c r="T68" s="206"/>
      <c r="U68" s="197" t="e">
        <f>T68/U$53</f>
        <v>#DIV/0!</v>
      </c>
      <c r="V68" s="198"/>
      <c r="W68" s="947">
        <f t="shared" si="16"/>
        <v>6.75</v>
      </c>
      <c r="X68" s="199" t="e">
        <f t="shared" si="17"/>
        <v>#DIV/0!</v>
      </c>
    </row>
    <row r="69" spans="1:24" s="1" customFormat="1" ht="15" customHeight="1" x14ac:dyDescent="0.2">
      <c r="A69" s="192" t="s">
        <v>53</v>
      </c>
      <c r="B69" s="206">
        <v>4</v>
      </c>
      <c r="C69" s="194">
        <f>B69/C$53</f>
        <v>0.33333333333333331</v>
      </c>
      <c r="D69" s="205">
        <v>4</v>
      </c>
      <c r="E69" s="195">
        <f>D69/E$53</f>
        <v>0.30769230769230771</v>
      </c>
      <c r="F69" s="206">
        <v>4</v>
      </c>
      <c r="G69" s="195">
        <f>F69/G$53</f>
        <v>0.30769230769230771</v>
      </c>
      <c r="H69" s="206">
        <v>4</v>
      </c>
      <c r="I69" s="195">
        <f>H69/I$53</f>
        <v>0.26666666666666666</v>
      </c>
      <c r="J69" s="206">
        <v>3</v>
      </c>
      <c r="K69" s="195">
        <f>J69/K$53</f>
        <v>0.21428571428571427</v>
      </c>
      <c r="L69" s="206">
        <v>4</v>
      </c>
      <c r="M69" s="195">
        <f>L69/M$53</f>
        <v>0.2857142857142857</v>
      </c>
      <c r="N69" s="206">
        <v>3</v>
      </c>
      <c r="O69" s="195">
        <f>N69/O$53</f>
        <v>0.25</v>
      </c>
      <c r="P69" s="206">
        <v>3</v>
      </c>
      <c r="Q69" s="195">
        <f>P69/Q$53</f>
        <v>0.23076923076923078</v>
      </c>
      <c r="R69" s="206">
        <v>2</v>
      </c>
      <c r="S69" s="195">
        <f>R69/S$53</f>
        <v>0.15384615384615385</v>
      </c>
      <c r="T69" s="206"/>
      <c r="U69" s="197" t="e">
        <f>T69/U$53</f>
        <v>#DIV/0!</v>
      </c>
      <c r="V69" s="198"/>
      <c r="W69" s="947">
        <f t="shared" si="16"/>
        <v>3</v>
      </c>
      <c r="X69" s="199" t="e">
        <f t="shared" si="17"/>
        <v>#DIV/0!</v>
      </c>
    </row>
    <row r="70" spans="1:24" s="1" customFormat="1" ht="15" customHeight="1" thickBot="1" x14ac:dyDescent="0.25">
      <c r="A70" s="521" t="s">
        <v>54</v>
      </c>
      <c r="B70" s="528">
        <v>2</v>
      </c>
      <c r="C70" s="523">
        <f>B70/C$53</f>
        <v>0.16666666666666666</v>
      </c>
      <c r="D70" s="527">
        <v>3</v>
      </c>
      <c r="E70" s="524">
        <f>D70/E$53</f>
        <v>0.23076923076923078</v>
      </c>
      <c r="F70" s="528">
        <v>3</v>
      </c>
      <c r="G70" s="524">
        <f>F70/G$53</f>
        <v>0.23076923076923078</v>
      </c>
      <c r="H70" s="528">
        <v>5</v>
      </c>
      <c r="I70" s="524">
        <f>H70/I$53</f>
        <v>0.33333333333333331</v>
      </c>
      <c r="J70" s="528">
        <v>5</v>
      </c>
      <c r="K70" s="524">
        <f>J70/K$53</f>
        <v>0.35714285714285715</v>
      </c>
      <c r="L70" s="528">
        <v>4</v>
      </c>
      <c r="M70" s="524">
        <f>L70/M$53</f>
        <v>0.2857142857142857</v>
      </c>
      <c r="N70" s="528">
        <v>3</v>
      </c>
      <c r="O70" s="524">
        <f>N70/O$53</f>
        <v>0.25</v>
      </c>
      <c r="P70" s="528">
        <v>3</v>
      </c>
      <c r="Q70" s="524">
        <f>P70/Q$53</f>
        <v>0.23076923076923078</v>
      </c>
      <c r="R70" s="528">
        <v>3</v>
      </c>
      <c r="S70" s="524">
        <f>R70/S$53</f>
        <v>0.23076923076923078</v>
      </c>
      <c r="T70" s="528"/>
      <c r="U70" s="526" t="e">
        <f>T70/U$53</f>
        <v>#DIV/0!</v>
      </c>
      <c r="V70" s="198"/>
      <c r="W70" s="947">
        <f t="shared" si="16"/>
        <v>3.25</v>
      </c>
      <c r="X70" s="199" t="e">
        <f t="shared" si="17"/>
        <v>#DIV/0!</v>
      </c>
    </row>
    <row r="71" spans="1:24" s="1" customFormat="1" ht="18" customHeight="1" x14ac:dyDescent="0.2">
      <c r="A71" s="723" t="s">
        <v>55</v>
      </c>
      <c r="B71" s="520"/>
      <c r="C71" s="510"/>
      <c r="D71" s="519"/>
      <c r="E71" s="511"/>
      <c r="F71" s="520"/>
      <c r="G71" s="511"/>
      <c r="H71" s="520"/>
      <c r="I71" s="511"/>
      <c r="J71" s="520"/>
      <c r="K71" s="511"/>
      <c r="L71" s="520"/>
      <c r="M71" s="511"/>
      <c r="N71" s="520"/>
      <c r="O71" s="511"/>
      <c r="P71" s="520"/>
      <c r="Q71" s="511"/>
      <c r="R71" s="520"/>
      <c r="S71" s="511"/>
      <c r="T71" s="520"/>
      <c r="U71" s="513"/>
      <c r="V71" s="198"/>
      <c r="W71" s="947"/>
      <c r="X71" s="199"/>
    </row>
    <row r="72" spans="1:24" s="1" customFormat="1" ht="15" customHeight="1" x14ac:dyDescent="0.2">
      <c r="A72" s="192" t="s">
        <v>56</v>
      </c>
      <c r="B72" s="206">
        <v>10</v>
      </c>
      <c r="C72" s="194">
        <f>B72/C$53</f>
        <v>0.83333333333333337</v>
      </c>
      <c r="D72" s="205">
        <v>11</v>
      </c>
      <c r="E72" s="195">
        <f>D72/E$53</f>
        <v>0.84615384615384615</v>
      </c>
      <c r="F72" s="206">
        <v>11</v>
      </c>
      <c r="G72" s="195">
        <f>F72/G$53</f>
        <v>0.84615384615384615</v>
      </c>
      <c r="H72" s="206">
        <v>11</v>
      </c>
      <c r="I72" s="195">
        <f>H72/I$53</f>
        <v>0.73333333333333328</v>
      </c>
      <c r="J72" s="206">
        <v>11</v>
      </c>
      <c r="K72" s="195">
        <f>J72/K$53</f>
        <v>0.7857142857142857</v>
      </c>
      <c r="L72" s="206">
        <v>11</v>
      </c>
      <c r="M72" s="195">
        <f>L72/M$53</f>
        <v>0.7857142857142857</v>
      </c>
      <c r="N72" s="206">
        <v>10</v>
      </c>
      <c r="O72" s="195">
        <f>N72/O$53</f>
        <v>0.83333333333333337</v>
      </c>
      <c r="P72" s="206">
        <v>11</v>
      </c>
      <c r="Q72" s="195">
        <f>P72/Q$53</f>
        <v>0.84615384615384615</v>
      </c>
      <c r="R72" s="206">
        <v>11</v>
      </c>
      <c r="S72" s="195">
        <f>R72/S$53</f>
        <v>0.84615384615384615</v>
      </c>
      <c r="T72" s="206"/>
      <c r="U72" s="197" t="e">
        <f>T72/U$53</f>
        <v>#DIV/0!</v>
      </c>
      <c r="V72" s="198"/>
      <c r="W72" s="947">
        <f t="shared" si="16"/>
        <v>10.75</v>
      </c>
      <c r="X72" s="199" t="e">
        <f t="shared" si="17"/>
        <v>#DIV/0!</v>
      </c>
    </row>
    <row r="73" spans="1:24" s="1" customFormat="1" ht="15" customHeight="1" x14ac:dyDescent="0.2">
      <c r="A73" s="192" t="s">
        <v>57</v>
      </c>
      <c r="B73" s="206">
        <v>2</v>
      </c>
      <c r="C73" s="194">
        <f>B73/C$53</f>
        <v>0.16666666666666666</v>
      </c>
      <c r="D73" s="205">
        <v>2</v>
      </c>
      <c r="E73" s="195">
        <f>D73/E$53</f>
        <v>0.15384615384615385</v>
      </c>
      <c r="F73" s="206">
        <v>2</v>
      </c>
      <c r="G73" s="195">
        <f>F73/G$53</f>
        <v>0.15384615384615385</v>
      </c>
      <c r="H73" s="206">
        <v>3</v>
      </c>
      <c r="I73" s="195">
        <f>H73/I$53</f>
        <v>0.2</v>
      </c>
      <c r="J73" s="206">
        <v>3</v>
      </c>
      <c r="K73" s="195">
        <f>J73/K$53</f>
        <v>0.21428571428571427</v>
      </c>
      <c r="L73" s="206">
        <v>3</v>
      </c>
      <c r="M73" s="195">
        <f>L73/M$53</f>
        <v>0.21428571428571427</v>
      </c>
      <c r="N73" s="206">
        <v>2</v>
      </c>
      <c r="O73" s="195">
        <f>N73/O$53</f>
        <v>0.16666666666666666</v>
      </c>
      <c r="P73" s="206">
        <v>2</v>
      </c>
      <c r="Q73" s="195">
        <f>P73/Q$53</f>
        <v>0.15384615384615385</v>
      </c>
      <c r="R73" s="206">
        <v>2</v>
      </c>
      <c r="S73" s="195">
        <f>R73/S$53</f>
        <v>0.15384615384615385</v>
      </c>
      <c r="T73" s="206"/>
      <c r="U73" s="197" t="e">
        <f>T73/U$53</f>
        <v>#DIV/0!</v>
      </c>
      <c r="V73" s="198"/>
      <c r="W73" s="947">
        <f t="shared" si="16"/>
        <v>2.25</v>
      </c>
      <c r="X73" s="199" t="e">
        <f t="shared" si="17"/>
        <v>#DIV/0!</v>
      </c>
    </row>
    <row r="74" spans="1:24" s="1" customFormat="1" ht="15" customHeight="1" x14ac:dyDescent="0.2">
      <c r="A74" s="192" t="s">
        <v>58</v>
      </c>
      <c r="B74" s="206">
        <v>0</v>
      </c>
      <c r="C74" s="194">
        <f>B74/C$53</f>
        <v>0</v>
      </c>
      <c r="D74" s="205">
        <v>0</v>
      </c>
      <c r="E74" s="195">
        <f>D74/E$53</f>
        <v>0</v>
      </c>
      <c r="F74" s="206">
        <v>0</v>
      </c>
      <c r="G74" s="195">
        <f>F74/G$53</f>
        <v>0</v>
      </c>
      <c r="H74" s="206">
        <v>1</v>
      </c>
      <c r="I74" s="195">
        <f>H74/I$53</f>
        <v>6.6666666666666666E-2</v>
      </c>
      <c r="J74" s="206">
        <v>0</v>
      </c>
      <c r="K74" s="195">
        <f>J74/K$53</f>
        <v>0</v>
      </c>
      <c r="L74" s="206">
        <v>0</v>
      </c>
      <c r="M74" s="195">
        <f>L74/M$53</f>
        <v>0</v>
      </c>
      <c r="N74" s="206">
        <v>0</v>
      </c>
      <c r="O74" s="195">
        <f>N74/O$53</f>
        <v>0</v>
      </c>
      <c r="P74" s="206">
        <v>0</v>
      </c>
      <c r="Q74" s="195">
        <f>P74/Q$53</f>
        <v>0</v>
      </c>
      <c r="R74" s="206">
        <v>0</v>
      </c>
      <c r="S74" s="195">
        <f>R74/S$53</f>
        <v>0</v>
      </c>
      <c r="T74" s="206"/>
      <c r="U74" s="197" t="e">
        <f>T74/U$53</f>
        <v>#DIV/0!</v>
      </c>
      <c r="V74" s="191"/>
      <c r="W74" s="947">
        <f t="shared" si="16"/>
        <v>0</v>
      </c>
      <c r="X74" s="199" t="e">
        <f t="shared" si="17"/>
        <v>#DIV/0!</v>
      </c>
    </row>
    <row r="75" spans="1:24" s="1" customFormat="1" ht="15" customHeight="1" thickBot="1" x14ac:dyDescent="0.25">
      <c r="A75" s="207" t="s">
        <v>59</v>
      </c>
      <c r="B75" s="211">
        <v>0</v>
      </c>
      <c r="C75" s="209">
        <f>B75/C$53</f>
        <v>0</v>
      </c>
      <c r="D75" s="208">
        <v>0</v>
      </c>
      <c r="E75" s="210">
        <f>D75/E$53</f>
        <v>0</v>
      </c>
      <c r="F75" s="208">
        <v>0</v>
      </c>
      <c r="G75" s="210">
        <f>F75/G$53</f>
        <v>0</v>
      </c>
      <c r="H75" s="211">
        <v>0</v>
      </c>
      <c r="I75" s="210">
        <f>H75/I$53</f>
        <v>0</v>
      </c>
      <c r="J75" s="211">
        <v>0</v>
      </c>
      <c r="K75" s="210">
        <f>J75/K$53</f>
        <v>0</v>
      </c>
      <c r="L75" s="211">
        <v>0</v>
      </c>
      <c r="M75" s="210">
        <f>L75/M$53</f>
        <v>0</v>
      </c>
      <c r="N75" s="211">
        <v>0</v>
      </c>
      <c r="O75" s="210">
        <f>N75/O$53</f>
        <v>0</v>
      </c>
      <c r="P75" s="211">
        <v>0</v>
      </c>
      <c r="Q75" s="210">
        <f>P75/Q$53</f>
        <v>0</v>
      </c>
      <c r="R75" s="211">
        <v>0</v>
      </c>
      <c r="S75" s="210">
        <f>R75/S$53</f>
        <v>0</v>
      </c>
      <c r="T75" s="211"/>
      <c r="U75" s="212" t="e">
        <f>T75/U$53</f>
        <v>#DIV/0!</v>
      </c>
      <c r="V75" s="191"/>
      <c r="W75" s="953">
        <f t="shared" si="16"/>
        <v>0</v>
      </c>
      <c r="X75" s="213" t="e">
        <f t="shared" si="17"/>
        <v>#DIV/0!</v>
      </c>
    </row>
    <row r="76" spans="1:24" ht="13.5" thickTop="1" x14ac:dyDescent="0.2">
      <c r="A76" s="488" t="s">
        <v>153</v>
      </c>
    </row>
    <row r="77" spans="1:24" x14ac:dyDescent="0.2">
      <c r="A77" s="1"/>
      <c r="H77" s="36" t="s">
        <v>14</v>
      </c>
      <c r="J77" s="36" t="s">
        <v>14</v>
      </c>
      <c r="L77" s="36" t="s">
        <v>14</v>
      </c>
      <c r="N77" s="36" t="s">
        <v>14</v>
      </c>
      <c r="P77" s="36" t="s">
        <v>14</v>
      </c>
      <c r="R77" s="36" t="s">
        <v>14</v>
      </c>
      <c r="T77" s="36" t="s">
        <v>14</v>
      </c>
    </row>
    <row r="78" spans="1:24" x14ac:dyDescent="0.2">
      <c r="A78" s="1"/>
    </row>
    <row r="79" spans="1:24" x14ac:dyDescent="0.2">
      <c r="A79" s="1"/>
    </row>
    <row r="80" spans="1:24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</sheetData>
  <mergeCells count="77">
    <mergeCell ref="N35:O35"/>
    <mergeCell ref="P35:Q35"/>
    <mergeCell ref="R35:S35"/>
    <mergeCell ref="W35:X35"/>
    <mergeCell ref="L35:M35"/>
    <mergeCell ref="T35:U35"/>
    <mergeCell ref="B35:C35"/>
    <mergeCell ref="D35:E35"/>
    <mergeCell ref="F35:G35"/>
    <mergeCell ref="H35:I35"/>
    <mergeCell ref="J35:K35"/>
    <mergeCell ref="L32:M32"/>
    <mergeCell ref="N32:O32"/>
    <mergeCell ref="P32:Q32"/>
    <mergeCell ref="R32:S32"/>
    <mergeCell ref="W32:X32"/>
    <mergeCell ref="T32:U32"/>
    <mergeCell ref="B32:C32"/>
    <mergeCell ref="D32:E32"/>
    <mergeCell ref="F32:G32"/>
    <mergeCell ref="H32:I32"/>
    <mergeCell ref="J32:K32"/>
    <mergeCell ref="L25:M25"/>
    <mergeCell ref="N25:O25"/>
    <mergeCell ref="P25:Q25"/>
    <mergeCell ref="R25:S25"/>
    <mergeCell ref="W25:X25"/>
    <mergeCell ref="T25:U25"/>
    <mergeCell ref="B25:C25"/>
    <mergeCell ref="D25:E25"/>
    <mergeCell ref="F25:G25"/>
    <mergeCell ref="H25:I25"/>
    <mergeCell ref="J25:K25"/>
    <mergeCell ref="L22:M22"/>
    <mergeCell ref="N22:O22"/>
    <mergeCell ref="P22:Q22"/>
    <mergeCell ref="R22:S22"/>
    <mergeCell ref="W22:X22"/>
    <mergeCell ref="T22:U22"/>
    <mergeCell ref="B22:C22"/>
    <mergeCell ref="D22:E22"/>
    <mergeCell ref="F22:G22"/>
    <mergeCell ref="H22:I22"/>
    <mergeCell ref="J22:K22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W18:X18"/>
    <mergeCell ref="T18:U18"/>
    <mergeCell ref="N41:O41"/>
    <mergeCell ref="P41:Q41"/>
    <mergeCell ref="R41:S41"/>
    <mergeCell ref="W41:X41"/>
    <mergeCell ref="B41:C41"/>
    <mergeCell ref="D41:E41"/>
    <mergeCell ref="F41:G41"/>
    <mergeCell ref="H41:I41"/>
    <mergeCell ref="J41:K41"/>
    <mergeCell ref="L41:M41"/>
    <mergeCell ref="T41:U41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W9:X9"/>
    <mergeCell ref="T9:U9"/>
  </mergeCells>
  <pageMargins left="0.7" right="0.7" top="0.5" bottom="0.5" header="0.3" footer="0.3"/>
  <pageSetup scale="70" orientation="landscape" r:id="rId1"/>
  <headerFooter alignWithMargins="0">
    <oddFooter>&amp;LPrepared by Planning and Analysis&amp;C&amp;P of &amp;N&amp;RUpdated &amp;D</oddFooter>
  </headerFooter>
  <rowBreaks count="1" manualBreakCount="1">
    <brk id="39" max="21" man="1"/>
  </rowBreaks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34.140625" customWidth="1"/>
    <col min="2" max="2" width="6.7109375" hidden="1" customWidth="1"/>
    <col min="3" max="3" width="10.7109375" hidden="1" customWidth="1"/>
    <col min="4" max="4" width="6.7109375" hidden="1" customWidth="1"/>
    <col min="5" max="5" width="10.7109375" hidden="1" customWidth="1"/>
    <col min="6" max="6" width="6.7109375" hidden="1" customWidth="1"/>
    <col min="7" max="7" width="10.7109375" hidden="1" customWidth="1"/>
    <col min="8" max="8" width="6.7109375" hidden="1" customWidth="1"/>
    <col min="9" max="9" width="10.7109375" hidden="1" customWidth="1"/>
    <col min="10" max="10" width="8.5703125" bestFit="1" customWidth="1"/>
    <col min="11" max="11" width="10.7109375" customWidth="1"/>
    <col min="12" max="12" width="6.7109375" customWidth="1"/>
    <col min="13" max="13" width="10.7109375" customWidth="1"/>
    <col min="14" max="14" width="6.7109375" customWidth="1"/>
    <col min="15" max="15" width="10.7109375" customWidth="1"/>
    <col min="16" max="16" width="6.7109375" customWidth="1"/>
    <col min="17" max="17" width="10.7109375" customWidth="1"/>
    <col min="18" max="18" width="6.7109375" customWidth="1"/>
    <col min="19" max="19" width="10.7109375" customWidth="1"/>
    <col min="20" max="20" width="6.7109375" customWidth="1"/>
    <col min="21" max="22" width="10.7109375" customWidth="1"/>
  </cols>
  <sheetData>
    <row r="1" spans="1:23" ht="15.75" x14ac:dyDescent="0.25">
      <c r="A1" s="458" t="s">
        <v>150</v>
      </c>
    </row>
    <row r="2" spans="1:23" ht="15.75" x14ac:dyDescent="0.25">
      <c r="A2" s="458" t="s">
        <v>151</v>
      </c>
    </row>
    <row r="3" spans="1:23" ht="15.75" x14ac:dyDescent="0.25">
      <c r="A3" s="458"/>
    </row>
    <row r="4" spans="1:23" ht="15.75" x14ac:dyDescent="0.25">
      <c r="A4" s="459" t="s">
        <v>158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1026"/>
      <c r="U4" s="843"/>
      <c r="V4" s="843"/>
    </row>
    <row r="5" spans="1:23" ht="15.75" x14ac:dyDescent="0.25">
      <c r="A5" s="459"/>
      <c r="T5" s="13"/>
    </row>
    <row r="6" spans="1:23" x14ac:dyDescent="0.2">
      <c r="A6" s="3" t="s">
        <v>193</v>
      </c>
    </row>
    <row r="7" spans="1:23" x14ac:dyDescent="0.2">
      <c r="A7" s="461"/>
      <c r="T7" s="13"/>
    </row>
    <row r="8" spans="1:23" ht="13.5" thickBot="1" x14ac:dyDescent="0.25"/>
    <row r="9" spans="1:23" ht="13.5" thickTop="1" x14ac:dyDescent="0.2">
      <c r="A9" s="4"/>
      <c r="B9" s="1031" t="s">
        <v>0</v>
      </c>
      <c r="C9" s="1032"/>
      <c r="D9" s="1031" t="s">
        <v>1</v>
      </c>
      <c r="E9" s="1032"/>
      <c r="F9" s="1031" t="s">
        <v>2</v>
      </c>
      <c r="G9" s="1032"/>
      <c r="H9" s="1031" t="s">
        <v>3</v>
      </c>
      <c r="I9" s="1032"/>
      <c r="J9" s="1031" t="s">
        <v>4</v>
      </c>
      <c r="K9" s="1032"/>
      <c r="L9" s="1031" t="s">
        <v>5</v>
      </c>
      <c r="M9" s="1032"/>
      <c r="N9" s="1031" t="s">
        <v>6</v>
      </c>
      <c r="O9" s="1032"/>
      <c r="P9" s="1031" t="s">
        <v>7</v>
      </c>
      <c r="Q9" s="1032"/>
      <c r="R9" s="1031" t="s">
        <v>8</v>
      </c>
      <c r="S9" s="1032"/>
      <c r="T9" s="1031" t="s">
        <v>199</v>
      </c>
      <c r="U9" s="1038"/>
      <c r="V9" s="945"/>
      <c r="W9" s="46"/>
    </row>
    <row r="10" spans="1:23" ht="24.75" thickBot="1" x14ac:dyDescent="0.25">
      <c r="A10" s="37" t="s">
        <v>184</v>
      </c>
      <c r="B10" s="711" t="s">
        <v>165</v>
      </c>
      <c r="C10" s="710" t="s">
        <v>166</v>
      </c>
      <c r="D10" s="711" t="s">
        <v>165</v>
      </c>
      <c r="E10" s="710" t="s">
        <v>166</v>
      </c>
      <c r="F10" s="709" t="s">
        <v>165</v>
      </c>
      <c r="G10" s="710" t="s">
        <v>166</v>
      </c>
      <c r="H10" s="709" t="s">
        <v>165</v>
      </c>
      <c r="I10" s="710" t="s">
        <v>166</v>
      </c>
      <c r="J10" s="709" t="s">
        <v>165</v>
      </c>
      <c r="K10" s="710" t="s">
        <v>166</v>
      </c>
      <c r="L10" s="709" t="s">
        <v>165</v>
      </c>
      <c r="M10" s="710" t="s">
        <v>166</v>
      </c>
      <c r="N10" s="709" t="s">
        <v>165</v>
      </c>
      <c r="O10" s="710" t="s">
        <v>166</v>
      </c>
      <c r="P10" s="709" t="s">
        <v>165</v>
      </c>
      <c r="Q10" s="844" t="s">
        <v>166</v>
      </c>
      <c r="R10" s="709" t="s">
        <v>165</v>
      </c>
      <c r="S10" s="844" t="s">
        <v>166</v>
      </c>
      <c r="T10" s="845" t="s">
        <v>165</v>
      </c>
      <c r="U10" s="712" t="s">
        <v>166</v>
      </c>
      <c r="V10" s="846"/>
      <c r="W10" s="46"/>
    </row>
    <row r="11" spans="1:23" x14ac:dyDescent="0.2">
      <c r="A11" s="847" t="s">
        <v>194</v>
      </c>
      <c r="B11" s="924">
        <f>'Dean''s Office'!B14+ATID!B14+ATID!B21+HM!B14+'Food Nutrition Diet Health'!B14+'Food Nutrition Diet Health'!B21+'Food Nutrition Diet Health'!B25+FSHS!B14+FSHS!B22+FSHS!B28+FSHS!B33+Kinesiology!B14</f>
        <v>2407</v>
      </c>
      <c r="C11" s="848">
        <f>'Dean''s Office'!C14+ATID!C14+ATID!C21+HM!C14+'Food Nutrition Diet Health'!C14+'Food Nutrition Diet Health'!C21+'Food Nutrition Diet Health'!C14+'Food Nutrition Diet Health'!C25+FSHS!C14+FSHS!C22+FSHS!C28+FSHS!C33+Kinesiology!C14</f>
        <v>634</v>
      </c>
      <c r="D11" s="924">
        <f>'Dean''s Office'!D14+ATID!D14+ATID!D21+HM!D14+'Food Nutrition Diet Health'!D14+'Food Nutrition Diet Health'!D21+'Food Nutrition Diet Health'!D25+FSHS!D14+FSHS!D22+FSHS!D28+FSHS!D33+Kinesiology!D14</f>
        <v>2309</v>
      </c>
      <c r="E11" s="848">
        <f>'Dean''s Office'!E14+ATID!E14+ATID!E21+HM!E14+'Food Nutrition Diet Health'!E14+'Food Nutrition Diet Health'!E21+'Food Nutrition Diet Health'!E14+'Food Nutrition Diet Health'!E25+FSHS!E14+FSHS!E22+FSHS!E28+FSHS!E33+Kinesiology!E14</f>
        <v>535</v>
      </c>
      <c r="F11" s="924">
        <f>'Dean''s Office'!F14+ATID!F14+ATID!F21+HM!F14+'Food Nutrition Diet Health'!F14+'Food Nutrition Diet Health'!F21+'Food Nutrition Diet Health'!F25+FSHS!F14+FSHS!F22+FSHS!F28+FSHS!F33+Kinesiology!F14</f>
        <v>2355</v>
      </c>
      <c r="G11" s="848">
        <f>'Dean''s Office'!G14+ATID!G14+ATID!G21+HM!G14+'Food Nutrition Diet Health'!G14+'Food Nutrition Diet Health'!G21+'Food Nutrition Diet Health'!G14+'Food Nutrition Diet Health'!G25+FSHS!G14+FSHS!G22+FSHS!G28+FSHS!G33+Kinesiology!G14</f>
        <v>555</v>
      </c>
      <c r="H11" s="924">
        <f>'Dean''s Office'!H14+ATID!H14+ATID!H21+HM!H14+'Food Nutrition Diet Health'!H14+'Food Nutrition Diet Health'!H21+'Food Nutrition Diet Health'!H25+FSHS!H14+FSHS!H22+FSHS!H28+FSHS!H33+Kinesiology!H14</f>
        <v>2505</v>
      </c>
      <c r="I11" s="848">
        <f>'Dean''s Office'!I14+ATID!I14+ATID!I21+HM!I14+'Food Nutrition Diet Health'!I14+'Food Nutrition Diet Health'!I21+'Food Nutrition Diet Health'!I14+'Food Nutrition Diet Health'!I25+FSHS!I14+FSHS!I22+FSHS!I28+FSHS!I33+Kinesiology!I14</f>
        <v>619</v>
      </c>
      <c r="J11" s="924">
        <f>'Dean''s Office'!J14+ATID!J14+ATID!J21+HM!J14+'Food Nutrition Diet Health'!J14+'Food Nutrition Diet Health'!J21+'Food Nutrition Diet Health'!J25+FSHS!J14+FSHS!J22+FSHS!J28+FSHS!J33+Kinesiology!J14</f>
        <v>2591</v>
      </c>
      <c r="K11" s="848">
        <f>'Dean''s Office'!K14+ATID!K14+ATID!K21+HM!K14+'Food Nutrition Diet Health'!K14+'Food Nutrition Diet Health'!K21+'Food Nutrition Diet Health'!K14+'Food Nutrition Diet Health'!K25+FSHS!K14+FSHS!K22+FSHS!K28+FSHS!K33+Kinesiology!K14</f>
        <v>619</v>
      </c>
      <c r="L11" s="924">
        <f>'Dean''s Office'!L14+ATID!L14+ATID!L21+HM!L14+'Food Nutrition Diet Health'!L14+'Food Nutrition Diet Health'!L21+'Food Nutrition Diet Health'!L25+FSHS!L14+FSHS!L22+FSHS!L28+FSHS!L33+Kinesiology!L14</f>
        <v>2728</v>
      </c>
      <c r="M11" s="848">
        <f>'Dean''s Office'!M14+ATID!M14+ATID!M21+HM!M14+'Food Nutrition Diet Health'!M14+'Food Nutrition Diet Health'!M21+'Food Nutrition Diet Health'!M14+'Food Nutrition Diet Health'!M25+FSHS!M14+FSHS!M22+FSHS!M28+FSHS!M33+Kinesiology!M14</f>
        <v>606</v>
      </c>
      <c r="N11" s="924">
        <f>'Dean''s Office'!N14+ATID!N14+ATID!N21+HM!N14+'Food Nutrition Diet Health'!N14+'Food Nutrition Diet Health'!N21+'Food Nutrition Diet Health'!N25+FSHS!N14+FSHS!N22+FSHS!N28+FSHS!N33+Kinesiology!N14</f>
        <v>2860</v>
      </c>
      <c r="O11" s="848">
        <f>'Dean''s Office'!O14+ATID!O14+ATID!O21+HM!O14+'Food Nutrition Diet Health'!O14+'Food Nutrition Diet Health'!O21+'Food Nutrition Diet Health'!O14+'Food Nutrition Diet Health'!O25+FSHS!O14+FSHS!O22+FSHS!O28+FSHS!O33+Kinesiology!O14</f>
        <v>688</v>
      </c>
      <c r="P11" s="924">
        <f>'Dean''s Office'!P14+ATID!P14+ATID!P21+HM!P14+'Food Nutrition Diet Health'!P14+'Food Nutrition Diet Health'!P21+'Food Nutrition Diet Health'!P25+FSHS!P14+FSHS!P22+FSHS!P28+FSHS!P33+Kinesiology!P14</f>
        <v>2928</v>
      </c>
      <c r="Q11" s="848">
        <f>'Dean''s Office'!Q14+ATID!Q14+ATID!Q21+HM!Q14+'Food Nutrition Diet Health'!Q14+'Food Nutrition Diet Health'!Q21+'Food Nutrition Diet Health'!Q14+'Food Nutrition Diet Health'!Q25+FSHS!Q14+FSHS!Q22+FSHS!Q28+FSHS!Q33+Kinesiology!Q14</f>
        <v>703</v>
      </c>
      <c r="R11" s="924">
        <f>'Dean''s Office'!R14+ATID!R14+ATID!R21+HM!R14+'Food Nutrition Diet Health'!R14+'Food Nutrition Diet Health'!R21+'Food Nutrition Diet Health'!R25+FSHS!R14+FSHS!R22+FSHS!R28+FSHS!R33+Kinesiology!R14</f>
        <v>2843</v>
      </c>
      <c r="S11" s="848">
        <f>'Dean''s Office'!S14+ATID!S14+ATID!S21+HM!S14+'Food Nutrition Diet Health'!S14+'Food Nutrition Diet Health'!S21+'Food Nutrition Diet Health'!S25+FSHS!S14+FSHS!S22+FSHS!S28+FSHS!S33+Kinesiology!S14</f>
        <v>665</v>
      </c>
      <c r="T11" s="938">
        <f>'Dean''s Office'!T14+ATID!T14+ATID!T21+HM!T14+'Food Nutrition Diet Health'!T14+'Food Nutrition Diet Health'!T21+'Food Nutrition Diet Health'!T25+FSHS!T14+FSHS!T22+FSHS!T28+FSHS!T33+Kinesiology!T14</f>
        <v>2619</v>
      </c>
      <c r="U11" s="1008"/>
      <c r="V11" s="46"/>
      <c r="W11" s="46"/>
    </row>
    <row r="12" spans="1:23" x14ac:dyDescent="0.2">
      <c r="A12" s="849" t="s">
        <v>127</v>
      </c>
      <c r="B12" s="925">
        <f>'Dean''s Office'!B17</f>
        <v>41</v>
      </c>
      <c r="C12" s="850" t="str">
        <f>'Dean''s Office'!C17</f>
        <v>xxxxx</v>
      </c>
      <c r="D12" s="925">
        <f>'Dean''s Office'!D17</f>
        <v>48</v>
      </c>
      <c r="E12" s="850" t="str">
        <f>'Dean''s Office'!E17</f>
        <v>xxxxx</v>
      </c>
      <c r="F12" s="925">
        <f>'Dean''s Office'!F17</f>
        <v>95</v>
      </c>
      <c r="G12" s="850">
        <f>'Dean''s Office'!G17</f>
        <v>35</v>
      </c>
      <c r="H12" s="925">
        <f>'Dean''s Office'!H17</f>
        <v>122</v>
      </c>
      <c r="I12" s="850">
        <f>'Dean''s Office'!I17</f>
        <v>53</v>
      </c>
      <c r="J12" s="925">
        <f>'Dean''s Office'!J17</f>
        <v>125</v>
      </c>
      <c r="K12" s="850">
        <f>'Dean''s Office'!K17</f>
        <v>61</v>
      </c>
      <c r="L12" s="925">
        <f>'Dean''s Office'!L17</f>
        <v>114</v>
      </c>
      <c r="M12" s="850">
        <f>'Dean''s Office'!M17</f>
        <v>46</v>
      </c>
      <c r="N12" s="925">
        <f>'Dean''s Office'!N17</f>
        <v>112</v>
      </c>
      <c r="O12" s="850">
        <f>'Dean''s Office'!O17</f>
        <v>50</v>
      </c>
      <c r="P12" s="925">
        <f>'Dean''s Office'!P17</f>
        <v>137</v>
      </c>
      <c r="Q12" s="850">
        <f>'Dean''s Office'!Q17</f>
        <v>54</v>
      </c>
      <c r="R12" s="925">
        <f>'Dean''s Office'!R17</f>
        <v>158</v>
      </c>
      <c r="S12" s="850">
        <f>'Dean''s Office'!S17</f>
        <v>63</v>
      </c>
      <c r="T12" s="925">
        <f>'Dean''s Office'!T17</f>
        <v>168</v>
      </c>
      <c r="U12" s="1017"/>
      <c r="V12" s="46"/>
      <c r="W12" s="46"/>
    </row>
    <row r="13" spans="1:23" x14ac:dyDescent="0.2">
      <c r="A13" s="849" t="s">
        <v>130</v>
      </c>
      <c r="B13" s="925">
        <f>'Dean''s Office'!B21</f>
        <v>83</v>
      </c>
      <c r="C13" s="850" t="str">
        <f>'Dean''s Office'!C21</f>
        <v>xxxxx</v>
      </c>
      <c r="D13" s="925">
        <f>'Dean''s Office'!D21</f>
        <v>94</v>
      </c>
      <c r="E13" s="850" t="str">
        <f>'Dean''s Office'!E21</f>
        <v>xxxxx</v>
      </c>
      <c r="F13" s="925">
        <f>'Dean''s Office'!F21</f>
        <v>98</v>
      </c>
      <c r="G13" s="1016" t="str">
        <f>'Dean''s Office'!G21</f>
        <v>xxxxx</v>
      </c>
      <c r="H13" s="925">
        <f>'Dean''s Office'!H21</f>
        <v>79</v>
      </c>
      <c r="I13" s="1016" t="str">
        <f>'Dean''s Office'!I21</f>
        <v>xxxx</v>
      </c>
      <c r="J13" s="925">
        <f>'Dean''s Office'!J21</f>
        <v>79</v>
      </c>
      <c r="K13" s="1016" t="str">
        <f>'Dean''s Office'!K21</f>
        <v>xxxx</v>
      </c>
      <c r="L13" s="925">
        <f>'Dean''s Office'!L21</f>
        <v>75</v>
      </c>
      <c r="M13" s="1016" t="str">
        <f>'Dean''s Office'!M21</f>
        <v>xxxx</v>
      </c>
      <c r="N13" s="925">
        <f>'Dean''s Office'!N21</f>
        <v>62</v>
      </c>
      <c r="O13" s="1016" t="str">
        <f>'Dean''s Office'!O21</f>
        <v>xxxx</v>
      </c>
      <c r="P13" s="925">
        <f>'Dean''s Office'!P21</f>
        <v>66</v>
      </c>
      <c r="Q13" s="1016" t="str">
        <f>'Dean''s Office'!Q21</f>
        <v>xxxx</v>
      </c>
      <c r="R13" s="925">
        <f>'Dean''s Office'!R21</f>
        <v>61</v>
      </c>
      <c r="S13" s="1016" t="str">
        <f>'Dean''s Office'!S21</f>
        <v>xxxx</v>
      </c>
      <c r="T13" s="925">
        <f>'Dean''s Office'!T21</f>
        <v>36</v>
      </c>
      <c r="U13" s="1017" t="s">
        <v>133</v>
      </c>
      <c r="V13" s="46"/>
      <c r="W13" s="46"/>
    </row>
    <row r="14" spans="1:23" x14ac:dyDescent="0.2">
      <c r="A14" s="849" t="s">
        <v>195</v>
      </c>
      <c r="B14" s="925">
        <f>ATID!B15+HM!B15+FSHS!B15+FSHS!B29+FSHS!B44+Kinesiology!B16</f>
        <v>2</v>
      </c>
      <c r="C14" s="850">
        <f>ATID!C15+HM!C15+FSHS!C15+FSHS!C29+FSHS!C44+Kinesiology!C16</f>
        <v>0</v>
      </c>
      <c r="D14" s="925">
        <f>ATID!D15+HM!D15+FSHS!D15+FSHS!D29+FSHS!D44+Kinesiology!D16</f>
        <v>0</v>
      </c>
      <c r="E14" s="850">
        <f>ATID!E15+HM!E15+FSHS!E15+FSHS!E29+FSHS!E44+Kinesiology!E16</f>
        <v>0</v>
      </c>
      <c r="F14" s="925">
        <f>ATID!F15+HM!F15+FSHS!F15+FSHS!F29+FSHS!F44+Kinesiology!F16</f>
        <v>0</v>
      </c>
      <c r="G14" s="850">
        <f>ATID!G15+HM!G15+FSHS!G15+FSHS!G29+FSHS!G44+Kinesiology!G16</f>
        <v>1</v>
      </c>
      <c r="H14" s="925">
        <f>ATID!H15+HM!H15+FSHS!H15+FSHS!H29+FSHS!H44+Kinesiology!H16</f>
        <v>12</v>
      </c>
      <c r="I14" s="850">
        <f>ATID!I15+HM!I15+FSHS!I15+FSHS!I29+FSHS!I44+Kinesiology!I16</f>
        <v>0</v>
      </c>
      <c r="J14" s="925">
        <f>ATID!J15+HM!J15+FSHS!J15+FSHS!J29+FSHS!J44+Kinesiology!J16</f>
        <v>74</v>
      </c>
      <c r="K14" s="850">
        <f>ATID!K15+HM!K15+FSHS!K15+FSHS!K29+FSHS!K44+Kinesiology!K16</f>
        <v>45</v>
      </c>
      <c r="L14" s="925">
        <f>ATID!L15+HM!L15+FSHS!L15+FSHS!L29+FSHS!L44+Kinesiology!L16</f>
        <v>92</v>
      </c>
      <c r="M14" s="850">
        <f>ATID!M15+HM!M15+FSHS!M15+FSHS!M29+FSHS!M44+Kinesiology!M16</f>
        <v>44</v>
      </c>
      <c r="N14" s="925">
        <f>ATID!N15+HM!N15+FSHS!N15+FSHS!N29+FSHS!N44+Kinesiology!N16</f>
        <v>119</v>
      </c>
      <c r="O14" s="850">
        <f>ATID!O15+HM!O15+FSHS!O15+FSHS!O29+FSHS!O44+Kinesiology!O16</f>
        <v>64</v>
      </c>
      <c r="P14" s="925">
        <f>ATID!P15+HM!P15+FSHS!P15+FSHS!P29+FSHS!P44+Kinesiology!P16</f>
        <v>133</v>
      </c>
      <c r="Q14" s="850">
        <f>ATID!Q15+HM!Q15+FSHS!Q15+FSHS!Q29+FSHS!Q44+Kinesiology!Q16</f>
        <v>65</v>
      </c>
      <c r="R14" s="925">
        <f>ATID!R15+HM!R15+FSHS!R15+FSHS!R29+FSHS!R44+Kinesiology!R16</f>
        <v>163</v>
      </c>
      <c r="S14" s="850">
        <f>ATID!S15+HM!S15+FSHS!S15+FSHS!S29+FSHS!S44+Kinesiology!S16</f>
        <v>62</v>
      </c>
      <c r="T14" s="925">
        <f>ATID!T15+HM!T15+FSHS!T15+FSHS!T29+FSHS!T44+Kinesiology!T16</f>
        <v>164</v>
      </c>
      <c r="U14" s="1009"/>
      <c r="V14" s="46"/>
      <c r="W14" s="46"/>
    </row>
    <row r="15" spans="1:23" x14ac:dyDescent="0.2">
      <c r="A15" s="849" t="s">
        <v>196</v>
      </c>
      <c r="B15" s="925">
        <f>FSHS!B41</f>
        <v>0</v>
      </c>
      <c r="C15" s="850">
        <f>FSHS!C41</f>
        <v>2</v>
      </c>
      <c r="D15" s="925">
        <f>FSHS!D41</f>
        <v>1</v>
      </c>
      <c r="E15" s="850">
        <f>FSHS!E41</f>
        <v>9</v>
      </c>
      <c r="F15" s="925">
        <f>FSHS!F41</f>
        <v>21</v>
      </c>
      <c r="G15" s="850">
        <f>FSHS!G41</f>
        <v>27</v>
      </c>
      <c r="H15" s="925">
        <f>FSHS!H41</f>
        <v>16</v>
      </c>
      <c r="I15" s="850">
        <f>FSHS!I41</f>
        <v>16</v>
      </c>
      <c r="J15" s="925">
        <f>FSHS!J41</f>
        <v>24</v>
      </c>
      <c r="K15" s="850">
        <f>FSHS!K41</f>
        <v>18</v>
      </c>
      <c r="L15" s="925">
        <f>FSHS!L41</f>
        <v>24</v>
      </c>
      <c r="M15" s="850">
        <f>FSHS!M41</f>
        <v>26</v>
      </c>
      <c r="N15" s="925">
        <f>FSHS!N41</f>
        <v>17</v>
      </c>
      <c r="O15" s="850">
        <f>FSHS!O41</f>
        <v>19</v>
      </c>
      <c r="P15" s="925">
        <f>FSHS!P41</f>
        <v>22</v>
      </c>
      <c r="Q15" s="850">
        <f>FSHS!Q41</f>
        <v>25</v>
      </c>
      <c r="R15" s="925">
        <f>FSHS!R41</f>
        <v>22</v>
      </c>
      <c r="S15" s="850">
        <f>FSHS!S41</f>
        <v>18</v>
      </c>
      <c r="T15" s="925">
        <f>FSHS!T41</f>
        <v>38</v>
      </c>
      <c r="U15" s="1009"/>
      <c r="V15" s="46"/>
      <c r="W15" s="46"/>
    </row>
    <row r="16" spans="1:23" x14ac:dyDescent="0.2">
      <c r="A16" s="849" t="s">
        <v>185</v>
      </c>
      <c r="B16" s="925">
        <f>'Dean''s Office'!B19+ATID!B16+ATID!B17+HM!B16+'Food Nutrition Diet Health'!B16+'Food Nutrition Diet Health'!B27+FSHS!B16+FSHS!B24+FSHS!B34+Kinesiology!B17</f>
        <v>252</v>
      </c>
      <c r="C16" s="850">
        <f>'Dean''s Office'!C19+ATID!C16+ATID!C17+HM!C16+'Food Nutrition Diet Health'!C16+'Food Nutrition Diet Health'!C27+FSHS!C16+FSHS!C24+FSHS!C34+Kinesiology!C17</f>
        <v>77</v>
      </c>
      <c r="D16" s="925">
        <f>'Dean''s Office'!D19+ATID!D16+ATID!D17+HM!D16+'Food Nutrition Diet Health'!D16+'Food Nutrition Diet Health'!D27+FSHS!D16+FSHS!D24+FSHS!D34+Kinesiology!D17</f>
        <v>298</v>
      </c>
      <c r="E16" s="850">
        <f>'Dean''s Office'!E19+ATID!E16+ATID!E17+HM!E16+'Food Nutrition Diet Health'!E16+'Food Nutrition Diet Health'!E27+FSHS!E16+FSHS!E24+FSHS!E34+Kinesiology!E17</f>
        <v>79</v>
      </c>
      <c r="F16" s="925">
        <f>'Dean''s Office'!F19+ATID!F16+ATID!F17+HM!F16+'Food Nutrition Diet Health'!F16+'Food Nutrition Diet Health'!F27+FSHS!F16+FSHS!F24+FSHS!F34+Kinesiology!F17</f>
        <v>240</v>
      </c>
      <c r="G16" s="850">
        <f>'Dean''s Office'!G19+ATID!G16+ATID!G17+HM!G16+'Food Nutrition Diet Health'!G16+'Food Nutrition Diet Health'!G27+FSHS!G16+FSHS!G24+FSHS!G34+Kinesiology!G17</f>
        <v>72</v>
      </c>
      <c r="H16" s="925">
        <f>'Dean''s Office'!H19+ATID!H16+ATID!H17+HM!H16+'Food Nutrition Diet Health'!H16+'Food Nutrition Diet Health'!H27+FSHS!H16+FSHS!H24+FSHS!H34+Kinesiology!H17</f>
        <v>275</v>
      </c>
      <c r="I16" s="850">
        <f>'Dean''s Office'!I19+ATID!I16+ATID!I17+HM!I16+'Food Nutrition Diet Health'!I16+'Food Nutrition Diet Health'!I27+FSHS!I16+FSHS!I24+FSHS!I34+Kinesiology!I17</f>
        <v>83</v>
      </c>
      <c r="J16" s="925">
        <f>'Dean''s Office'!J19+ATID!J16+ATID!J17+HM!J16+'Food Nutrition Diet Health'!J16+'Food Nutrition Diet Health'!J27+FSHS!J16+FSHS!J24+FSHS!J34+Kinesiology!J17</f>
        <v>297</v>
      </c>
      <c r="K16" s="850">
        <f>'Dean''s Office'!K19+ATID!K16+ATID!K17+HM!K16+'Food Nutrition Diet Health'!K16+'Food Nutrition Diet Health'!K27+FSHS!K16+FSHS!K24+FSHS!K34+Kinesiology!K17</f>
        <v>79</v>
      </c>
      <c r="L16" s="925">
        <f>'Dean''s Office'!L19+ATID!L16+ATID!L17+HM!L16+'Food Nutrition Diet Health'!L16+'Food Nutrition Diet Health'!L27+FSHS!L16+FSHS!L24+FSHS!L34+Kinesiology!L17</f>
        <v>296</v>
      </c>
      <c r="M16" s="850">
        <f>'Dean''s Office'!M19+ATID!M16+ATID!M17+HM!M16+'Food Nutrition Diet Health'!M16+'Food Nutrition Diet Health'!M27+FSHS!M16+FSHS!M24+FSHS!M34+Kinesiology!M17</f>
        <v>89</v>
      </c>
      <c r="N16" s="925">
        <f>'Dean''s Office'!N19+ATID!N16+ATID!N17+HM!N16+'Food Nutrition Diet Health'!N16+'Food Nutrition Diet Health'!N27+FSHS!N16+FSHS!N24+FSHS!N34+Kinesiology!N17</f>
        <v>268</v>
      </c>
      <c r="O16" s="850">
        <f>'Dean''s Office'!O19+ATID!O16+ATID!O17+HM!O16+'Food Nutrition Diet Health'!O16+'Food Nutrition Diet Health'!O27+FSHS!O16+FSHS!O24+FSHS!O34+Kinesiology!O17</f>
        <v>98</v>
      </c>
      <c r="P16" s="925">
        <f>'Dean''s Office'!P19+ATID!P16+ATID!P17+HM!P16+'Food Nutrition Diet Health'!P16+'Food Nutrition Diet Health'!P27+FSHS!P16+FSHS!P24+FSHS!P34+Kinesiology!P17</f>
        <v>276</v>
      </c>
      <c r="Q16" s="850">
        <f>'Dean''s Office'!Q19+ATID!Q16+ATID!Q17+HM!Q16+'Food Nutrition Diet Health'!Q16+'Food Nutrition Diet Health'!Q27+FSHS!Q16+FSHS!Q24+FSHS!Q34+Kinesiology!Q17</f>
        <v>113</v>
      </c>
      <c r="R16" s="925">
        <f>'Dean''s Office'!R19+ATID!R16+ATID!R17+HM!R16+'Food Nutrition Diet Health'!R16+'Food Nutrition Diet Health'!R27+FSHS!R16+FSHS!R24+FSHS!R34+Kinesiology!R17</f>
        <v>250</v>
      </c>
      <c r="S16" s="850">
        <f>'Dean''s Office'!S19+ATID!S16+ATID!S17+HM!S16+'Food Nutrition Diet Health'!S16+'Food Nutrition Diet Health'!S27+FSHS!S16+FSHS!S24+FSHS!S34+Kinesiology!S17</f>
        <v>93</v>
      </c>
      <c r="T16" s="934">
        <f>'Dean''s Office'!T19+ATID!T16+ATID!T17+HM!T16+'Food Nutrition Diet Health'!T16+'Food Nutrition Diet Health'!T27+FSHS!T16+FSHS!T24+FSHS!T34+Kinesiology!T17</f>
        <v>251</v>
      </c>
      <c r="U16" s="1009"/>
      <c r="V16" s="46"/>
      <c r="W16" s="46"/>
    </row>
    <row r="17" spans="1:23" x14ac:dyDescent="0.2">
      <c r="A17" s="849" t="s">
        <v>125</v>
      </c>
      <c r="B17" s="925">
        <f>'Dean''s Office'!B15+'Food Nutrition Diet Health'!B17+FSHS!B35</f>
        <v>83</v>
      </c>
      <c r="C17" s="850">
        <f>'Dean''s Office'!C15+'Food Nutrition Diet Health'!C17+FSHS!C35</f>
        <v>18</v>
      </c>
      <c r="D17" s="925">
        <f>'Dean''s Office'!D15+'Food Nutrition Diet Health'!D17+FSHS!D35</f>
        <v>81</v>
      </c>
      <c r="E17" s="850">
        <f>'Dean''s Office'!E15+'Food Nutrition Diet Health'!E17+FSHS!E35</f>
        <v>14</v>
      </c>
      <c r="F17" s="925">
        <f>'Dean''s Office'!F15+'Food Nutrition Diet Health'!F17+FSHS!F35</f>
        <v>91</v>
      </c>
      <c r="G17" s="850">
        <f>'Dean''s Office'!G15+'Food Nutrition Diet Health'!G17+FSHS!G35</f>
        <v>13</v>
      </c>
      <c r="H17" s="925">
        <f>'Dean''s Office'!H15+'Food Nutrition Diet Health'!H17+FSHS!H35</f>
        <v>93</v>
      </c>
      <c r="I17" s="850">
        <f>'Dean''s Office'!I15+'Food Nutrition Diet Health'!I17+FSHS!I35</f>
        <v>13</v>
      </c>
      <c r="J17" s="925">
        <f>'Dean''s Office'!J15+'Food Nutrition Diet Health'!J17+FSHS!J35</f>
        <v>107</v>
      </c>
      <c r="K17" s="850">
        <f>'Dean''s Office'!K15+'Food Nutrition Diet Health'!K17+FSHS!K35</f>
        <v>25</v>
      </c>
      <c r="L17" s="925">
        <f>'Dean''s Office'!L15+'Food Nutrition Diet Health'!L17+FSHS!L35</f>
        <v>99</v>
      </c>
      <c r="M17" s="850">
        <f>'Dean''s Office'!M15+'Food Nutrition Diet Health'!M17+FSHS!M35</f>
        <v>14</v>
      </c>
      <c r="N17" s="925">
        <f>'Dean''s Office'!N15+'Food Nutrition Diet Health'!N17+FSHS!N35</f>
        <v>110</v>
      </c>
      <c r="O17" s="850">
        <f>'Dean''s Office'!O15+'Food Nutrition Diet Health'!O17+FSHS!O35</f>
        <v>19</v>
      </c>
      <c r="P17" s="925">
        <f>'Dean''s Office'!P15+'Food Nutrition Diet Health'!P17+FSHS!P35</f>
        <v>113</v>
      </c>
      <c r="Q17" s="850">
        <f>'Dean''s Office'!Q15+'Food Nutrition Diet Health'!Q17+FSHS!Q35</f>
        <v>25</v>
      </c>
      <c r="R17" s="925">
        <f>'Dean''s Office'!R15+'Food Nutrition Diet Health'!R17+FSHS!R35</f>
        <v>124</v>
      </c>
      <c r="S17" s="850">
        <f>'Dean''s Office'!S15+'Food Nutrition Diet Health'!S17+FSHS!S35</f>
        <v>19</v>
      </c>
      <c r="T17" s="925">
        <f>'Dean''s Office'!T15+'Food Nutrition Diet Health'!T17+FSHS!T35</f>
        <v>123</v>
      </c>
      <c r="U17" s="1009"/>
      <c r="V17" s="46"/>
      <c r="W17" s="46"/>
    </row>
    <row r="18" spans="1:23" x14ac:dyDescent="0.2">
      <c r="A18" s="849" t="s">
        <v>197</v>
      </c>
      <c r="B18" s="925">
        <f>'Dean''s Office'!B22</f>
        <v>0</v>
      </c>
      <c r="C18" s="850" t="str">
        <f>'Dean''s Office'!C22</f>
        <v>xxxxx</v>
      </c>
      <c r="D18" s="925">
        <f>'Dean''s Office'!D22</f>
        <v>4</v>
      </c>
      <c r="E18" s="850" t="str">
        <f>'Dean''s Office'!E22</f>
        <v>xxxxx</v>
      </c>
      <c r="F18" s="925">
        <f>'Dean''s Office'!F22</f>
        <v>15</v>
      </c>
      <c r="G18" s="1016" t="str">
        <f>'Dean''s Office'!G22</f>
        <v>xxxxx</v>
      </c>
      <c r="H18" s="925">
        <f>'Dean''s Office'!H22</f>
        <v>15</v>
      </c>
      <c r="I18" s="1016" t="str">
        <f>'Dean''s Office'!I22</f>
        <v>xxxx</v>
      </c>
      <c r="J18" s="925">
        <f>'Dean''s Office'!J22</f>
        <v>6</v>
      </c>
      <c r="K18" s="1016" t="str">
        <f>'Dean''s Office'!K22</f>
        <v>xxxx</v>
      </c>
      <c r="L18" s="925">
        <f>'Dean''s Office'!L22</f>
        <v>11</v>
      </c>
      <c r="M18" s="1016" t="str">
        <f>'Dean''s Office'!M22</f>
        <v>xxxx</v>
      </c>
      <c r="N18" s="925">
        <f>'Dean''s Office'!N22</f>
        <v>12</v>
      </c>
      <c r="O18" s="1016" t="str">
        <f>'Dean''s Office'!O22</f>
        <v>xxxx</v>
      </c>
      <c r="P18" s="925">
        <f>'Dean''s Office'!P22</f>
        <v>10</v>
      </c>
      <c r="Q18" s="1016" t="str">
        <f>'Dean''s Office'!Q22</f>
        <v>xxxx</v>
      </c>
      <c r="R18" s="925">
        <f>'Dean''s Office'!R22</f>
        <v>9</v>
      </c>
      <c r="S18" s="1016" t="str">
        <f>'Dean''s Office'!S22</f>
        <v>xxxx</v>
      </c>
      <c r="T18" s="925">
        <f>'Dean''s Office'!T22</f>
        <v>5</v>
      </c>
      <c r="U18" s="1017" t="s">
        <v>133</v>
      </c>
      <c r="V18" s="46"/>
      <c r="W18" s="46"/>
    </row>
    <row r="19" spans="1:23" ht="13.5" thickBot="1" x14ac:dyDescent="0.25">
      <c r="A19" s="851" t="s">
        <v>186</v>
      </c>
      <c r="B19" s="926">
        <f>'Dean''s Office'!B18+FSHS!B17+FSHS!B18+FSHS!B37+FSHS!B38+FSHS!B39+FSHS!B42</f>
        <v>9</v>
      </c>
      <c r="C19" s="927">
        <f>'Dean''s Office'!C18+FSHS!C17+FSHS!C18+FSHS!C37+FSHS!C38+FSHS!C39+FSHS!C42</f>
        <v>22</v>
      </c>
      <c r="D19" s="926">
        <f>'Dean''s Office'!D18+FSHS!D17+FSHS!D18+FSHS!D37+FSHS!D38+FSHS!D39+FSHS!D42</f>
        <v>15</v>
      </c>
      <c r="E19" s="927">
        <f>'Dean''s Office'!E18+FSHS!E17+FSHS!E18+FSHS!E37+FSHS!E38+FSHS!E39+FSHS!E42</f>
        <v>37</v>
      </c>
      <c r="F19" s="926">
        <f>'Dean''s Office'!F18+FSHS!F17+FSHS!F18+FSHS!F37+FSHS!F38+FSHS!F39+FSHS!F42</f>
        <v>29</v>
      </c>
      <c r="G19" s="927">
        <f>'Dean''s Office'!G18+FSHS!G17+FSHS!G18+FSHS!G37+FSHS!G38+FSHS!G39+FSHS!G42</f>
        <v>36</v>
      </c>
      <c r="H19" s="926">
        <f>'Dean''s Office'!H18+FSHS!H17+FSHS!H18+FSHS!H37+FSHS!H38+FSHS!H39+FSHS!H42</f>
        <v>34</v>
      </c>
      <c r="I19" s="927">
        <f>'Dean''s Office'!I18+FSHS!I17+FSHS!I18+FSHS!I37+FSHS!I38+FSHS!I39+FSHS!I42</f>
        <v>30</v>
      </c>
      <c r="J19" s="926">
        <f>'Dean''s Office'!J18+FSHS!J17+FSHS!J18+FSHS!J37+FSHS!J38+FSHS!J39+FSHS!J42</f>
        <v>43</v>
      </c>
      <c r="K19" s="927">
        <f>'Dean''s Office'!K18+FSHS!K17+FSHS!K18+FSHS!K37+FSHS!K38+FSHS!K39+FSHS!K42</f>
        <v>28</v>
      </c>
      <c r="L19" s="926">
        <f>'Dean''s Office'!L18+FSHS!L17+FSHS!L18+FSHS!L37+FSHS!L38+FSHS!L39+FSHS!L42</f>
        <v>39</v>
      </c>
      <c r="M19" s="927">
        <f>'Dean''s Office'!M18+FSHS!M17+FSHS!M18+FSHS!M37+FSHS!M38+FSHS!M39+FSHS!M42</f>
        <v>29</v>
      </c>
      <c r="N19" s="926">
        <f>'Dean''s Office'!N18+FSHS!N17+FSHS!N18+FSHS!N37+FSHS!N38+FSHS!N39+FSHS!N42</f>
        <v>39</v>
      </c>
      <c r="O19" s="927">
        <f>'Dean''s Office'!O18+FSHS!O17+FSHS!O18+FSHS!O37+FSHS!O38+FSHS!O39+FSHS!O42</f>
        <v>29</v>
      </c>
      <c r="P19" s="926">
        <f>'Dean''s Office'!P18+FSHS!P17+FSHS!P18+FSHS!P37+FSHS!P38+FSHS!P39+FSHS!P42</f>
        <v>34</v>
      </c>
      <c r="Q19" s="927">
        <f>'Dean''s Office'!Q18+FSHS!Q17+FSHS!Q18+FSHS!Q37+FSHS!Q38+FSHS!Q39+FSHS!Q42</f>
        <v>15</v>
      </c>
      <c r="R19" s="926">
        <f>'Dean''s Office'!R18+FSHS!R17+FSHS!R18+FSHS!R37+FSHS!R38+FSHS!R39+FSHS!R42</f>
        <v>41</v>
      </c>
      <c r="S19" s="927">
        <f>'Dean''s Office'!S18+FSHS!S17+FSHS!S18+FSHS!S37+FSHS!S38+FSHS!S39+FSHS!S42</f>
        <v>47</v>
      </c>
      <c r="T19" s="935">
        <f>'Dean''s Office'!T18+FSHS!T17+FSHS!T18+FSHS!T37+FSHS!T38+FSHS!T39+FSHS!T42</f>
        <v>41</v>
      </c>
      <c r="U19" s="1010"/>
      <c r="V19" s="46"/>
      <c r="W19" s="46"/>
    </row>
    <row r="20" spans="1:23" ht="14.25" thickTop="1" thickBot="1" x14ac:dyDescent="0.25">
      <c r="A20" s="38" t="s">
        <v>62</v>
      </c>
      <c r="B20" s="852"/>
      <c r="C20" s="853"/>
      <c r="D20" s="852"/>
      <c r="E20" s="853"/>
      <c r="F20" s="852"/>
      <c r="G20" s="853"/>
      <c r="H20" s="852"/>
      <c r="I20" s="853"/>
      <c r="J20" s="852"/>
      <c r="K20" s="853"/>
      <c r="L20" s="852"/>
      <c r="M20" s="853"/>
      <c r="N20" s="852"/>
      <c r="O20" s="853"/>
      <c r="P20" s="852"/>
      <c r="Q20" s="853"/>
      <c r="R20" s="852"/>
      <c r="S20" s="853"/>
      <c r="T20" s="852"/>
      <c r="U20" s="854"/>
      <c r="V20" s="46"/>
      <c r="W20" s="46"/>
    </row>
    <row r="21" spans="1:23" x14ac:dyDescent="0.2">
      <c r="A21" s="855" t="s">
        <v>187</v>
      </c>
      <c r="B21" s="856"/>
      <c r="C21" s="857"/>
      <c r="D21" s="856"/>
      <c r="E21" s="857"/>
      <c r="F21" s="856"/>
      <c r="G21" s="857"/>
      <c r="H21" s="856"/>
      <c r="I21" s="857"/>
      <c r="J21" s="856"/>
      <c r="K21" s="857"/>
      <c r="L21" s="856"/>
      <c r="M21" s="857"/>
      <c r="N21" s="856"/>
      <c r="O21" s="857"/>
      <c r="P21" s="856"/>
      <c r="Q21" s="857"/>
      <c r="R21" s="856"/>
      <c r="S21" s="857"/>
      <c r="T21" s="856"/>
      <c r="U21" s="858"/>
      <c r="V21" s="46"/>
      <c r="W21" s="46"/>
    </row>
    <row r="22" spans="1:23" x14ac:dyDescent="0.2">
      <c r="A22" s="859" t="s">
        <v>63</v>
      </c>
      <c r="B22" s="860"/>
      <c r="C22" s="1004"/>
      <c r="D22" s="860"/>
      <c r="E22" s="861">
        <v>0.63</v>
      </c>
      <c r="F22" s="860"/>
      <c r="G22" s="861">
        <v>0.61</v>
      </c>
      <c r="H22" s="860"/>
      <c r="I22" s="861">
        <v>0.65</v>
      </c>
      <c r="J22" s="860"/>
      <c r="K22" s="861">
        <v>0.61</v>
      </c>
      <c r="L22" s="860"/>
      <c r="M22" s="861">
        <v>0.66</v>
      </c>
      <c r="N22" s="860"/>
      <c r="O22" s="861">
        <v>0.69</v>
      </c>
      <c r="P22" s="860"/>
      <c r="Q22" s="861">
        <v>0.64</v>
      </c>
      <c r="R22" s="860"/>
      <c r="S22" s="1004"/>
      <c r="T22" s="860"/>
      <c r="U22" s="1015"/>
      <c r="V22" s="46"/>
      <c r="W22" s="46"/>
    </row>
    <row r="23" spans="1:23" x14ac:dyDescent="0.2">
      <c r="A23" s="698" t="s">
        <v>188</v>
      </c>
      <c r="B23" s="860"/>
      <c r="C23" s="1005"/>
      <c r="D23" s="860"/>
      <c r="E23" s="863">
        <v>0.25</v>
      </c>
      <c r="F23" s="860"/>
      <c r="G23" s="863">
        <v>0.31</v>
      </c>
      <c r="H23" s="860"/>
      <c r="I23" s="863">
        <v>0.27</v>
      </c>
      <c r="J23" s="860"/>
      <c r="K23" s="863">
        <v>0.27</v>
      </c>
      <c r="L23" s="860"/>
      <c r="M23" s="863">
        <v>0.25</v>
      </c>
      <c r="N23" s="860"/>
      <c r="O23" s="863">
        <v>0.26</v>
      </c>
      <c r="P23" s="860"/>
      <c r="Q23" s="863">
        <v>0.3</v>
      </c>
      <c r="R23" s="860"/>
      <c r="S23" s="1005"/>
      <c r="T23" s="860"/>
      <c r="U23" s="1015"/>
      <c r="V23" s="46"/>
      <c r="W23" s="46"/>
    </row>
    <row r="24" spans="1:23" ht="13.5" thickBot="1" x14ac:dyDescent="0.25">
      <c r="A24" s="864" t="s">
        <v>66</v>
      </c>
      <c r="B24" s="865"/>
      <c r="C24" s="866"/>
      <c r="D24" s="865"/>
      <c r="E24" s="866"/>
      <c r="F24" s="865"/>
      <c r="G24" s="866"/>
      <c r="H24" s="865"/>
      <c r="I24" s="866"/>
      <c r="J24" s="865"/>
      <c r="K24" s="866"/>
      <c r="L24" s="865"/>
      <c r="M24" s="866"/>
      <c r="N24" s="865"/>
      <c r="O24" s="866"/>
      <c r="P24" s="865"/>
      <c r="Q24" s="866"/>
      <c r="R24" s="865"/>
      <c r="S24" s="866"/>
      <c r="T24" s="865"/>
      <c r="U24" s="867"/>
      <c r="V24" s="46"/>
      <c r="W24" s="46"/>
    </row>
    <row r="25" spans="1:23" ht="14.25" thickTop="1" thickBot="1" x14ac:dyDescent="0.25">
      <c r="A25" s="43" t="s">
        <v>16</v>
      </c>
      <c r="B25" s="852"/>
      <c r="C25" s="853"/>
      <c r="D25" s="852"/>
      <c r="E25" s="853"/>
      <c r="F25" s="852"/>
      <c r="G25" s="853"/>
      <c r="H25" s="852"/>
      <c r="I25" s="853"/>
      <c r="J25" s="852"/>
      <c r="K25" s="853"/>
      <c r="L25" s="852"/>
      <c r="M25" s="853"/>
      <c r="N25" s="852"/>
      <c r="O25" s="853"/>
      <c r="P25" s="852"/>
      <c r="Q25" s="853"/>
      <c r="R25" s="852"/>
      <c r="S25" s="853"/>
      <c r="T25" s="852"/>
      <c r="U25" s="854"/>
      <c r="V25" s="46"/>
      <c r="W25" s="46"/>
    </row>
    <row r="26" spans="1:23" x14ac:dyDescent="0.2">
      <c r="A26" s="868" t="s">
        <v>17</v>
      </c>
      <c r="B26" s="869"/>
      <c r="C26" s="870">
        <f>'Dean''s Office'!C31+ATID!C32+HM!C27+'Food Nutrition Diet Health'!C39+FSHS!C60+Kinesiology!C26</f>
        <v>13146</v>
      </c>
      <c r="D26" s="869"/>
      <c r="E26" s="870">
        <f>'Dean''s Office'!E31+ATID!E32+HM!E27+'Food Nutrition Diet Health'!E39+FSHS!E60+Kinesiology!E26</f>
        <v>13155</v>
      </c>
      <c r="F26" s="869"/>
      <c r="G26" s="870">
        <f>'Dean''s Office'!G31+ATID!G32+HM!G27+'Food Nutrition Diet Health'!G39+FSHS!G60+Kinesiology!G26</f>
        <v>13554</v>
      </c>
      <c r="H26" s="869"/>
      <c r="I26" s="870">
        <f>'Dean''s Office'!I31+ATID!I32+HM!I27+'Food Nutrition Diet Health'!I39+FSHS!I60+Kinesiology!I26</f>
        <v>13723</v>
      </c>
      <c r="J26" s="869"/>
      <c r="K26" s="870">
        <f>'Dean''s Office'!K31+ATID!K32+HM!K27+'Food Nutrition Diet Health'!K39+FSHS!K60+Kinesiology!K26</f>
        <v>13488</v>
      </c>
      <c r="L26" s="869"/>
      <c r="M26" s="870">
        <f>'Dean''s Office'!M31+ATID!M32+HM!M27+'Food Nutrition Diet Health'!M39+FSHS!M60+Kinesiology!M26</f>
        <v>15299</v>
      </c>
      <c r="N26" s="869"/>
      <c r="O26" s="870">
        <f>'Dean''s Office'!O31+ATID!O32+HM!O27+'Food Nutrition Diet Health'!O39+FSHS!O60+Kinesiology!O26</f>
        <v>16185</v>
      </c>
      <c r="P26" s="869"/>
      <c r="Q26" s="870">
        <f>'Dean''s Office'!Q31+ATID!Q32+HM!Q27+'Food Nutrition Diet Health'!Q39+FSHS!Q60+Kinesiology!Q26</f>
        <v>16169</v>
      </c>
      <c r="R26" s="869"/>
      <c r="S26" s="870">
        <f>'Dean''s Office'!S31+ATID!S32+HM!S27+'Food Nutrition Diet Health'!S39+FSHS!S60+Kinesiology!S26</f>
        <v>14899</v>
      </c>
      <c r="T26" s="869"/>
      <c r="U26" s="1011"/>
      <c r="V26" s="46"/>
      <c r="W26" s="46"/>
    </row>
    <row r="27" spans="1:23" x14ac:dyDescent="0.2">
      <c r="A27" s="868" t="s">
        <v>18</v>
      </c>
      <c r="B27" s="860"/>
      <c r="C27" s="928">
        <f>'Dean''s Office'!C32+ATID!C33+HM!C28+'Food Nutrition Diet Health'!C40+FSHS!C61+Kinesiology!C27</f>
        <v>30878</v>
      </c>
      <c r="D27" s="860"/>
      <c r="E27" s="928">
        <f>'Dean''s Office'!E32+ATID!E33+HM!E28+'Food Nutrition Diet Health'!E40+FSHS!E61+Kinesiology!E27</f>
        <v>29842</v>
      </c>
      <c r="F27" s="860"/>
      <c r="G27" s="928">
        <f>'Dean''s Office'!G32+ATID!G33+HM!G28+'Food Nutrition Diet Health'!G40+FSHS!G61+Kinesiology!G27</f>
        <v>32371</v>
      </c>
      <c r="H27" s="860"/>
      <c r="I27" s="928">
        <f>'Dean''s Office'!I32+ATID!I33+HM!I28+'Food Nutrition Diet Health'!I40+FSHS!I61+Kinesiology!I27</f>
        <v>33859</v>
      </c>
      <c r="J27" s="860"/>
      <c r="K27" s="928">
        <f>'Dean''s Office'!K32+ATID!K33+HM!K28+'Food Nutrition Diet Health'!K40+FSHS!K61+Kinesiology!K27</f>
        <v>36196</v>
      </c>
      <c r="L27" s="860"/>
      <c r="M27" s="928">
        <f>'Dean''s Office'!M32+ATID!M33+HM!M28+'Food Nutrition Diet Health'!M40+FSHS!M61+Kinesiology!M27</f>
        <v>37106</v>
      </c>
      <c r="N27" s="860"/>
      <c r="O27" s="928">
        <f>'Dean''s Office'!O32+ATID!O33+HM!O28+'Food Nutrition Diet Health'!O40+FSHS!O61+Kinesiology!O27</f>
        <v>36622</v>
      </c>
      <c r="P27" s="860"/>
      <c r="Q27" s="928">
        <f>'Dean''s Office'!Q32+ATID!Q33+HM!Q28+'Food Nutrition Diet Health'!Q40+FSHS!Q61+Kinesiology!Q27</f>
        <v>37939</v>
      </c>
      <c r="R27" s="860"/>
      <c r="S27" s="928">
        <f>'Dean''s Office'!S32+ATID!S33+HM!S28+'Food Nutrition Diet Health'!S40+FSHS!S61+Kinesiology!S27</f>
        <v>38311</v>
      </c>
      <c r="T27" s="860"/>
      <c r="U27" s="1012"/>
      <c r="V27" s="46"/>
      <c r="W27" s="46"/>
    </row>
    <row r="28" spans="1:23" x14ac:dyDescent="0.2">
      <c r="A28" s="868" t="s">
        <v>19</v>
      </c>
      <c r="B28" s="860"/>
      <c r="C28" s="928">
        <f>'Dean''s Office'!C33+ATID!C34+HM!C29+'Food Nutrition Diet Health'!C41+FSHS!C62+Kinesiology!C28</f>
        <v>4819</v>
      </c>
      <c r="D28" s="860"/>
      <c r="E28" s="928">
        <f>'Dean''s Office'!E33+ATID!E34+HM!E29+'Food Nutrition Diet Health'!E41+FSHS!E62+Kinesiology!E28</f>
        <v>5020</v>
      </c>
      <c r="F28" s="860"/>
      <c r="G28" s="928">
        <f>'Dean''s Office'!G33+ATID!G34+HM!G29+'Food Nutrition Diet Health'!G41+FSHS!G62+Kinesiology!G28</f>
        <v>5022</v>
      </c>
      <c r="H28" s="860"/>
      <c r="I28" s="928">
        <f>'Dean''s Office'!I33+ATID!I34+HM!I29+'Food Nutrition Diet Health'!I41+FSHS!I62+Kinesiology!I28</f>
        <v>5503</v>
      </c>
      <c r="J28" s="860"/>
      <c r="K28" s="928">
        <f>'Dean''s Office'!K33+ATID!K34+HM!K29+'Food Nutrition Diet Health'!K41+FSHS!K62+Kinesiology!K28</f>
        <v>5675</v>
      </c>
      <c r="L28" s="860"/>
      <c r="M28" s="928">
        <f>'Dean''s Office'!M33+ATID!M34+HM!M29+'Food Nutrition Diet Health'!M41+FSHS!M62+Kinesiology!M28</f>
        <v>5862</v>
      </c>
      <c r="N28" s="860"/>
      <c r="O28" s="928">
        <f>'Dean''s Office'!O33+ATID!O34+HM!O29+'Food Nutrition Diet Health'!O41+FSHS!O62+Kinesiology!O28</f>
        <v>5610</v>
      </c>
      <c r="P28" s="860"/>
      <c r="Q28" s="928">
        <f>'Dean''s Office'!Q33+ATID!Q34+HM!Q29+'Food Nutrition Diet Health'!Q41+FSHS!Q62+Kinesiology!Q28</f>
        <v>5527</v>
      </c>
      <c r="R28" s="860"/>
      <c r="S28" s="928">
        <f>'Dean''s Office'!S33+ATID!S34+HM!S29+'Food Nutrition Diet Health'!S41+FSHS!S62+Kinesiology!S28</f>
        <v>5449</v>
      </c>
      <c r="T28" s="860"/>
      <c r="U28" s="1012"/>
      <c r="V28" s="46"/>
      <c r="W28" s="46"/>
    </row>
    <row r="29" spans="1:23" ht="13.5" thickBot="1" x14ac:dyDescent="0.25">
      <c r="A29" s="875" t="s">
        <v>20</v>
      </c>
      <c r="B29" s="929"/>
      <c r="C29" s="930">
        <f>'Dean''s Office'!C34+ATID!C35+HM!C30+'Food Nutrition Diet Health'!C42+FSHS!C63+Kinesiology!C29</f>
        <v>891</v>
      </c>
      <c r="D29" s="929"/>
      <c r="E29" s="930">
        <f>'Dean''s Office'!E34+ATID!E35+HM!E30+'Food Nutrition Diet Health'!E42+FSHS!E63+Kinesiology!E29</f>
        <v>756</v>
      </c>
      <c r="F29" s="929"/>
      <c r="G29" s="930">
        <f>'Dean''s Office'!G34+ATID!G35+HM!G30+'Food Nutrition Diet Health'!G42+FSHS!G63+Kinesiology!G29</f>
        <v>893</v>
      </c>
      <c r="H29" s="929"/>
      <c r="I29" s="930">
        <f>'Dean''s Office'!I34+ATID!I35+HM!I30+'Food Nutrition Diet Health'!I42+FSHS!I63+Kinesiology!I29</f>
        <v>906</v>
      </c>
      <c r="J29" s="929">
        <f>'Dean''s Office'!J34+ATID!J35+HM!J30+'Food Nutrition Diet Health'!J42+FSHS!J63+Kinesiology!J29</f>
        <v>0</v>
      </c>
      <c r="K29" s="930">
        <f>'Dean''s Office'!K34+ATID!K35+HM!K30+'Food Nutrition Diet Health'!K42+FSHS!K63+Kinesiology!K29</f>
        <v>1035</v>
      </c>
      <c r="L29" s="929"/>
      <c r="M29" s="930">
        <f>'Dean''s Office'!M34+ATID!M35+HM!M30+'Food Nutrition Diet Health'!M42+FSHS!M63+Kinesiology!M29</f>
        <v>1036</v>
      </c>
      <c r="N29" s="929"/>
      <c r="O29" s="930">
        <f>'Dean''s Office'!O34+ATID!O35+HM!O30+'Food Nutrition Diet Health'!O42+FSHS!O63+Kinesiology!O29</f>
        <v>1242</v>
      </c>
      <c r="P29" s="929"/>
      <c r="Q29" s="930">
        <f>'Dean''s Office'!Q34+ATID!Q35+HM!Q30+'Food Nutrition Diet Health'!Q42+FSHS!Q63+Kinesiology!Q29</f>
        <v>1380</v>
      </c>
      <c r="R29" s="929"/>
      <c r="S29" s="930">
        <f>'Dean''s Office'!S34+ATID!S35+HM!S30+'Food Nutrition Diet Health'!S42+FSHS!S63+Kinesiology!S29</f>
        <v>1077</v>
      </c>
      <c r="T29" s="929"/>
      <c r="U29" s="1013"/>
      <c r="V29" s="46"/>
      <c r="W29" s="46"/>
    </row>
    <row r="30" spans="1:23" ht="13.5" thickBot="1" x14ac:dyDescent="0.25">
      <c r="A30" s="876" t="s">
        <v>21</v>
      </c>
      <c r="B30" s="877"/>
      <c r="C30" s="878">
        <f>SUM(C26:C29)</f>
        <v>49734</v>
      </c>
      <c r="D30" s="877"/>
      <c r="E30" s="878">
        <f>SUM(E26:E29)</f>
        <v>48773</v>
      </c>
      <c r="F30" s="877"/>
      <c r="G30" s="878">
        <f>SUM(G26:G29)</f>
        <v>51840</v>
      </c>
      <c r="H30" s="877"/>
      <c r="I30" s="878">
        <f>SUM(I26:I29)</f>
        <v>53991</v>
      </c>
      <c r="J30" s="877"/>
      <c r="K30" s="878">
        <f>SUM(K26:K29)</f>
        <v>56394</v>
      </c>
      <c r="L30" s="877"/>
      <c r="M30" s="878">
        <f>SUM(M26:M29)</f>
        <v>59303</v>
      </c>
      <c r="N30" s="877"/>
      <c r="O30" s="878">
        <f>SUM(O26:O29)</f>
        <v>59659</v>
      </c>
      <c r="P30" s="877"/>
      <c r="Q30" s="878">
        <f>SUM(Q26:Q29)</f>
        <v>61015</v>
      </c>
      <c r="R30" s="877"/>
      <c r="S30" s="878">
        <f>SUM(S26:S29)</f>
        <v>59736</v>
      </c>
      <c r="T30" s="877"/>
      <c r="U30" s="1014"/>
      <c r="V30" s="499"/>
      <c r="W30" s="46"/>
    </row>
    <row r="31" spans="1:23" ht="14.25" thickTop="1" thickBot="1" x14ac:dyDescent="0.25">
      <c r="A31" s="33"/>
      <c r="T31" s="46"/>
      <c r="U31" s="931"/>
      <c r="V31" s="46"/>
      <c r="W31" s="46"/>
    </row>
    <row r="32" spans="1:23" ht="14.25" thickTop="1" thickBot="1" x14ac:dyDescent="0.25">
      <c r="A32" s="173" t="s">
        <v>60</v>
      </c>
      <c r="B32" s="879" t="s">
        <v>32</v>
      </c>
      <c r="C32" s="880" t="s">
        <v>65</v>
      </c>
      <c r="D32" s="879" t="s">
        <v>32</v>
      </c>
      <c r="E32" s="880" t="s">
        <v>65</v>
      </c>
      <c r="F32" s="881" t="s">
        <v>32</v>
      </c>
      <c r="G32" s="882" t="s">
        <v>65</v>
      </c>
      <c r="H32" s="879" t="s">
        <v>32</v>
      </c>
      <c r="I32" s="880" t="s">
        <v>65</v>
      </c>
      <c r="J32" s="881" t="s">
        <v>32</v>
      </c>
      <c r="K32" s="882" t="s">
        <v>65</v>
      </c>
      <c r="L32" s="879" t="s">
        <v>32</v>
      </c>
      <c r="M32" s="880" t="s">
        <v>65</v>
      </c>
      <c r="N32" s="881" t="s">
        <v>32</v>
      </c>
      <c r="O32" s="882" t="s">
        <v>65</v>
      </c>
      <c r="P32" s="879" t="s">
        <v>32</v>
      </c>
      <c r="Q32" s="880" t="s">
        <v>65</v>
      </c>
      <c r="R32" s="879" t="s">
        <v>32</v>
      </c>
      <c r="S32" s="880" t="s">
        <v>65</v>
      </c>
      <c r="T32" s="881" t="s">
        <v>32</v>
      </c>
      <c r="U32" s="883" t="s">
        <v>65</v>
      </c>
      <c r="V32" s="884"/>
      <c r="W32" s="46"/>
    </row>
    <row r="33" spans="1:23" x14ac:dyDescent="0.2">
      <c r="A33" s="885" t="s">
        <v>61</v>
      </c>
      <c r="B33" s="939"/>
      <c r="C33" s="940"/>
      <c r="D33" s="939"/>
      <c r="E33" s="940"/>
      <c r="F33" s="941"/>
      <c r="G33" s="942"/>
      <c r="H33" s="871"/>
      <c r="I33" s="886">
        <f>H33/H16</f>
        <v>0</v>
      </c>
      <c r="J33" s="872"/>
      <c r="K33" s="886">
        <f>J33/J16</f>
        <v>0</v>
      </c>
      <c r="L33" s="871"/>
      <c r="M33" s="886">
        <f>L33/L16</f>
        <v>0</v>
      </c>
      <c r="N33" s="871"/>
      <c r="O33" s="886">
        <f>N33/N16</f>
        <v>0</v>
      </c>
      <c r="P33" s="872"/>
      <c r="Q33" s="886">
        <f>P33/P16</f>
        <v>0</v>
      </c>
      <c r="R33" s="872"/>
      <c r="S33" s="886">
        <f>R33/R16</f>
        <v>0</v>
      </c>
      <c r="T33" s="873"/>
      <c r="U33" s="887">
        <f>T33/T16</f>
        <v>0</v>
      </c>
      <c r="V33" s="46"/>
      <c r="W33" s="46"/>
    </row>
    <row r="34" spans="1:23" ht="13.5" thickBot="1" x14ac:dyDescent="0.25">
      <c r="A34" s="888" t="s">
        <v>189</v>
      </c>
      <c r="B34" s="943"/>
      <c r="C34" s="944"/>
      <c r="D34" s="943"/>
      <c r="E34" s="944"/>
      <c r="F34" s="943"/>
      <c r="G34" s="944"/>
      <c r="H34" s="889"/>
      <c r="I34" s="890">
        <f>H34/H17</f>
        <v>0</v>
      </c>
      <c r="J34" s="889"/>
      <c r="K34" s="890">
        <f>J34/J17</f>
        <v>0</v>
      </c>
      <c r="L34" s="889"/>
      <c r="M34" s="890">
        <f>L34/L17</f>
        <v>0</v>
      </c>
      <c r="N34" s="889"/>
      <c r="O34" s="890">
        <f>N34/N17</f>
        <v>0</v>
      </c>
      <c r="P34" s="889"/>
      <c r="Q34" s="890">
        <f>P34/P17</f>
        <v>0</v>
      </c>
      <c r="R34" s="889"/>
      <c r="S34" s="890">
        <f>R34/R17</f>
        <v>0</v>
      </c>
      <c r="T34" s="891"/>
      <c r="U34" s="892">
        <f>T34/T17</f>
        <v>0</v>
      </c>
      <c r="V34" s="46"/>
      <c r="W34" s="46"/>
    </row>
    <row r="35" spans="1:23" ht="13.5" thickTop="1" x14ac:dyDescent="0.2">
      <c r="V35" s="46"/>
      <c r="W35" s="46"/>
    </row>
    <row r="36" spans="1:23" ht="13.5" thickBot="1" x14ac:dyDescent="0.25">
      <c r="V36" s="46"/>
      <c r="W36" s="46"/>
    </row>
    <row r="37" spans="1:23" ht="14.25" thickTop="1" thickBot="1" x14ac:dyDescent="0.25">
      <c r="A37" s="893" t="s">
        <v>157</v>
      </c>
      <c r="B37" s="1039" t="s">
        <v>23</v>
      </c>
      <c r="C37" s="1040"/>
      <c r="D37" s="1039" t="s">
        <v>24</v>
      </c>
      <c r="E37" s="1040"/>
      <c r="F37" s="1039" t="s">
        <v>25</v>
      </c>
      <c r="G37" s="1040"/>
      <c r="H37" s="1039" t="s">
        <v>26</v>
      </c>
      <c r="I37" s="1040"/>
      <c r="J37" s="1039" t="s">
        <v>27</v>
      </c>
      <c r="K37" s="1040"/>
      <c r="L37" s="1039" t="s">
        <v>28</v>
      </c>
      <c r="M37" s="1040"/>
      <c r="N37" s="1039" t="s">
        <v>29</v>
      </c>
      <c r="O37" s="1040"/>
      <c r="P37" s="1039" t="s">
        <v>30</v>
      </c>
      <c r="Q37" s="1040"/>
      <c r="R37" s="1039" t="s">
        <v>31</v>
      </c>
      <c r="S37" s="1040"/>
      <c r="T37" s="1039" t="s">
        <v>200</v>
      </c>
      <c r="U37" s="1051"/>
      <c r="V37" s="46"/>
      <c r="W37" s="46"/>
    </row>
    <row r="38" spans="1:23" ht="24" x14ac:dyDescent="0.2">
      <c r="A38" s="500" t="s">
        <v>190</v>
      </c>
      <c r="B38" s="869"/>
      <c r="C38" s="894"/>
      <c r="D38" s="869"/>
      <c r="E38" s="894"/>
      <c r="F38" s="869"/>
      <c r="G38" s="894"/>
      <c r="H38" s="895"/>
      <c r="I38" s="894"/>
      <c r="J38" s="895"/>
      <c r="K38" s="894"/>
      <c r="L38" s="895"/>
      <c r="M38" s="894"/>
      <c r="N38" s="895"/>
      <c r="O38" s="894"/>
      <c r="P38" s="895"/>
      <c r="Q38" s="894"/>
      <c r="R38" s="895"/>
      <c r="S38" s="894"/>
      <c r="T38" s="895"/>
      <c r="U38" s="896"/>
      <c r="V38" s="46"/>
      <c r="W38" s="46"/>
    </row>
    <row r="39" spans="1:23" ht="24" x14ac:dyDescent="0.2">
      <c r="A39" s="897" t="s">
        <v>145</v>
      </c>
      <c r="B39" s="860"/>
      <c r="C39" s="898">
        <f>ATID!C48+HM!C43+'Food Nutrition Diet Health'!C57+FSHS!C79+Kinesiology!C43</f>
        <v>50</v>
      </c>
      <c r="D39" s="860"/>
      <c r="E39" s="898">
        <f>ATID!E48+HM!E43+'Food Nutrition Diet Health'!E57+FSHS!E79+Kinesiology!E43</f>
        <v>55</v>
      </c>
      <c r="F39" s="860"/>
      <c r="G39" s="898">
        <f>ATID!G48+HM!G43+'Food Nutrition Diet Health'!G57+FSHS!G79+Kinesiology!G43</f>
        <v>55</v>
      </c>
      <c r="H39" s="860"/>
      <c r="I39" s="898">
        <f>ATID!I48+HM!I43+'Food Nutrition Diet Health'!I57+FSHS!I79+Kinesiology!I43</f>
        <v>53</v>
      </c>
      <c r="J39" s="860"/>
      <c r="K39" s="898">
        <f>ATID!K48+HM!K43+'Food Nutrition Diet Health'!K57+FSHS!K79+Kinesiology!K43</f>
        <v>50</v>
      </c>
      <c r="L39" s="860"/>
      <c r="M39" s="898">
        <f>ATID!M48+HM!M43+'Food Nutrition Diet Health'!M57+FSHS!M79+Kinesiology!M43</f>
        <v>53</v>
      </c>
      <c r="N39" s="860"/>
      <c r="O39" s="898">
        <f>ATID!O48+HM!O43+'Food Nutrition Diet Health'!O57+FSHS!O79+Kinesiology!O43</f>
        <v>54</v>
      </c>
      <c r="P39" s="860"/>
      <c r="Q39" s="898">
        <f>ATID!Q48+HM!Q43+'Food Nutrition Diet Health'!Q57+FSHS!Q79+Kinesiology!Q43</f>
        <v>57</v>
      </c>
      <c r="R39" s="860"/>
      <c r="S39" s="898">
        <f>ATID!S48+HM!S43+'Food Nutrition Diet Health'!S57+FSHS!S79+Kinesiology!S43</f>
        <v>56</v>
      </c>
      <c r="T39" s="860"/>
      <c r="U39" s="862">
        <f>ATID!U48+HM!U43+'Food Nutrition Diet Health'!U57+FSHS!U79+Kinesiology!U43</f>
        <v>0</v>
      </c>
      <c r="V39" s="46"/>
      <c r="W39" s="46"/>
    </row>
    <row r="40" spans="1:23" ht="24" x14ac:dyDescent="0.2">
      <c r="A40" s="899" t="s">
        <v>191</v>
      </c>
      <c r="B40" s="860"/>
      <c r="C40" s="898">
        <f>ATID!C49+HM!C44+'Food Nutrition Diet Health'!C58+FSHS!C80+Kinesiology!C44</f>
        <v>45</v>
      </c>
      <c r="D40" s="860"/>
      <c r="E40" s="898">
        <f>ATID!E49+HM!E44+'Food Nutrition Diet Health'!E58+FSHS!E80+Kinesiology!E44</f>
        <v>48</v>
      </c>
      <c r="F40" s="860"/>
      <c r="G40" s="898">
        <f>ATID!G49+HM!G44+'Food Nutrition Diet Health'!G58+FSHS!G80+Kinesiology!G44</f>
        <v>51</v>
      </c>
      <c r="H40" s="860"/>
      <c r="I40" s="898">
        <f>ATID!I49+HM!I44+'Food Nutrition Diet Health'!I58+FSHS!I80+Kinesiology!I44</f>
        <v>47</v>
      </c>
      <c r="J40" s="860"/>
      <c r="K40" s="898">
        <f>ATID!K49+HM!K44+'Food Nutrition Diet Health'!K58+FSHS!K80+Kinesiology!K44</f>
        <v>48</v>
      </c>
      <c r="L40" s="860"/>
      <c r="M40" s="898">
        <f>ATID!M49+HM!M44+'Food Nutrition Diet Health'!M58+FSHS!M80+Kinesiology!M44</f>
        <v>53</v>
      </c>
      <c r="N40" s="860"/>
      <c r="O40" s="898">
        <f>ATID!O49+HM!O44+'Food Nutrition Diet Health'!O58+FSHS!O80+Kinesiology!O44</f>
        <v>52</v>
      </c>
      <c r="P40" s="860"/>
      <c r="Q40" s="898">
        <f>ATID!Q49+HM!Q44+'Food Nutrition Diet Health'!Q58+FSHS!Q80+Kinesiology!Q44</f>
        <v>57</v>
      </c>
      <c r="R40" s="860"/>
      <c r="S40" s="898">
        <f>ATID!S49+HM!S44+'Food Nutrition Diet Health'!S58+FSHS!S80+Kinesiology!S44</f>
        <v>54</v>
      </c>
      <c r="T40" s="860"/>
      <c r="U40" s="862">
        <f>ATID!U49+HM!U44+'Food Nutrition Diet Health'!U58+FSHS!U80+Kinesiology!U44</f>
        <v>0</v>
      </c>
      <c r="V40" s="46"/>
      <c r="W40" s="46"/>
    </row>
    <row r="41" spans="1:23" ht="13.5" thickBot="1" x14ac:dyDescent="0.25">
      <c r="A41" s="900" t="s">
        <v>146</v>
      </c>
      <c r="B41" s="901"/>
      <c r="C41" s="898">
        <f>ATID!C50+HM!C45+'Food Nutrition Diet Health'!C59+FSHS!C81+Kinesiology!C45</f>
        <v>48.080000000000005</v>
      </c>
      <c r="D41" s="901"/>
      <c r="E41" s="898">
        <f>ATID!E50+HM!E45+'Food Nutrition Diet Health'!E59+FSHS!E81+Kinesiology!E45</f>
        <v>52.41</v>
      </c>
      <c r="F41" s="901"/>
      <c r="G41" s="898">
        <f>ATID!G50+HM!G45+'Food Nutrition Diet Health'!G59+FSHS!G81+Kinesiology!G45</f>
        <v>50.470000000000006</v>
      </c>
      <c r="H41" s="901"/>
      <c r="I41" s="898">
        <f>ATID!I50+HM!I45+'Food Nutrition Diet Health'!I59+FSHS!I81+Kinesiology!I45</f>
        <v>49.93</v>
      </c>
      <c r="J41" s="901"/>
      <c r="K41" s="898">
        <f>ATID!K50+HM!K45+'Food Nutrition Diet Health'!K59+FSHS!K81+Kinesiology!K45</f>
        <v>48.1</v>
      </c>
      <c r="L41" s="901"/>
      <c r="M41" s="898">
        <f>ATID!M50+HM!M45+'Food Nutrition Diet Health'!M59+FSHS!M81+Kinesiology!M45</f>
        <v>49.559999999999995</v>
      </c>
      <c r="N41" s="901"/>
      <c r="O41" s="898">
        <f>ATID!O50+HM!O45+'Food Nutrition Diet Health'!O59+FSHS!O81+Kinesiology!O45</f>
        <v>50.559999999999995</v>
      </c>
      <c r="P41" s="901"/>
      <c r="Q41" s="898">
        <f>ATID!Q50+HM!Q45+'Food Nutrition Diet Health'!Q59+FSHS!Q81+Kinesiology!Q45</f>
        <v>54</v>
      </c>
      <c r="R41" s="901"/>
      <c r="S41" s="898">
        <f>ATID!S50+HM!S45+'Food Nutrition Diet Health'!S59+FSHS!S81+Kinesiology!S45</f>
        <v>54.320000000000007</v>
      </c>
      <c r="T41" s="901"/>
      <c r="U41" s="862">
        <f>ATID!U50+HM!U45+'Food Nutrition Diet Health'!U59+FSHS!U81+Kinesiology!U45</f>
        <v>0</v>
      </c>
      <c r="V41" s="46"/>
      <c r="W41" s="46"/>
    </row>
    <row r="42" spans="1:23" ht="13.5" thickBot="1" x14ac:dyDescent="0.25">
      <c r="A42" s="902" t="s">
        <v>160</v>
      </c>
      <c r="B42" s="646" t="s">
        <v>33</v>
      </c>
      <c r="C42" s="647" t="s">
        <v>34</v>
      </c>
      <c r="D42" s="646" t="s">
        <v>33</v>
      </c>
      <c r="E42" s="647" t="s">
        <v>34</v>
      </c>
      <c r="F42" s="646" t="s">
        <v>33</v>
      </c>
      <c r="G42" s="647" t="s">
        <v>34</v>
      </c>
      <c r="H42" s="646" t="s">
        <v>33</v>
      </c>
      <c r="I42" s="647" t="s">
        <v>34</v>
      </c>
      <c r="J42" s="646" t="s">
        <v>33</v>
      </c>
      <c r="K42" s="647" t="s">
        <v>34</v>
      </c>
      <c r="L42" s="646" t="s">
        <v>33</v>
      </c>
      <c r="M42" s="647" t="s">
        <v>34</v>
      </c>
      <c r="N42" s="646" t="s">
        <v>33</v>
      </c>
      <c r="O42" s="647" t="s">
        <v>34</v>
      </c>
      <c r="P42" s="646" t="s">
        <v>33</v>
      </c>
      <c r="Q42" s="647" t="s">
        <v>34</v>
      </c>
      <c r="R42" s="646" t="s">
        <v>33</v>
      </c>
      <c r="S42" s="647" t="s">
        <v>34</v>
      </c>
      <c r="T42" s="646" t="s">
        <v>33</v>
      </c>
      <c r="U42" s="656" t="s">
        <v>34</v>
      </c>
      <c r="V42" s="46"/>
      <c r="W42" s="46"/>
    </row>
    <row r="43" spans="1:23" x14ac:dyDescent="0.2">
      <c r="A43" s="903" t="s">
        <v>35</v>
      </c>
      <c r="B43" s="904"/>
      <c r="C43" s="905"/>
      <c r="D43" s="904"/>
      <c r="E43" s="905"/>
      <c r="F43" s="904"/>
      <c r="G43" s="905"/>
      <c r="H43" s="904"/>
      <c r="I43" s="905"/>
      <c r="J43" s="904"/>
      <c r="K43" s="905"/>
      <c r="L43" s="904"/>
      <c r="M43" s="905"/>
      <c r="N43" s="904"/>
      <c r="O43" s="905"/>
      <c r="P43" s="904"/>
      <c r="Q43" s="905"/>
      <c r="R43" s="904"/>
      <c r="S43" s="905"/>
      <c r="T43" s="904"/>
      <c r="U43" s="906"/>
      <c r="V43" s="46"/>
      <c r="W43" s="46"/>
    </row>
    <row r="44" spans="1:23" x14ac:dyDescent="0.2">
      <c r="A44" s="907" t="s">
        <v>36</v>
      </c>
      <c r="B44" s="1006"/>
      <c r="C44" s="874">
        <f>'Dean''s Office'!C49+ATID!C53+HM!C48+'Food Nutrition Diet Health'!C62+FSHS!C84+Kinesiology!C48</f>
        <v>67</v>
      </c>
      <c r="D44" s="1006"/>
      <c r="E44" s="874">
        <f>'Dean''s Office'!E49+ATID!E53+HM!E48+'Food Nutrition Diet Health'!E62+FSHS!E84+Kinesiology!E48</f>
        <v>74</v>
      </c>
      <c r="F44" s="1006"/>
      <c r="G44" s="874">
        <f>'Dean''s Office'!G49+ATID!G53+HM!G48+'Food Nutrition Diet Health'!G62+FSHS!G84+Kinesiology!G48</f>
        <v>77</v>
      </c>
      <c r="H44" s="1006"/>
      <c r="I44" s="874">
        <f>'Dean''s Office'!I49+ATID!I53+HM!I48+'Food Nutrition Diet Health'!I62+FSHS!I84+Kinesiology!I48</f>
        <v>75</v>
      </c>
      <c r="J44" s="908">
        <f>'Dean''s Office'!J49+ATID!J53+HM!J48+'Food Nutrition Diet Health'!J62+FSHS!J84+Kinesiology!J48</f>
        <v>76</v>
      </c>
      <c r="K44" s="874">
        <f>'Dean''s Office'!K49+ATID!K53+HM!K48+'Food Nutrition Diet Health'!K62+FSHS!K84+Kinesiology!K48</f>
        <v>76</v>
      </c>
      <c r="L44" s="908">
        <f>'Dean''s Office'!L49+ATID!L53+HM!L48+'Food Nutrition Diet Health'!L62+FSHS!L84+Kinesiology!L48</f>
        <v>81</v>
      </c>
      <c r="M44" s="874">
        <f>'Dean''s Office'!M49+ATID!M53+HM!M48+'Food Nutrition Diet Health'!M62+FSHS!M84+Kinesiology!M48</f>
        <v>81</v>
      </c>
      <c r="N44" s="908">
        <f>'Dean''s Office'!N49+ATID!N53+HM!N48+'Food Nutrition Diet Health'!N62+FSHS!N84+Kinesiology!N48</f>
        <v>79</v>
      </c>
      <c r="O44" s="874">
        <f>'Dean''s Office'!O49+ATID!O53+HM!O48+'Food Nutrition Diet Health'!O62+FSHS!O84+Kinesiology!O48</f>
        <v>79</v>
      </c>
      <c r="P44" s="908">
        <f>'Dean''s Office'!P49+ATID!P53+HM!P48+'Food Nutrition Diet Health'!P62+FSHS!P84+Kinesiology!P48</f>
        <v>80</v>
      </c>
      <c r="Q44" s="874">
        <f>'Dean''s Office'!Q49+ATID!Q53+HM!Q48+'Food Nutrition Diet Health'!Q62+FSHS!Q84+Kinesiology!Q48</f>
        <v>80</v>
      </c>
      <c r="R44" s="908">
        <f>'Dean''s Office'!R49+ATID!R53+HM!R48+'Food Nutrition Diet Health'!R62+FSHS!R84+Kinesiology!R48</f>
        <v>85</v>
      </c>
      <c r="S44" s="874">
        <f>'Dean''s Office'!S49+ATID!S53+HM!S48+'Food Nutrition Diet Health'!S62+FSHS!S84+Kinesiology!S48</f>
        <v>85</v>
      </c>
      <c r="T44" s="908">
        <f>'Dean''s Office'!T49+ATID!T53+HM!T48+'Food Nutrition Diet Health'!T62+FSHS!T84+Kinesiology!T48</f>
        <v>0</v>
      </c>
      <c r="U44" s="862">
        <f>'Dean''s Office'!U49+ATID!U53+HM!U48+'Food Nutrition Diet Health'!U62+FSHS!U84+Kinesiology!U48</f>
        <v>0</v>
      </c>
      <c r="V44" s="46"/>
      <c r="W44" s="46"/>
    </row>
    <row r="45" spans="1:23" x14ac:dyDescent="0.2">
      <c r="A45" s="907" t="s">
        <v>37</v>
      </c>
      <c r="B45" s="1006"/>
      <c r="C45" s="874">
        <f>'Dean''s Office'!C50+ATID!C54+HM!C49+'Food Nutrition Diet Health'!C63+FSHS!C85+Kinesiology!C49</f>
        <v>12</v>
      </c>
      <c r="D45" s="1006"/>
      <c r="E45" s="874">
        <f>'Dean''s Office'!E50+ATID!E54+HM!E49+'Food Nutrition Diet Health'!E63+FSHS!E85+Kinesiology!E49</f>
        <v>6</v>
      </c>
      <c r="F45" s="1006"/>
      <c r="G45" s="874">
        <f>'Dean''s Office'!G50+ATID!G54+HM!G49+'Food Nutrition Diet Health'!G63+FSHS!G85+Kinesiology!G49</f>
        <v>10</v>
      </c>
      <c r="H45" s="1006"/>
      <c r="I45" s="874">
        <f>'Dean''s Office'!I50+ATID!I54+HM!I49+'Food Nutrition Diet Health'!I63+FSHS!I85+Kinesiology!I49</f>
        <v>12</v>
      </c>
      <c r="J45" s="908">
        <f>'Dean''s Office'!J50+ATID!J54+HM!J49+'Food Nutrition Diet Health'!J63+FSHS!J85+Kinesiology!J49</f>
        <v>7.7200000000000006</v>
      </c>
      <c r="K45" s="874">
        <f>'Dean''s Office'!K50+ATID!K54+HM!K49+'Food Nutrition Diet Health'!K63+FSHS!K85+Kinesiology!K49</f>
        <v>17</v>
      </c>
      <c r="L45" s="908">
        <f>'Dean''s Office'!L50+ATID!L54+HM!L49+'Food Nutrition Diet Health'!L63+FSHS!L85+Kinesiology!L49</f>
        <v>8.3000000000000007</v>
      </c>
      <c r="M45" s="874">
        <f>'Dean''s Office'!M50+ATID!M54+HM!M49+'Food Nutrition Diet Health'!M63+FSHS!M85+Kinesiology!M49</f>
        <v>18</v>
      </c>
      <c r="N45" s="908">
        <f>'Dean''s Office'!N50+ATID!N54+HM!N49+'Food Nutrition Diet Health'!N63+FSHS!N85+Kinesiology!N49</f>
        <v>8.1499999999999986</v>
      </c>
      <c r="O45" s="874">
        <f>'Dean''s Office'!O50+ATID!O54+HM!O49+'Food Nutrition Diet Health'!O63+FSHS!O85+Kinesiology!O49</f>
        <v>22</v>
      </c>
      <c r="P45" s="908">
        <f>'Dean''s Office'!P50+ATID!P54+HM!P49+'Food Nutrition Diet Health'!P63+FSHS!P85+Kinesiology!P49</f>
        <v>9.1</v>
      </c>
      <c r="Q45" s="874">
        <f>'Dean''s Office'!Q50+ATID!Q54+HM!Q49+'Food Nutrition Diet Health'!Q63+FSHS!Q85+Kinesiology!Q49</f>
        <v>22</v>
      </c>
      <c r="R45" s="908">
        <f>'Dean''s Office'!R50+ATID!R54+HM!R49+'Food Nutrition Diet Health'!R63+FSHS!R85+Kinesiology!R49</f>
        <v>7.8999999999999995</v>
      </c>
      <c r="S45" s="874">
        <f>'Dean''s Office'!S50+ATID!S54+HM!S49+'Food Nutrition Diet Health'!S63+FSHS!S85+Kinesiology!S49</f>
        <v>21</v>
      </c>
      <c r="T45" s="908">
        <f>'Dean''s Office'!T50+ATID!T54+HM!T49+'Food Nutrition Diet Health'!T63+FSHS!T85+Kinesiology!T49</f>
        <v>0</v>
      </c>
      <c r="U45" s="862">
        <f>'Dean''s Office'!U50+ATID!U54+HM!U49+'Food Nutrition Diet Health'!U63+FSHS!U85+Kinesiology!U49</f>
        <v>0</v>
      </c>
      <c r="V45" s="46"/>
      <c r="W45" s="46"/>
    </row>
    <row r="46" spans="1:23" x14ac:dyDescent="0.2">
      <c r="A46" s="909" t="s">
        <v>38</v>
      </c>
      <c r="B46" s="1006"/>
      <c r="C46" s="874">
        <f>'Dean''s Office'!C51+ATID!C55+HM!C50+'Food Nutrition Diet Health'!C64+FSHS!C86+Kinesiology!C50</f>
        <v>0</v>
      </c>
      <c r="D46" s="1006"/>
      <c r="E46" s="874">
        <f>'Dean''s Office'!E51+ATID!E55+HM!E50+'Food Nutrition Diet Health'!E64+FSHS!E86+Kinesiology!E50</f>
        <v>0</v>
      </c>
      <c r="F46" s="1006"/>
      <c r="G46" s="874">
        <f>'Dean''s Office'!G51+ATID!G55+HM!G50+'Food Nutrition Diet Health'!G64+FSHS!G86+Kinesiology!G50</f>
        <v>0</v>
      </c>
      <c r="H46" s="1006"/>
      <c r="I46" s="874">
        <f>'Dean''s Office'!I51+ATID!I55+HM!I50+'Food Nutrition Diet Health'!I64+FSHS!I86+Kinesiology!I50</f>
        <v>0</v>
      </c>
      <c r="J46" s="908">
        <f>'Dean''s Office'!J51+ATID!J55+HM!J50+'Food Nutrition Diet Health'!J64+FSHS!J86+Kinesiology!J50</f>
        <v>0</v>
      </c>
      <c r="K46" s="874">
        <f>'Dean''s Office'!K51+ATID!K55+HM!K50+'Food Nutrition Diet Health'!K64+FSHS!K86+Kinesiology!K50</f>
        <v>0</v>
      </c>
      <c r="L46" s="908">
        <f>'Dean''s Office'!L51+ATID!L55+HM!L50+'Food Nutrition Diet Health'!L64+FSHS!L86+Kinesiology!L50</f>
        <v>0</v>
      </c>
      <c r="M46" s="874">
        <f>'Dean''s Office'!M51+ATID!M55+HM!M50+'Food Nutrition Diet Health'!M64+FSHS!M86+Kinesiology!M50</f>
        <v>0</v>
      </c>
      <c r="N46" s="908">
        <f>'Dean''s Office'!N51+ATID!N55+HM!N50+'Food Nutrition Diet Health'!N64+FSHS!N86+Kinesiology!N50</f>
        <v>0</v>
      </c>
      <c r="O46" s="874">
        <f>'Dean''s Office'!O51+ATID!O55+HM!O50+'Food Nutrition Diet Health'!O64+FSHS!O86+Kinesiology!O50</f>
        <v>0</v>
      </c>
      <c r="P46" s="908">
        <f>'Dean''s Office'!P51+ATID!P55+HM!P50+'Food Nutrition Diet Health'!P64+FSHS!P86+Kinesiology!P50</f>
        <v>0</v>
      </c>
      <c r="Q46" s="874">
        <f>'Dean''s Office'!Q51+ATID!Q55+HM!Q50+'Food Nutrition Diet Health'!Q64+FSHS!Q86+Kinesiology!Q50</f>
        <v>0</v>
      </c>
      <c r="R46" s="908">
        <f>'Dean''s Office'!R51+ATID!R55+HM!R50+'Food Nutrition Diet Health'!R64+FSHS!R86+Kinesiology!R50</f>
        <v>0</v>
      </c>
      <c r="S46" s="874">
        <f>'Dean''s Office'!S51+ATID!S55+HM!S50+'Food Nutrition Diet Health'!S64+FSHS!S86+Kinesiology!S50</f>
        <v>0</v>
      </c>
      <c r="T46" s="908">
        <f>'Dean''s Office'!T51+ATID!T55+HM!T50+'Food Nutrition Diet Health'!T64+FSHS!T86+Kinesiology!T50</f>
        <v>0</v>
      </c>
      <c r="U46" s="862">
        <f>'Dean''s Office'!U51+ATID!U55+HM!U50+'Food Nutrition Diet Health'!U64+FSHS!U86+Kinesiology!U50</f>
        <v>0</v>
      </c>
      <c r="V46" s="46"/>
      <c r="W46" s="46"/>
    </row>
    <row r="47" spans="1:23" x14ac:dyDescent="0.2">
      <c r="A47" s="907" t="s">
        <v>36</v>
      </c>
      <c r="B47" s="1006"/>
      <c r="C47" s="874">
        <f>'Dean''s Office'!C52+ATID!C56+HM!C51+'Food Nutrition Diet Health'!C65+FSHS!C87+Kinesiology!C51</f>
        <v>19</v>
      </c>
      <c r="D47" s="1006"/>
      <c r="E47" s="874">
        <f>'Dean''s Office'!E52+ATID!E56+HM!E51+'Food Nutrition Diet Health'!E65+FSHS!E87+Kinesiology!E51</f>
        <v>16</v>
      </c>
      <c r="F47" s="1006"/>
      <c r="G47" s="874">
        <f>'Dean''s Office'!G52+ATID!G56+HM!G51+'Food Nutrition Diet Health'!G65+FSHS!G87+Kinesiology!G51</f>
        <v>14</v>
      </c>
      <c r="H47" s="1006"/>
      <c r="I47" s="874">
        <f>'Dean''s Office'!I52+ATID!I56+HM!I51+'Food Nutrition Diet Health'!I65+FSHS!I87+Kinesiology!I51</f>
        <v>15</v>
      </c>
      <c r="J47" s="908">
        <f>'Dean''s Office'!J52+ATID!J56+HM!J51+'Food Nutrition Diet Health'!J65+FSHS!J87+Kinesiology!J51</f>
        <v>15</v>
      </c>
      <c r="K47" s="874">
        <f>'Dean''s Office'!K52+ATID!K56+HM!K51+'Food Nutrition Diet Health'!K65+FSHS!K87+Kinesiology!K51</f>
        <v>15</v>
      </c>
      <c r="L47" s="908">
        <f>'Dean''s Office'!L52+ATID!L56+HM!L51+'Food Nutrition Diet Health'!L65+FSHS!L87+Kinesiology!L51</f>
        <v>16</v>
      </c>
      <c r="M47" s="874">
        <f>'Dean''s Office'!M52+ATID!M56+HM!M51+'Food Nutrition Diet Health'!M65+FSHS!M87+Kinesiology!M51</f>
        <v>16</v>
      </c>
      <c r="N47" s="908">
        <f>'Dean''s Office'!N52+ATID!N56+HM!N51+'Food Nutrition Diet Health'!N65+FSHS!N87+Kinesiology!N51</f>
        <v>19</v>
      </c>
      <c r="O47" s="874">
        <f>'Dean''s Office'!O52+ATID!O56+HM!O51+'Food Nutrition Diet Health'!O65+FSHS!O87+Kinesiology!O51</f>
        <v>19</v>
      </c>
      <c r="P47" s="908">
        <f>'Dean''s Office'!P52+ATID!P56+HM!P51+'Food Nutrition Diet Health'!P65+FSHS!P87+Kinesiology!P51</f>
        <v>17</v>
      </c>
      <c r="Q47" s="874">
        <f>'Dean''s Office'!Q52+ATID!Q56+HM!Q51+'Food Nutrition Diet Health'!Q65+FSHS!Q87+Kinesiology!Q51</f>
        <v>17</v>
      </c>
      <c r="R47" s="908">
        <f>'Dean''s Office'!R52+ATID!R56+HM!R51+'Food Nutrition Diet Health'!R65+FSHS!R87+Kinesiology!R51</f>
        <v>21</v>
      </c>
      <c r="S47" s="874">
        <f>'Dean''s Office'!S52+ATID!S56+HM!S51+'Food Nutrition Diet Health'!S65+FSHS!S87+Kinesiology!S51</f>
        <v>21</v>
      </c>
      <c r="T47" s="908">
        <f>'Dean''s Office'!T52+ATID!T56+HM!T51+'Food Nutrition Diet Health'!T65+FSHS!T87+Kinesiology!T51</f>
        <v>0</v>
      </c>
      <c r="U47" s="862">
        <f>'Dean''s Office'!U52+ATID!U56+HM!U51+'Food Nutrition Diet Health'!U65+FSHS!U87+Kinesiology!U51</f>
        <v>0</v>
      </c>
      <c r="V47" s="46"/>
      <c r="W47" s="46"/>
    </row>
    <row r="48" spans="1:23" ht="13.5" thickBot="1" x14ac:dyDescent="0.25">
      <c r="A48" s="910" t="s">
        <v>37</v>
      </c>
      <c r="B48" s="1007"/>
      <c r="C48" s="874">
        <f>'Dean''s Office'!C53+ATID!C57+HM!C52+'Food Nutrition Diet Health'!C66+FSHS!C88+Kinesiology!C52</f>
        <v>3</v>
      </c>
      <c r="D48" s="1007"/>
      <c r="E48" s="874">
        <f>'Dean''s Office'!E53+ATID!E57+HM!E52+'Food Nutrition Diet Health'!E66+FSHS!E88+Kinesiology!E52</f>
        <v>3</v>
      </c>
      <c r="F48" s="1007"/>
      <c r="G48" s="874">
        <f>'Dean''s Office'!G53+ATID!G57+HM!G52+'Food Nutrition Diet Health'!G66+FSHS!G88+Kinesiology!G52</f>
        <v>2</v>
      </c>
      <c r="H48" s="1007"/>
      <c r="I48" s="874">
        <f>'Dean''s Office'!I53+ATID!I57+HM!I52+'Food Nutrition Diet Health'!I66+FSHS!I88+Kinesiology!I52</f>
        <v>4</v>
      </c>
      <c r="J48" s="932">
        <f>'Dean''s Office'!J53+ATID!J57+HM!J52+'Food Nutrition Diet Health'!J66+FSHS!J88+Kinesiology!J52</f>
        <v>2.4</v>
      </c>
      <c r="K48" s="874">
        <f>'Dean''s Office'!K53+ATID!K57+HM!K52+'Food Nutrition Diet Health'!K66+FSHS!K88+Kinesiology!K52</f>
        <v>6</v>
      </c>
      <c r="L48" s="932">
        <f>'Dean''s Office'!L53+ATID!L57+HM!L52+'Food Nutrition Diet Health'!L66+FSHS!L88+Kinesiology!L52</f>
        <v>1.5</v>
      </c>
      <c r="M48" s="874">
        <f>'Dean''s Office'!M53+ATID!M57+HM!M52+'Food Nutrition Diet Health'!M66+FSHS!M88+Kinesiology!M52</f>
        <v>5</v>
      </c>
      <c r="N48" s="932">
        <f>'Dean''s Office'!N53+ATID!N57+HM!N52+'Food Nutrition Diet Health'!N66+FSHS!N88+Kinesiology!N52</f>
        <v>3</v>
      </c>
      <c r="O48" s="874">
        <f>'Dean''s Office'!O53+ATID!O57+HM!O52+'Food Nutrition Diet Health'!O66+FSHS!O88+Kinesiology!O52</f>
        <v>3</v>
      </c>
      <c r="P48" s="932">
        <f>'Dean''s Office'!P53+ATID!P57+HM!P52+'Food Nutrition Diet Health'!P66+FSHS!P88+Kinesiology!P52</f>
        <v>1</v>
      </c>
      <c r="Q48" s="874">
        <f>'Dean''s Office'!Q53+ATID!Q57+HM!Q52+'Food Nutrition Diet Health'!Q66+FSHS!Q88+Kinesiology!Q52</f>
        <v>3</v>
      </c>
      <c r="R48" s="932">
        <f>'Dean''s Office'!R53+ATID!R57+HM!R52+'Food Nutrition Diet Health'!R66+FSHS!R88+Kinesiology!R52</f>
        <v>0.6</v>
      </c>
      <c r="S48" s="874">
        <f>'Dean''s Office'!S53+ATID!S57+HM!S52+'Food Nutrition Diet Health'!S66+FSHS!S88+Kinesiology!S52</f>
        <v>2</v>
      </c>
      <c r="T48" s="932">
        <f>'Dean''s Office'!T53+ATID!T57+HM!T52+'Food Nutrition Diet Health'!T66+FSHS!T88+Kinesiology!T52</f>
        <v>0</v>
      </c>
      <c r="U48" s="862">
        <f>'Dean''s Office'!U53+ATID!U57+HM!U52+'Food Nutrition Diet Health'!U66+FSHS!U88+Kinesiology!U52</f>
        <v>0</v>
      </c>
      <c r="V48" s="46"/>
      <c r="W48" s="46"/>
    </row>
    <row r="49" spans="1:23" ht="13.5" thickBot="1" x14ac:dyDescent="0.25">
      <c r="A49" s="912" t="s">
        <v>21</v>
      </c>
      <c r="B49" s="913"/>
      <c r="C49" s="914">
        <f t="shared" ref="C49" si="0">SUM(C43:C48)</f>
        <v>101</v>
      </c>
      <c r="D49" s="913"/>
      <c r="E49" s="914">
        <f t="shared" ref="E49:S49" si="1">SUM(E43:E48)</f>
        <v>99</v>
      </c>
      <c r="F49" s="913"/>
      <c r="G49" s="914">
        <f t="shared" si="1"/>
        <v>103</v>
      </c>
      <c r="H49" s="923"/>
      <c r="I49" s="914">
        <f t="shared" si="1"/>
        <v>106</v>
      </c>
      <c r="J49" s="923">
        <f t="shared" si="1"/>
        <v>101.12</v>
      </c>
      <c r="K49" s="914">
        <f t="shared" si="1"/>
        <v>114</v>
      </c>
      <c r="L49" s="923">
        <f t="shared" si="1"/>
        <v>106.8</v>
      </c>
      <c r="M49" s="914">
        <f t="shared" si="1"/>
        <v>120</v>
      </c>
      <c r="N49" s="923">
        <f t="shared" si="1"/>
        <v>109.15</v>
      </c>
      <c r="O49" s="914">
        <f t="shared" si="1"/>
        <v>123</v>
      </c>
      <c r="P49" s="923">
        <f t="shared" si="1"/>
        <v>107.1</v>
      </c>
      <c r="Q49" s="914">
        <f t="shared" si="1"/>
        <v>122</v>
      </c>
      <c r="R49" s="923">
        <f t="shared" si="1"/>
        <v>114.5</v>
      </c>
      <c r="S49" s="914">
        <f t="shared" si="1"/>
        <v>129</v>
      </c>
      <c r="T49" s="923">
        <f t="shared" ref="T49:U49" si="2">SUM(T43:T48)</f>
        <v>0</v>
      </c>
      <c r="U49" s="933">
        <f t="shared" si="2"/>
        <v>0</v>
      </c>
      <c r="V49" s="46"/>
      <c r="W49" s="46"/>
    </row>
    <row r="50" spans="1:23" ht="13.5" thickBot="1" x14ac:dyDescent="0.25">
      <c r="A50" s="575" t="s">
        <v>192</v>
      </c>
      <c r="B50" s="646" t="s">
        <v>32</v>
      </c>
      <c r="C50" s="647" t="s">
        <v>39</v>
      </c>
      <c r="D50" s="646" t="s">
        <v>32</v>
      </c>
      <c r="E50" s="647" t="s">
        <v>39</v>
      </c>
      <c r="F50" s="646" t="s">
        <v>32</v>
      </c>
      <c r="G50" s="647" t="s">
        <v>39</v>
      </c>
      <c r="H50" s="646" t="s">
        <v>32</v>
      </c>
      <c r="I50" s="647" t="s">
        <v>39</v>
      </c>
      <c r="J50" s="646" t="s">
        <v>32</v>
      </c>
      <c r="K50" s="647" t="s">
        <v>39</v>
      </c>
      <c r="L50" s="646" t="s">
        <v>32</v>
      </c>
      <c r="M50" s="647" t="s">
        <v>39</v>
      </c>
      <c r="N50" s="646" t="s">
        <v>32</v>
      </c>
      <c r="O50" s="647" t="s">
        <v>39</v>
      </c>
      <c r="P50" s="646" t="s">
        <v>32</v>
      </c>
      <c r="Q50" s="647" t="s">
        <v>39</v>
      </c>
      <c r="R50" s="646" t="s">
        <v>32</v>
      </c>
      <c r="S50" s="647" t="s">
        <v>39</v>
      </c>
      <c r="T50" s="646" t="s">
        <v>32</v>
      </c>
      <c r="U50" s="656" t="s">
        <v>39</v>
      </c>
      <c r="V50" s="46"/>
      <c r="W50" s="46"/>
    </row>
    <row r="51" spans="1:23" x14ac:dyDescent="0.2">
      <c r="A51" s="915" t="s">
        <v>162</v>
      </c>
      <c r="B51" s="904"/>
      <c r="C51" s="905"/>
      <c r="D51" s="904"/>
      <c r="E51" s="905"/>
      <c r="F51" s="904"/>
      <c r="G51" s="905"/>
      <c r="H51" s="904"/>
      <c r="I51" s="905"/>
      <c r="J51" s="904"/>
      <c r="K51" s="905"/>
      <c r="L51" s="904"/>
      <c r="M51" s="905"/>
      <c r="N51" s="904"/>
      <c r="O51" s="905"/>
      <c r="P51" s="904"/>
      <c r="Q51" s="905"/>
      <c r="R51" s="904"/>
      <c r="S51" s="905"/>
      <c r="T51" s="904"/>
      <c r="U51" s="906"/>
      <c r="V51" s="46"/>
      <c r="W51" s="46"/>
    </row>
    <row r="52" spans="1:23" x14ac:dyDescent="0.2">
      <c r="A52" s="192" t="s">
        <v>40</v>
      </c>
      <c r="B52" s="908">
        <f>'Dean''s Office'!B57+ATID!B61+HM!B56+'Food Nutrition Diet Health'!B70+FSHS!B92+Kinesiology!B56</f>
        <v>87</v>
      </c>
      <c r="C52" s="916">
        <f>B52/$E$49</f>
        <v>0.87878787878787878</v>
      </c>
      <c r="D52" s="908">
        <f>'Dean''s Office'!D57+ATID!D61+HM!D56+'Food Nutrition Diet Health'!D70+FSHS!D92+Kinesiology!D56</f>
        <v>86</v>
      </c>
      <c r="E52" s="916">
        <f>D52/$E$49</f>
        <v>0.86868686868686873</v>
      </c>
      <c r="F52" s="908">
        <f>'Dean''s Office'!F57+ATID!F61+HM!F56+'Food Nutrition Diet Health'!F70+FSHS!F92+Kinesiology!F56</f>
        <v>90</v>
      </c>
      <c r="G52" s="916">
        <f>F52/$G$49</f>
        <v>0.87378640776699024</v>
      </c>
      <c r="H52" s="908">
        <f>'Dean''s Office'!H57+ATID!H61+HM!H56+'Food Nutrition Diet Health'!H70+FSHS!H92+Kinesiology!H56</f>
        <v>92</v>
      </c>
      <c r="I52" s="916">
        <f>H52/$I$49</f>
        <v>0.86792452830188682</v>
      </c>
      <c r="J52" s="908">
        <f>'Dean''s Office'!J57+ATID!J61+HM!J56+'Food Nutrition Diet Health'!J70+FSHS!J92+Kinesiology!J56</f>
        <v>96</v>
      </c>
      <c r="K52" s="916">
        <f>J52/$K$49</f>
        <v>0.84210526315789469</v>
      </c>
      <c r="L52" s="908">
        <f>'Dean''s Office'!L57+ATID!L61+HM!L56+'Food Nutrition Diet Health'!L70+FSHS!L92+Kinesiology!L56</f>
        <v>102</v>
      </c>
      <c r="M52" s="916">
        <f>L52/$M$49</f>
        <v>0.85</v>
      </c>
      <c r="N52" s="908">
        <f>'Dean''s Office'!N57+ATID!N61+HM!N56+'Food Nutrition Diet Health'!N70+FSHS!N92+Kinesiology!N56</f>
        <v>105</v>
      </c>
      <c r="O52" s="916">
        <f>N52/$O$49</f>
        <v>0.85365853658536583</v>
      </c>
      <c r="P52" s="908">
        <f>'Dean''s Office'!P57+ATID!P61+HM!P56+'Food Nutrition Diet Health'!P70+FSHS!P92+Kinesiology!P56</f>
        <v>109</v>
      </c>
      <c r="Q52" s="916">
        <f>P52/$Q$49</f>
        <v>0.89344262295081966</v>
      </c>
      <c r="R52" s="908">
        <f>'Dean''s Office'!R57+ATID!R61+HM!R56+'Food Nutrition Diet Health'!R70+FSHS!R92+Kinesiology!R56</f>
        <v>113</v>
      </c>
      <c r="S52" s="916">
        <f>R52/$S$49</f>
        <v>0.87596899224806202</v>
      </c>
      <c r="T52" s="908">
        <f>'Dean''s Office'!T57+ATID!T61+HM!T56+'Food Nutrition Diet Health'!T70+FSHS!T92+Kinesiology!T56</f>
        <v>0</v>
      </c>
      <c r="U52" s="917">
        <f>T52/$S$49</f>
        <v>0</v>
      </c>
      <c r="V52" s="46"/>
      <c r="W52" s="46"/>
    </row>
    <row r="53" spans="1:23" x14ac:dyDescent="0.2">
      <c r="A53" s="200" t="s">
        <v>41</v>
      </c>
      <c r="B53" s="908">
        <f>'Dean''s Office'!B58+ATID!B62+HM!B57+'Food Nutrition Diet Health'!B71+FSHS!B93+Kinesiology!B57</f>
        <v>2</v>
      </c>
      <c r="C53" s="916">
        <f t="shared" ref="C53:C59" si="3">B53/$E$49</f>
        <v>2.0202020202020204E-2</v>
      </c>
      <c r="D53" s="908">
        <f>'Dean''s Office'!D58+ATID!D62+HM!D57+'Food Nutrition Diet Health'!D71+FSHS!D93+Kinesiology!D57</f>
        <v>2</v>
      </c>
      <c r="E53" s="916">
        <f t="shared" ref="E53:E68" si="4">D53/$E$49</f>
        <v>2.0202020202020204E-2</v>
      </c>
      <c r="F53" s="908">
        <f>'Dean''s Office'!F58+ATID!F62+HM!F57+'Food Nutrition Diet Health'!F71+FSHS!F93+Kinesiology!F57</f>
        <v>2</v>
      </c>
      <c r="G53" s="916">
        <f t="shared" ref="G53:G71" si="5">F53/$G$49</f>
        <v>1.9417475728155338E-2</v>
      </c>
      <c r="H53" s="908">
        <f>'Dean''s Office'!H58+ATID!H62+HM!H57+'Food Nutrition Diet Health'!H71+FSHS!H93+Kinesiology!H57</f>
        <v>2</v>
      </c>
      <c r="I53" s="916">
        <f t="shared" ref="I53:I71" si="6">H53/$I$49</f>
        <v>1.8867924528301886E-2</v>
      </c>
      <c r="J53" s="908">
        <f>'Dean''s Office'!J58+ATID!J62+HM!J57+'Food Nutrition Diet Health'!J71+FSHS!J93+Kinesiology!J57</f>
        <v>2</v>
      </c>
      <c r="K53" s="916">
        <f t="shared" ref="K53:K71" si="7">J53/$K$49</f>
        <v>1.7543859649122806E-2</v>
      </c>
      <c r="L53" s="908">
        <f>'Dean''s Office'!L58+ATID!L62+HM!L57+'Food Nutrition Diet Health'!L71+FSHS!L93+Kinesiology!L57</f>
        <v>2</v>
      </c>
      <c r="M53" s="916">
        <f t="shared" ref="M53:M71" si="8">L53/$M$49</f>
        <v>1.6666666666666666E-2</v>
      </c>
      <c r="N53" s="908">
        <f>'Dean''s Office'!N58+ATID!N62+HM!N57+'Food Nutrition Diet Health'!N71+FSHS!N93+Kinesiology!N57</f>
        <v>2</v>
      </c>
      <c r="O53" s="916">
        <f t="shared" ref="O53:O71" si="9">N53/$O$49</f>
        <v>1.6260162601626018E-2</v>
      </c>
      <c r="P53" s="908">
        <f>'Dean''s Office'!P58+ATID!P62+HM!P57+'Food Nutrition Diet Health'!P71+FSHS!P93+Kinesiology!P57</f>
        <v>1</v>
      </c>
      <c r="Q53" s="916">
        <f t="shared" ref="Q53:Q71" si="10">P53/$Q$49</f>
        <v>8.1967213114754103E-3</v>
      </c>
      <c r="R53" s="908">
        <f>'Dean''s Office'!R58+ATID!R62+HM!R57+'Food Nutrition Diet Health'!R71+FSHS!R93+Kinesiology!R57</f>
        <v>1</v>
      </c>
      <c r="S53" s="916">
        <f t="shared" ref="S53:S71" si="11">R53/$S$49</f>
        <v>7.7519379844961239E-3</v>
      </c>
      <c r="T53" s="908">
        <f>'Dean''s Office'!T58+ATID!T62+HM!T57+'Food Nutrition Diet Health'!T71+FSHS!T93+Kinesiology!T57</f>
        <v>0</v>
      </c>
      <c r="U53" s="917">
        <f t="shared" ref="U53:U59" si="12">T53/$S$49</f>
        <v>0</v>
      </c>
      <c r="V53" s="46"/>
      <c r="W53" s="46"/>
    </row>
    <row r="54" spans="1:23" x14ac:dyDescent="0.2">
      <c r="A54" s="200" t="s">
        <v>42</v>
      </c>
      <c r="B54" s="908">
        <f>'Dean''s Office'!B59+ATID!B63+HM!B58+'Food Nutrition Diet Health'!B72+FSHS!B94+Kinesiology!B58</f>
        <v>4</v>
      </c>
      <c r="C54" s="916">
        <f t="shared" si="3"/>
        <v>4.0404040404040407E-2</v>
      </c>
      <c r="D54" s="908">
        <f>'Dean''s Office'!D59+ATID!D63+HM!D58+'Food Nutrition Diet Health'!D72+FSHS!D94+Kinesiology!D58</f>
        <v>3</v>
      </c>
      <c r="E54" s="916">
        <f t="shared" si="4"/>
        <v>3.0303030303030304E-2</v>
      </c>
      <c r="F54" s="908">
        <f>'Dean''s Office'!F59+ATID!F63+HM!F58+'Food Nutrition Diet Health'!F72+FSHS!F94+Kinesiology!F58</f>
        <v>3</v>
      </c>
      <c r="G54" s="916">
        <f t="shared" si="5"/>
        <v>2.9126213592233011E-2</v>
      </c>
      <c r="H54" s="908">
        <f>'Dean''s Office'!H59+ATID!H63+HM!H58+'Food Nutrition Diet Health'!H72+FSHS!H94+Kinesiology!H58</f>
        <v>4</v>
      </c>
      <c r="I54" s="916">
        <f t="shared" si="6"/>
        <v>3.7735849056603772E-2</v>
      </c>
      <c r="J54" s="908">
        <f>'Dean''s Office'!J59+ATID!J63+HM!J58+'Food Nutrition Diet Health'!J72+FSHS!J94+Kinesiology!J58</f>
        <v>3</v>
      </c>
      <c r="K54" s="916">
        <f t="shared" si="7"/>
        <v>2.6315789473684209E-2</v>
      </c>
      <c r="L54" s="908">
        <f>'Dean''s Office'!L59+ATID!L63+HM!L58+'Food Nutrition Diet Health'!L72+FSHS!L94+Kinesiology!L58</f>
        <v>3</v>
      </c>
      <c r="M54" s="916">
        <f t="shared" si="8"/>
        <v>2.5000000000000001E-2</v>
      </c>
      <c r="N54" s="908">
        <f>'Dean''s Office'!N59+ATID!N63+HM!N58+'Food Nutrition Diet Health'!N72+FSHS!N94+Kinesiology!N58</f>
        <v>3</v>
      </c>
      <c r="O54" s="916">
        <f t="shared" si="9"/>
        <v>2.4390243902439025E-2</v>
      </c>
      <c r="P54" s="908">
        <f>'Dean''s Office'!P59+ATID!P63+HM!P58+'Food Nutrition Diet Health'!P72+FSHS!P94+Kinesiology!P58</f>
        <v>3</v>
      </c>
      <c r="Q54" s="916">
        <f t="shared" si="10"/>
        <v>2.4590163934426229E-2</v>
      </c>
      <c r="R54" s="908">
        <f>'Dean''s Office'!R59+ATID!R63+HM!R58+'Food Nutrition Diet Health'!R72+FSHS!R94+Kinesiology!R58</f>
        <v>5</v>
      </c>
      <c r="S54" s="916">
        <f t="shared" si="11"/>
        <v>3.875968992248062E-2</v>
      </c>
      <c r="T54" s="908">
        <f>'Dean''s Office'!T59+ATID!T63+HM!T58+'Food Nutrition Diet Health'!T72+FSHS!T94+Kinesiology!T58</f>
        <v>0</v>
      </c>
      <c r="U54" s="917">
        <f t="shared" si="12"/>
        <v>0</v>
      </c>
      <c r="V54" s="46"/>
      <c r="W54" s="46"/>
    </row>
    <row r="55" spans="1:23" x14ac:dyDescent="0.2">
      <c r="A55" s="200" t="s">
        <v>43</v>
      </c>
      <c r="B55" s="908">
        <f>'Dean''s Office'!B60+ATID!B64+HM!B59+'Food Nutrition Diet Health'!B73+FSHS!B95+Kinesiology!B59</f>
        <v>0</v>
      </c>
      <c r="C55" s="916">
        <f t="shared" si="3"/>
        <v>0</v>
      </c>
      <c r="D55" s="908">
        <f>'Dean''s Office'!D60+ATID!D64+HM!D59+'Food Nutrition Diet Health'!D73+FSHS!D95+Kinesiology!D59</f>
        <v>0</v>
      </c>
      <c r="E55" s="916">
        <f t="shared" si="4"/>
        <v>0</v>
      </c>
      <c r="F55" s="908">
        <f>'Dean''s Office'!F60+ATID!F64+HM!F59+'Food Nutrition Diet Health'!F73+FSHS!F95+Kinesiology!F59</f>
        <v>0</v>
      </c>
      <c r="G55" s="916">
        <f t="shared" si="5"/>
        <v>0</v>
      </c>
      <c r="H55" s="908">
        <f>'Dean''s Office'!H60+ATID!H64+HM!H59+'Food Nutrition Diet Health'!H73+FSHS!H95+Kinesiology!H59</f>
        <v>0</v>
      </c>
      <c r="I55" s="916">
        <f t="shared" si="6"/>
        <v>0</v>
      </c>
      <c r="J55" s="908">
        <f>'Dean''s Office'!J60+ATID!J64+HM!J59+'Food Nutrition Diet Health'!J73+FSHS!J95+Kinesiology!J59</f>
        <v>0</v>
      </c>
      <c r="K55" s="916">
        <f t="shared" si="7"/>
        <v>0</v>
      </c>
      <c r="L55" s="908">
        <f>'Dean''s Office'!L60+ATID!L64+HM!L59+'Food Nutrition Diet Health'!L73+FSHS!L95+Kinesiology!L59</f>
        <v>0</v>
      </c>
      <c r="M55" s="916">
        <f t="shared" si="8"/>
        <v>0</v>
      </c>
      <c r="N55" s="908">
        <f>'Dean''s Office'!N60+ATID!N64+HM!N59+'Food Nutrition Diet Health'!N73+FSHS!N95+Kinesiology!N59</f>
        <v>0</v>
      </c>
      <c r="O55" s="916">
        <f t="shared" si="9"/>
        <v>0</v>
      </c>
      <c r="P55" s="908">
        <f>'Dean''s Office'!P60+ATID!P64+HM!P59+'Food Nutrition Diet Health'!P73+FSHS!P95+Kinesiology!P59</f>
        <v>0</v>
      </c>
      <c r="Q55" s="916">
        <f t="shared" si="10"/>
        <v>0</v>
      </c>
      <c r="R55" s="908">
        <f>'Dean''s Office'!R60+ATID!R64+HM!R59+'Food Nutrition Diet Health'!R73+FSHS!R95+Kinesiology!R59</f>
        <v>0</v>
      </c>
      <c r="S55" s="916">
        <f t="shared" si="11"/>
        <v>0</v>
      </c>
      <c r="T55" s="908">
        <f>'Dean''s Office'!T60+ATID!T64+HM!T59+'Food Nutrition Diet Health'!T73+FSHS!T95+Kinesiology!T59</f>
        <v>0</v>
      </c>
      <c r="U55" s="917">
        <f t="shared" si="12"/>
        <v>0</v>
      </c>
      <c r="V55" s="46"/>
      <c r="W55" s="46"/>
    </row>
    <row r="56" spans="1:23" x14ac:dyDescent="0.2">
      <c r="A56" s="200" t="s">
        <v>44</v>
      </c>
      <c r="B56" s="908">
        <f>'Dean''s Office'!B61+ATID!B65+HM!B60+'Food Nutrition Diet Health'!B74+FSHS!B96+Kinesiology!B60</f>
        <v>3</v>
      </c>
      <c r="C56" s="916">
        <f t="shared" si="3"/>
        <v>3.0303030303030304E-2</v>
      </c>
      <c r="D56" s="908">
        <f>'Dean''s Office'!D61+ATID!D65+HM!D60+'Food Nutrition Diet Health'!D74+FSHS!D96+Kinesiology!D60</f>
        <v>6</v>
      </c>
      <c r="E56" s="916">
        <f t="shared" si="4"/>
        <v>6.0606060606060608E-2</v>
      </c>
      <c r="F56" s="908">
        <f>'Dean''s Office'!F61+ATID!F65+HM!F60+'Food Nutrition Diet Health'!F74+FSHS!F96+Kinesiology!F60</f>
        <v>6</v>
      </c>
      <c r="G56" s="916">
        <f t="shared" si="5"/>
        <v>5.8252427184466021E-2</v>
      </c>
      <c r="H56" s="908">
        <f>'Dean''s Office'!H61+ATID!H65+HM!H60+'Food Nutrition Diet Health'!H74+FSHS!H96+Kinesiology!H60</f>
        <v>6</v>
      </c>
      <c r="I56" s="916">
        <f t="shared" si="6"/>
        <v>5.6603773584905662E-2</v>
      </c>
      <c r="J56" s="908">
        <f>'Dean''s Office'!J61+ATID!J65+HM!J60+'Food Nutrition Diet Health'!J74+FSHS!J96+Kinesiology!J60</f>
        <v>7</v>
      </c>
      <c r="K56" s="916">
        <f t="shared" si="7"/>
        <v>6.1403508771929821E-2</v>
      </c>
      <c r="L56" s="908">
        <f>'Dean''s Office'!L61+ATID!L65+HM!L60+'Food Nutrition Diet Health'!L74+FSHS!L96+Kinesiology!L60</f>
        <v>7</v>
      </c>
      <c r="M56" s="916">
        <f t="shared" si="8"/>
        <v>5.8333333333333334E-2</v>
      </c>
      <c r="N56" s="908">
        <f>'Dean''s Office'!N61+ATID!N65+HM!N60+'Food Nutrition Diet Health'!N74+FSHS!N96+Kinesiology!N60</f>
        <v>6</v>
      </c>
      <c r="O56" s="916">
        <f t="shared" si="9"/>
        <v>4.878048780487805E-2</v>
      </c>
      <c r="P56" s="908">
        <f>'Dean''s Office'!P61+ATID!P65+HM!P60+'Food Nutrition Diet Health'!P74+FSHS!P96+Kinesiology!P60</f>
        <v>4</v>
      </c>
      <c r="Q56" s="916">
        <f t="shared" si="10"/>
        <v>3.2786885245901641E-2</v>
      </c>
      <c r="R56" s="908">
        <f>'Dean''s Office'!R61+ATID!R65+HM!R60+'Food Nutrition Diet Health'!R74+FSHS!R96+Kinesiology!R60</f>
        <v>4</v>
      </c>
      <c r="S56" s="916">
        <f t="shared" si="11"/>
        <v>3.1007751937984496E-2</v>
      </c>
      <c r="T56" s="908">
        <f>'Dean''s Office'!T61+ATID!T65+HM!T60+'Food Nutrition Diet Health'!T74+FSHS!T96+Kinesiology!T60</f>
        <v>0</v>
      </c>
      <c r="U56" s="917">
        <f t="shared" si="12"/>
        <v>0</v>
      </c>
      <c r="V56" s="46"/>
      <c r="W56" s="46"/>
    </row>
    <row r="57" spans="1:23" x14ac:dyDescent="0.2">
      <c r="A57" s="200" t="s">
        <v>45</v>
      </c>
      <c r="B57" s="908">
        <f>'Dean''s Office'!B62+ATID!B66+HM!B61+'Food Nutrition Diet Health'!B75+FSHS!B97+Kinesiology!B61</f>
        <v>2</v>
      </c>
      <c r="C57" s="916">
        <f t="shared" si="3"/>
        <v>2.0202020202020204E-2</v>
      </c>
      <c r="D57" s="908">
        <f>'Dean''s Office'!D62+ATID!D66+HM!D61+'Food Nutrition Diet Health'!D75+FSHS!D97+Kinesiology!D61</f>
        <v>2</v>
      </c>
      <c r="E57" s="916">
        <f t="shared" si="4"/>
        <v>2.0202020202020204E-2</v>
      </c>
      <c r="F57" s="908">
        <f>'Dean''s Office'!F62+ATID!F66+HM!F61+'Food Nutrition Diet Health'!F75+FSHS!F97+Kinesiology!F61</f>
        <v>2</v>
      </c>
      <c r="G57" s="916">
        <f t="shared" si="5"/>
        <v>1.9417475728155338E-2</v>
      </c>
      <c r="H57" s="908">
        <f>'Dean''s Office'!H62+ATID!H66+HM!H61+'Food Nutrition Diet Health'!H75+FSHS!H97+Kinesiology!H61</f>
        <v>2</v>
      </c>
      <c r="I57" s="916">
        <f t="shared" si="6"/>
        <v>1.8867924528301886E-2</v>
      </c>
      <c r="J57" s="908">
        <f>'Dean''s Office'!J62+ATID!J66+HM!J61+'Food Nutrition Diet Health'!J75+FSHS!J97+Kinesiology!J61</f>
        <v>4</v>
      </c>
      <c r="K57" s="916">
        <f t="shared" si="7"/>
        <v>3.5087719298245612E-2</v>
      </c>
      <c r="L57" s="908">
        <f>'Dean''s Office'!L62+ATID!L66+HM!L61+'Food Nutrition Diet Health'!L75+FSHS!L97+Kinesiology!L61</f>
        <v>4</v>
      </c>
      <c r="M57" s="916">
        <f t="shared" si="8"/>
        <v>3.3333333333333333E-2</v>
      </c>
      <c r="N57" s="908">
        <f>'Dean''s Office'!N62+ATID!N66+HM!N61+'Food Nutrition Diet Health'!N75+FSHS!N97+Kinesiology!N61</f>
        <v>5</v>
      </c>
      <c r="O57" s="916">
        <f t="shared" si="9"/>
        <v>4.065040650406504E-2</v>
      </c>
      <c r="P57" s="908">
        <f>'Dean''s Office'!P62+ATID!P66+HM!P61+'Food Nutrition Diet Health'!P75+FSHS!P97+Kinesiology!P61</f>
        <v>3</v>
      </c>
      <c r="Q57" s="916">
        <f t="shared" si="10"/>
        <v>2.4590163934426229E-2</v>
      </c>
      <c r="R57" s="908">
        <f>'Dean''s Office'!R62+ATID!R66+HM!R61+'Food Nutrition Diet Health'!R75+FSHS!R97+Kinesiology!R61</f>
        <v>5</v>
      </c>
      <c r="S57" s="916">
        <f t="shared" si="11"/>
        <v>3.875968992248062E-2</v>
      </c>
      <c r="T57" s="908">
        <f>'Dean''s Office'!T62+ATID!T66+HM!T61+'Food Nutrition Diet Health'!T75+FSHS!T97+Kinesiology!T61</f>
        <v>0</v>
      </c>
      <c r="U57" s="917">
        <f t="shared" si="12"/>
        <v>0</v>
      </c>
      <c r="V57" s="46"/>
      <c r="W57" s="46"/>
    </row>
    <row r="58" spans="1:23" x14ac:dyDescent="0.2">
      <c r="A58" s="200" t="s">
        <v>46</v>
      </c>
      <c r="B58" s="908">
        <f>'Dean''s Office'!B63+ATID!B67+HM!B62+'Food Nutrition Diet Health'!B76+FSHS!B98+Kinesiology!B62</f>
        <v>0</v>
      </c>
      <c r="C58" s="916">
        <f t="shared" si="3"/>
        <v>0</v>
      </c>
      <c r="D58" s="908">
        <f>'Dean''s Office'!D63+ATID!D67+HM!D62+'Food Nutrition Diet Health'!D76+FSHS!D98+Kinesiology!D62</f>
        <v>0</v>
      </c>
      <c r="E58" s="916">
        <f t="shared" si="4"/>
        <v>0</v>
      </c>
      <c r="F58" s="908">
        <f>'Dean''s Office'!F63+ATID!F67+HM!F62+'Food Nutrition Diet Health'!F76+FSHS!F98+Kinesiology!F62</f>
        <v>0</v>
      </c>
      <c r="G58" s="916">
        <f t="shared" si="5"/>
        <v>0</v>
      </c>
      <c r="H58" s="908">
        <f>'Dean''s Office'!H63+ATID!H67+HM!H62+'Food Nutrition Diet Health'!H76+FSHS!H98+Kinesiology!H62</f>
        <v>0</v>
      </c>
      <c r="I58" s="916">
        <f t="shared" si="6"/>
        <v>0</v>
      </c>
      <c r="J58" s="908">
        <f>'Dean''s Office'!J63+ATID!J67+HM!J62+'Food Nutrition Diet Health'!J76+FSHS!J98+Kinesiology!J62</f>
        <v>1</v>
      </c>
      <c r="K58" s="916">
        <f t="shared" si="7"/>
        <v>8.771929824561403E-3</v>
      </c>
      <c r="L58" s="908">
        <f>'Dean''s Office'!L63+ATID!L67+HM!L62+'Food Nutrition Diet Health'!L76+FSHS!L98+Kinesiology!L62</f>
        <v>1</v>
      </c>
      <c r="M58" s="916">
        <f t="shared" si="8"/>
        <v>8.3333333333333332E-3</v>
      </c>
      <c r="N58" s="908">
        <f>'Dean''s Office'!N63+ATID!N67+HM!N62+'Food Nutrition Diet Health'!N76+FSHS!N98+Kinesiology!N62</f>
        <v>1</v>
      </c>
      <c r="O58" s="916">
        <f t="shared" si="9"/>
        <v>8.130081300813009E-3</v>
      </c>
      <c r="P58" s="908">
        <f>'Dean''s Office'!P63+ATID!P67+HM!P62+'Food Nutrition Diet Health'!P76+FSHS!P98+Kinesiology!P62</f>
        <v>1</v>
      </c>
      <c r="Q58" s="916">
        <f t="shared" si="10"/>
        <v>8.1967213114754103E-3</v>
      </c>
      <c r="R58" s="908">
        <f>'Dean''s Office'!R63+ATID!R67+HM!R62+'Food Nutrition Diet Health'!R76+FSHS!R98+Kinesiology!R62</f>
        <v>1</v>
      </c>
      <c r="S58" s="916">
        <f t="shared" si="11"/>
        <v>7.7519379844961239E-3</v>
      </c>
      <c r="T58" s="908">
        <f>'Dean''s Office'!T63+ATID!T67+HM!T62+'Food Nutrition Diet Health'!T76+FSHS!T98+Kinesiology!T62</f>
        <v>0</v>
      </c>
      <c r="U58" s="917">
        <f t="shared" si="12"/>
        <v>0</v>
      </c>
      <c r="V58" s="46"/>
      <c r="W58" s="46"/>
    </row>
    <row r="59" spans="1:23" ht="13.5" thickBot="1" x14ac:dyDescent="0.25">
      <c r="A59" s="200" t="s">
        <v>47</v>
      </c>
      <c r="B59" s="911">
        <f>'Dean''s Office'!B64+ATID!B68+HM!B63+'Food Nutrition Diet Health'!B77+FSHS!B99+Kinesiology!B63</f>
        <v>0</v>
      </c>
      <c r="C59" s="918">
        <f t="shared" si="3"/>
        <v>0</v>
      </c>
      <c r="D59" s="911">
        <f>'Dean''s Office'!D64+ATID!D68+HM!D63+'Food Nutrition Diet Health'!D77+FSHS!D99+Kinesiology!D63</f>
        <v>0</v>
      </c>
      <c r="E59" s="918">
        <f t="shared" si="4"/>
        <v>0</v>
      </c>
      <c r="F59" s="911">
        <f>'Dean''s Office'!F64+ATID!F68+HM!F63+'Food Nutrition Diet Health'!F77+FSHS!F99+Kinesiology!F63</f>
        <v>0</v>
      </c>
      <c r="G59" s="918">
        <f t="shared" si="5"/>
        <v>0</v>
      </c>
      <c r="H59" s="911">
        <f>'Dean''s Office'!H64+ATID!H68+HM!H63+'Food Nutrition Diet Health'!H77+FSHS!H99+Kinesiology!H63</f>
        <v>0</v>
      </c>
      <c r="I59" s="918">
        <f t="shared" si="6"/>
        <v>0</v>
      </c>
      <c r="J59" s="911">
        <f>'Dean''s Office'!J64+ATID!J68+HM!J63+'Food Nutrition Diet Health'!J77+FSHS!J99+Kinesiology!J63</f>
        <v>1</v>
      </c>
      <c r="K59" s="918">
        <f t="shared" si="7"/>
        <v>8.771929824561403E-3</v>
      </c>
      <c r="L59" s="911">
        <f>'Dean''s Office'!L64+ATID!L68+HM!L63+'Food Nutrition Diet Health'!L77+FSHS!L99+Kinesiology!L63</f>
        <v>1</v>
      </c>
      <c r="M59" s="918">
        <f t="shared" si="8"/>
        <v>8.3333333333333332E-3</v>
      </c>
      <c r="N59" s="911">
        <f>'Dean''s Office'!N64+ATID!N68+HM!N63+'Food Nutrition Diet Health'!N77+FSHS!N99+Kinesiology!N63</f>
        <v>1</v>
      </c>
      <c r="O59" s="918">
        <f t="shared" si="9"/>
        <v>8.130081300813009E-3</v>
      </c>
      <c r="P59" s="911">
        <f>'Dean''s Office'!P64+ATID!P68+HM!P63+'Food Nutrition Diet Health'!P77+FSHS!P99+Kinesiology!P63</f>
        <v>1</v>
      </c>
      <c r="Q59" s="918">
        <f t="shared" si="10"/>
        <v>8.1967213114754103E-3</v>
      </c>
      <c r="R59" s="911">
        <f>'Dean''s Office'!R64+ATID!R68+HM!R63+'Food Nutrition Diet Health'!R77+FSHS!R99+Kinesiology!R63</f>
        <v>0</v>
      </c>
      <c r="S59" s="918">
        <f t="shared" si="11"/>
        <v>0</v>
      </c>
      <c r="T59" s="911">
        <f>'Dean''s Office'!T64+ATID!T68+HM!T63+'Food Nutrition Diet Health'!T77+FSHS!T99+Kinesiology!T63</f>
        <v>0</v>
      </c>
      <c r="U59" s="919">
        <f t="shared" si="12"/>
        <v>0</v>
      </c>
      <c r="V59" s="46"/>
      <c r="W59" s="46"/>
    </row>
    <row r="60" spans="1:23" x14ac:dyDescent="0.2">
      <c r="A60" s="903" t="s">
        <v>48</v>
      </c>
      <c r="B60" s="920"/>
      <c r="C60" s="921"/>
      <c r="D60" s="920"/>
      <c r="E60" s="921"/>
      <c r="F60" s="920"/>
      <c r="G60" s="921"/>
      <c r="H60" s="920"/>
      <c r="I60" s="921"/>
      <c r="J60" s="920"/>
      <c r="K60" s="921"/>
      <c r="L60" s="920"/>
      <c r="M60" s="921"/>
      <c r="N60" s="920"/>
      <c r="O60" s="921"/>
      <c r="P60" s="920"/>
      <c r="Q60" s="921"/>
      <c r="R60" s="920"/>
      <c r="S60" s="921"/>
      <c r="T60" s="920"/>
      <c r="U60" s="887"/>
      <c r="V60" s="46"/>
      <c r="W60" s="46"/>
    </row>
    <row r="61" spans="1:23" x14ac:dyDescent="0.2">
      <c r="A61" s="192" t="s">
        <v>49</v>
      </c>
      <c r="B61" s="908">
        <f>'Dean''s Office'!B66+ATID!B70+HM!B65+'Food Nutrition Diet Health'!B79+FSHS!B101+Kinesiology!B65</f>
        <v>39</v>
      </c>
      <c r="C61" s="916">
        <f t="shared" ref="C61:C62" si="13">B61/$E$49</f>
        <v>0.39393939393939392</v>
      </c>
      <c r="D61" s="908">
        <f>'Dean''s Office'!D66+ATID!D70+HM!D65+'Food Nutrition Diet Health'!D79+FSHS!D101+Kinesiology!D65</f>
        <v>38</v>
      </c>
      <c r="E61" s="916">
        <f t="shared" si="4"/>
        <v>0.38383838383838381</v>
      </c>
      <c r="F61" s="908">
        <f>'Dean''s Office'!F66+ATID!F70+HM!F65+'Food Nutrition Diet Health'!F79+FSHS!F101+Kinesiology!F65</f>
        <v>38</v>
      </c>
      <c r="G61" s="916">
        <f t="shared" si="5"/>
        <v>0.36893203883495146</v>
      </c>
      <c r="H61" s="908">
        <f>'Dean''s Office'!H66+ATID!H70+HM!H65+'Food Nutrition Diet Health'!H79+FSHS!H101+Kinesiology!H65</f>
        <v>38</v>
      </c>
      <c r="I61" s="916">
        <f t="shared" si="6"/>
        <v>0.35849056603773582</v>
      </c>
      <c r="J61" s="908">
        <f>'Dean''s Office'!J66+ATID!J70+HM!J65+'Food Nutrition Diet Health'!J79+FSHS!J101+Kinesiology!J65</f>
        <v>37</v>
      </c>
      <c r="K61" s="916">
        <f t="shared" si="7"/>
        <v>0.32456140350877194</v>
      </c>
      <c r="L61" s="908">
        <f>'Dean''s Office'!L66+ATID!L70+HM!L65+'Food Nutrition Diet Health'!L79+FSHS!L101+Kinesiology!L65</f>
        <v>42</v>
      </c>
      <c r="M61" s="916">
        <f t="shared" si="8"/>
        <v>0.35</v>
      </c>
      <c r="N61" s="908">
        <f>'Dean''s Office'!N66+ATID!N70+HM!N65+'Food Nutrition Diet Health'!N79+FSHS!N101+Kinesiology!N65</f>
        <v>41</v>
      </c>
      <c r="O61" s="916">
        <f t="shared" si="9"/>
        <v>0.33333333333333331</v>
      </c>
      <c r="P61" s="908">
        <f>'Dean''s Office'!P66+ATID!P70+HM!P65+'Food Nutrition Diet Health'!P79+FSHS!P101+Kinesiology!P65</f>
        <v>38</v>
      </c>
      <c r="Q61" s="916">
        <f t="shared" si="10"/>
        <v>0.31147540983606559</v>
      </c>
      <c r="R61" s="908">
        <f>'Dean''s Office'!R66+ATID!R70+HM!R65+'Food Nutrition Diet Health'!R79+FSHS!R101+Kinesiology!R65</f>
        <v>41</v>
      </c>
      <c r="S61" s="916">
        <f t="shared" si="11"/>
        <v>0.31782945736434109</v>
      </c>
      <c r="T61" s="908">
        <f>'Dean''s Office'!T66+ATID!T70+HM!T65+'Food Nutrition Diet Health'!T79+FSHS!T101+Kinesiology!T65</f>
        <v>0</v>
      </c>
      <c r="U61" s="917">
        <f t="shared" ref="U61:U62" si="14">T61/$S$49</f>
        <v>0</v>
      </c>
      <c r="V61" s="46"/>
      <c r="W61" s="46"/>
    </row>
    <row r="62" spans="1:23" ht="13.5" thickBot="1" x14ac:dyDescent="0.25">
      <c r="A62" s="200" t="s">
        <v>50</v>
      </c>
      <c r="B62" s="911">
        <f>'Dean''s Office'!B67+ATID!B71+HM!B66+'Food Nutrition Diet Health'!B80+FSHS!B102+Kinesiology!B66</f>
        <v>62</v>
      </c>
      <c r="C62" s="918">
        <f t="shared" si="13"/>
        <v>0.6262626262626263</v>
      </c>
      <c r="D62" s="911">
        <f>'Dean''s Office'!D67+ATID!D71+HM!D66+'Food Nutrition Diet Health'!D80+FSHS!D102+Kinesiology!D66</f>
        <v>61</v>
      </c>
      <c r="E62" s="918">
        <f t="shared" si="4"/>
        <v>0.61616161616161613</v>
      </c>
      <c r="F62" s="911">
        <f>'Dean''s Office'!F67+ATID!F71+HM!F66+'Food Nutrition Diet Health'!F80+FSHS!F102+Kinesiology!F66</f>
        <v>65</v>
      </c>
      <c r="G62" s="918">
        <f t="shared" si="5"/>
        <v>0.6310679611650486</v>
      </c>
      <c r="H62" s="911">
        <f>'Dean''s Office'!H67+ATID!H71+HM!H66+'Food Nutrition Diet Health'!H80+FSHS!H102+Kinesiology!H66</f>
        <v>68</v>
      </c>
      <c r="I62" s="918">
        <f t="shared" si="6"/>
        <v>0.64150943396226412</v>
      </c>
      <c r="J62" s="911">
        <f>'Dean''s Office'!J67+ATID!J71+HM!J66+'Food Nutrition Diet Health'!J80+FSHS!J102+Kinesiology!J66</f>
        <v>77</v>
      </c>
      <c r="K62" s="918">
        <f t="shared" si="7"/>
        <v>0.67543859649122806</v>
      </c>
      <c r="L62" s="911">
        <f>'Dean''s Office'!L67+ATID!L71+HM!L66+'Food Nutrition Diet Health'!L80+FSHS!L102+Kinesiology!L66</f>
        <v>78</v>
      </c>
      <c r="M62" s="918">
        <f t="shared" si="8"/>
        <v>0.65</v>
      </c>
      <c r="N62" s="911">
        <f>'Dean''s Office'!N67+ATID!N71+HM!N66+'Food Nutrition Diet Health'!N80+FSHS!N102+Kinesiology!N66</f>
        <v>82</v>
      </c>
      <c r="O62" s="918">
        <f t="shared" si="9"/>
        <v>0.66666666666666663</v>
      </c>
      <c r="P62" s="911">
        <f>'Dean''s Office'!P67+ATID!P71+HM!P66+'Food Nutrition Diet Health'!P80+FSHS!P102+Kinesiology!P66</f>
        <v>84</v>
      </c>
      <c r="Q62" s="918">
        <f t="shared" si="10"/>
        <v>0.68852459016393441</v>
      </c>
      <c r="R62" s="911">
        <f>'Dean''s Office'!R67+ATID!R71+HM!R66+'Food Nutrition Diet Health'!R80+FSHS!R102+Kinesiology!R66</f>
        <v>88</v>
      </c>
      <c r="S62" s="918">
        <f t="shared" si="11"/>
        <v>0.68217054263565891</v>
      </c>
      <c r="T62" s="911">
        <f>'Dean''s Office'!T67+ATID!T71+HM!T66+'Food Nutrition Diet Health'!T80+FSHS!T102+Kinesiology!T66</f>
        <v>0</v>
      </c>
      <c r="U62" s="919">
        <f t="shared" si="14"/>
        <v>0</v>
      </c>
      <c r="V62" s="46"/>
      <c r="W62" s="46"/>
    </row>
    <row r="63" spans="1:23" x14ac:dyDescent="0.2">
      <c r="A63" s="903" t="s">
        <v>51</v>
      </c>
      <c r="B63" s="920"/>
      <c r="C63" s="921"/>
      <c r="D63" s="920"/>
      <c r="E63" s="921"/>
      <c r="F63" s="920"/>
      <c r="G63" s="921"/>
      <c r="H63" s="920"/>
      <c r="I63" s="921"/>
      <c r="J63" s="920"/>
      <c r="K63" s="921"/>
      <c r="L63" s="920"/>
      <c r="M63" s="921"/>
      <c r="N63" s="920"/>
      <c r="O63" s="921"/>
      <c r="P63" s="920"/>
      <c r="Q63" s="921"/>
      <c r="R63" s="920"/>
      <c r="S63" s="921"/>
      <c r="T63" s="920"/>
      <c r="U63" s="887"/>
      <c r="V63" s="46"/>
      <c r="W63" s="46"/>
    </row>
    <row r="64" spans="1:23" x14ac:dyDescent="0.2">
      <c r="A64" s="192" t="s">
        <v>52</v>
      </c>
      <c r="B64" s="908">
        <f>'Dean''s Office'!B69+ATID!B73+HM!B68+'Food Nutrition Diet Health'!B82+FSHS!B104+Kinesiology!B68</f>
        <v>45</v>
      </c>
      <c r="C64" s="916">
        <f t="shared" ref="C64:C66" si="15">B64/$E$49</f>
        <v>0.45454545454545453</v>
      </c>
      <c r="D64" s="908">
        <f>'Dean''s Office'!D69+ATID!D73+HM!D68+'Food Nutrition Diet Health'!D82+FSHS!D104+Kinesiology!D68</f>
        <v>41</v>
      </c>
      <c r="E64" s="916">
        <f t="shared" si="4"/>
        <v>0.41414141414141414</v>
      </c>
      <c r="F64" s="908">
        <f>'Dean''s Office'!F69+ATID!F73+HM!F68+'Food Nutrition Diet Health'!F82+FSHS!F104+Kinesiology!F68</f>
        <v>45</v>
      </c>
      <c r="G64" s="916">
        <f t="shared" si="5"/>
        <v>0.43689320388349512</v>
      </c>
      <c r="H64" s="908">
        <f>'Dean''s Office'!H69+ATID!H73+HM!H68+'Food Nutrition Diet Health'!H82+FSHS!H104+Kinesiology!H68</f>
        <v>42</v>
      </c>
      <c r="I64" s="916">
        <f t="shared" si="6"/>
        <v>0.39622641509433965</v>
      </c>
      <c r="J64" s="908">
        <f>'Dean''s Office'!J69+ATID!J73+HM!J68+'Food Nutrition Diet Health'!J82+FSHS!J104+Kinesiology!J68</f>
        <v>41</v>
      </c>
      <c r="K64" s="916">
        <f t="shared" si="7"/>
        <v>0.35964912280701755</v>
      </c>
      <c r="L64" s="908">
        <f>'Dean''s Office'!L69+ATID!L73+HM!L68+'Food Nutrition Diet Health'!L82+FSHS!L104+Kinesiology!L68</f>
        <v>43</v>
      </c>
      <c r="M64" s="916">
        <f t="shared" si="8"/>
        <v>0.35833333333333334</v>
      </c>
      <c r="N64" s="908">
        <f>'Dean''s Office'!N69+ATID!N73+HM!N68+'Food Nutrition Diet Health'!N82+FSHS!N104+Kinesiology!N68</f>
        <v>52</v>
      </c>
      <c r="O64" s="916">
        <f t="shared" si="9"/>
        <v>0.42276422764227645</v>
      </c>
      <c r="P64" s="908">
        <f>'Dean''s Office'!P69+ATID!P73+HM!P68+'Food Nutrition Diet Health'!P82+FSHS!P104+Kinesiology!P68</f>
        <v>57</v>
      </c>
      <c r="Q64" s="916">
        <f t="shared" si="10"/>
        <v>0.46721311475409838</v>
      </c>
      <c r="R64" s="908">
        <f>'Dean''s Office'!R69+ATID!R73+HM!R68+'Food Nutrition Diet Health'!R82+FSHS!R104+Kinesiology!R68</f>
        <v>53</v>
      </c>
      <c r="S64" s="916">
        <f t="shared" si="11"/>
        <v>0.41085271317829458</v>
      </c>
      <c r="T64" s="908">
        <f>'Dean''s Office'!T69+ATID!T73+HM!T68+'Food Nutrition Diet Health'!T82+FSHS!T104+Kinesiology!T68</f>
        <v>0</v>
      </c>
      <c r="U64" s="917">
        <f t="shared" ref="U64:U66" si="16">T64/$S$49</f>
        <v>0</v>
      </c>
      <c r="V64" s="46"/>
      <c r="W64" s="46"/>
    </row>
    <row r="65" spans="1:23" x14ac:dyDescent="0.2">
      <c r="A65" s="192" t="s">
        <v>53</v>
      </c>
      <c r="B65" s="908">
        <f>'Dean''s Office'!B70+ATID!B74+HM!B69+'Food Nutrition Diet Health'!B83+FSHS!B105+Kinesiology!B69</f>
        <v>24</v>
      </c>
      <c r="C65" s="916">
        <f t="shared" si="15"/>
        <v>0.24242424242424243</v>
      </c>
      <c r="D65" s="908">
        <f>'Dean''s Office'!D70+ATID!D74+HM!D69+'Food Nutrition Diet Health'!D83+FSHS!D105+Kinesiology!D69</f>
        <v>29</v>
      </c>
      <c r="E65" s="916">
        <f t="shared" si="4"/>
        <v>0.29292929292929293</v>
      </c>
      <c r="F65" s="908">
        <f>'Dean''s Office'!F70+ATID!F74+HM!F69+'Food Nutrition Diet Health'!F83+FSHS!F105+Kinesiology!F69</f>
        <v>25</v>
      </c>
      <c r="G65" s="916">
        <f t="shared" si="5"/>
        <v>0.24271844660194175</v>
      </c>
      <c r="H65" s="908">
        <f>'Dean''s Office'!H70+ATID!H74+HM!H69+'Food Nutrition Diet Health'!H83+FSHS!H105+Kinesiology!H69</f>
        <v>25</v>
      </c>
      <c r="I65" s="916">
        <f t="shared" si="6"/>
        <v>0.23584905660377359</v>
      </c>
      <c r="J65" s="908">
        <f>'Dean''s Office'!J70+ATID!J74+HM!J69+'Food Nutrition Diet Health'!J83+FSHS!J105+Kinesiology!J69</f>
        <v>24</v>
      </c>
      <c r="K65" s="916">
        <f t="shared" si="7"/>
        <v>0.21052631578947367</v>
      </c>
      <c r="L65" s="908">
        <f>'Dean''s Office'!L70+ATID!L74+HM!L69+'Food Nutrition Diet Health'!L83+FSHS!L105+Kinesiology!L69</f>
        <v>22</v>
      </c>
      <c r="M65" s="916">
        <f t="shared" si="8"/>
        <v>0.18333333333333332</v>
      </c>
      <c r="N65" s="908">
        <f>'Dean''s Office'!N70+ATID!N74+HM!N69+'Food Nutrition Diet Health'!N83+FSHS!N105+Kinesiology!N69</f>
        <v>23</v>
      </c>
      <c r="O65" s="916">
        <f t="shared" si="9"/>
        <v>0.18699186991869918</v>
      </c>
      <c r="P65" s="908">
        <f>'Dean''s Office'!P70+ATID!P74+HM!P69+'Food Nutrition Diet Health'!P83+FSHS!P105+Kinesiology!P69</f>
        <v>23</v>
      </c>
      <c r="Q65" s="916">
        <f t="shared" si="10"/>
        <v>0.18852459016393441</v>
      </c>
      <c r="R65" s="908">
        <f>'Dean''s Office'!R70+ATID!R74+HM!R69+'Food Nutrition Diet Health'!R83+FSHS!R105+Kinesiology!R69</f>
        <v>23</v>
      </c>
      <c r="S65" s="916">
        <f t="shared" si="11"/>
        <v>0.17829457364341086</v>
      </c>
      <c r="T65" s="908">
        <f>'Dean''s Office'!T70+ATID!T74+HM!T69+'Food Nutrition Diet Health'!T83+FSHS!T105+Kinesiology!T69</f>
        <v>0</v>
      </c>
      <c r="U65" s="917">
        <f t="shared" si="16"/>
        <v>0</v>
      </c>
      <c r="V65" s="46"/>
      <c r="W65" s="46"/>
    </row>
    <row r="66" spans="1:23" ht="13.5" thickBot="1" x14ac:dyDescent="0.25">
      <c r="A66" s="200" t="s">
        <v>54</v>
      </c>
      <c r="B66" s="911">
        <f>'Dean''s Office'!B71+ATID!B75+HM!B70+'Food Nutrition Diet Health'!B84+FSHS!B106+Kinesiology!B70</f>
        <v>32</v>
      </c>
      <c r="C66" s="918">
        <f t="shared" si="15"/>
        <v>0.32323232323232326</v>
      </c>
      <c r="D66" s="911">
        <f>'Dean''s Office'!D71+ATID!D75+HM!D70+'Food Nutrition Diet Health'!D84+FSHS!D106+Kinesiology!D70</f>
        <v>29</v>
      </c>
      <c r="E66" s="918">
        <f t="shared" si="4"/>
        <v>0.29292929292929293</v>
      </c>
      <c r="F66" s="911">
        <f>'Dean''s Office'!F71+ATID!F75+HM!F70+'Food Nutrition Diet Health'!F84+FSHS!F106+Kinesiology!F70</f>
        <v>33</v>
      </c>
      <c r="G66" s="918">
        <f t="shared" si="5"/>
        <v>0.32038834951456313</v>
      </c>
      <c r="H66" s="911">
        <f>'Dean''s Office'!H71+ATID!H75+HM!H70+'Food Nutrition Diet Health'!H84+FSHS!H106+Kinesiology!H70</f>
        <v>39</v>
      </c>
      <c r="I66" s="918">
        <f t="shared" si="6"/>
        <v>0.36792452830188677</v>
      </c>
      <c r="J66" s="911">
        <f>'Dean''s Office'!J71+ATID!J75+HM!J70+'Food Nutrition Diet Health'!J84+FSHS!J106+Kinesiology!J70</f>
        <v>49</v>
      </c>
      <c r="K66" s="918">
        <f t="shared" si="7"/>
        <v>0.42982456140350878</v>
      </c>
      <c r="L66" s="911">
        <f>'Dean''s Office'!L71+ATID!L75+HM!L70+'Food Nutrition Diet Health'!L84+FSHS!L106+Kinesiology!L70</f>
        <v>51</v>
      </c>
      <c r="M66" s="918">
        <f t="shared" si="8"/>
        <v>0.42499999999999999</v>
      </c>
      <c r="N66" s="911">
        <f>'Dean''s Office'!N71+ATID!N75+HM!N70+'Food Nutrition Diet Health'!N84+FSHS!N106+Kinesiology!N70</f>
        <v>48</v>
      </c>
      <c r="O66" s="918">
        <f t="shared" si="9"/>
        <v>0.3902439024390244</v>
      </c>
      <c r="P66" s="911">
        <f>'Dean''s Office'!P71+ATID!P75+HM!P70+'Food Nutrition Diet Health'!P84+FSHS!P106+Kinesiology!P70</f>
        <v>42</v>
      </c>
      <c r="Q66" s="918">
        <f t="shared" si="10"/>
        <v>0.34426229508196721</v>
      </c>
      <c r="R66" s="911">
        <f>'Dean''s Office'!R71+ATID!R75+HM!R70+'Food Nutrition Diet Health'!R84+FSHS!R106+Kinesiology!R70</f>
        <v>53</v>
      </c>
      <c r="S66" s="918">
        <f t="shared" si="11"/>
        <v>0.41085271317829458</v>
      </c>
      <c r="T66" s="911">
        <f>'Dean''s Office'!T71+ATID!T75+HM!T70+'Food Nutrition Diet Health'!T84+FSHS!T106+Kinesiology!T70</f>
        <v>0</v>
      </c>
      <c r="U66" s="919">
        <f t="shared" si="16"/>
        <v>0</v>
      </c>
      <c r="V66" s="46"/>
      <c r="W66" s="46"/>
    </row>
    <row r="67" spans="1:23" x14ac:dyDescent="0.2">
      <c r="A67" s="903" t="s">
        <v>55</v>
      </c>
      <c r="B67" s="920"/>
      <c r="C67" s="921"/>
      <c r="D67" s="920"/>
      <c r="E67" s="921"/>
      <c r="F67" s="920"/>
      <c r="G67" s="921"/>
      <c r="H67" s="920"/>
      <c r="I67" s="921"/>
      <c r="J67" s="920"/>
      <c r="K67" s="921"/>
      <c r="L67" s="920"/>
      <c r="M67" s="921"/>
      <c r="N67" s="920"/>
      <c r="O67" s="921"/>
      <c r="P67" s="920"/>
      <c r="Q67" s="921"/>
      <c r="R67" s="920"/>
      <c r="S67" s="921"/>
      <c r="T67" s="920"/>
      <c r="U67" s="887"/>
      <c r="V67" s="46"/>
      <c r="W67" s="46"/>
    </row>
    <row r="68" spans="1:23" x14ac:dyDescent="0.2">
      <c r="A68" s="192" t="s">
        <v>56</v>
      </c>
      <c r="B68" s="908">
        <f>'Dean''s Office'!B73+ATID!B77+HM!B72+'Food Nutrition Diet Health'!B86+FSHS!B108+Kinesiology!B72</f>
        <v>71</v>
      </c>
      <c r="C68" s="916">
        <f t="shared" ref="C68:C70" si="17">B68/$E$49</f>
        <v>0.71717171717171713</v>
      </c>
      <c r="D68" s="908">
        <f>'Dean''s Office'!D73+ATID!D77+HM!D72+'Food Nutrition Diet Health'!D86+FSHS!D108+Kinesiology!D72</f>
        <v>67</v>
      </c>
      <c r="E68" s="916">
        <f t="shared" si="4"/>
        <v>0.6767676767676768</v>
      </c>
      <c r="F68" s="908">
        <f>'Dean''s Office'!F73+ATID!F77+HM!F72+'Food Nutrition Diet Health'!F86+FSHS!F108+Kinesiology!F72</f>
        <v>67</v>
      </c>
      <c r="G68" s="916">
        <f t="shared" si="5"/>
        <v>0.65048543689320393</v>
      </c>
      <c r="H68" s="908">
        <f>'Dean''s Office'!H73+ATID!H77+HM!H72+'Food Nutrition Diet Health'!H86+FSHS!H108+Kinesiology!H72</f>
        <v>68</v>
      </c>
      <c r="I68" s="916">
        <f t="shared" si="6"/>
        <v>0.64150943396226412</v>
      </c>
      <c r="J68" s="908">
        <f>'Dean''s Office'!J73+ATID!J77+HM!J72+'Food Nutrition Diet Health'!J86+FSHS!J108+Kinesiology!J72</f>
        <v>70</v>
      </c>
      <c r="K68" s="916">
        <f t="shared" si="7"/>
        <v>0.61403508771929827</v>
      </c>
      <c r="L68" s="908">
        <f>'Dean''s Office'!L73+ATID!L77+HM!L72+'Food Nutrition Diet Health'!L86+FSHS!L108+Kinesiology!L72</f>
        <v>79</v>
      </c>
      <c r="M68" s="916">
        <f t="shared" si="8"/>
        <v>0.65833333333333333</v>
      </c>
      <c r="N68" s="908">
        <f>'Dean''s Office'!N73+ATID!N77+HM!N72+'Food Nutrition Diet Health'!N86+FSHS!N108+Kinesiology!N72</f>
        <v>83</v>
      </c>
      <c r="O68" s="916">
        <f t="shared" si="9"/>
        <v>0.67479674796747968</v>
      </c>
      <c r="P68" s="908">
        <f>'Dean''s Office'!P73+ATID!P77+HM!P72+'Food Nutrition Diet Health'!P86+FSHS!P108+Kinesiology!P72</f>
        <v>81</v>
      </c>
      <c r="Q68" s="916">
        <f t="shared" si="10"/>
        <v>0.66393442622950816</v>
      </c>
      <c r="R68" s="908">
        <f>'Dean''s Office'!R73+ATID!R77+HM!R72+'Food Nutrition Diet Health'!R86+FSHS!R108+Kinesiology!R72</f>
        <v>85</v>
      </c>
      <c r="S68" s="916">
        <f t="shared" si="11"/>
        <v>0.65891472868217049</v>
      </c>
      <c r="T68" s="908">
        <f>'Dean''s Office'!T73+ATID!T77+HM!T72+'Food Nutrition Diet Health'!T86+FSHS!T108+Kinesiology!T72</f>
        <v>0</v>
      </c>
      <c r="U68" s="917">
        <f t="shared" ref="U68:U71" si="18">T68/$S$49</f>
        <v>0</v>
      </c>
      <c r="V68" s="46"/>
      <c r="W68" s="46"/>
    </row>
    <row r="69" spans="1:23" x14ac:dyDescent="0.2">
      <c r="A69" s="192" t="s">
        <v>57</v>
      </c>
      <c r="B69" s="908">
        <f>'Dean''s Office'!B74+ATID!B78+HM!B73+'Food Nutrition Diet Health'!B87+FSHS!B109+Kinesiology!B73</f>
        <v>30</v>
      </c>
      <c r="C69" s="916">
        <f t="shared" si="17"/>
        <v>0.30303030303030304</v>
      </c>
      <c r="D69" s="908">
        <f>'Dean''s Office'!D74+ATID!D78+HM!D73+'Food Nutrition Diet Health'!D87+FSHS!D109+Kinesiology!D73</f>
        <v>30</v>
      </c>
      <c r="E69" s="916">
        <f t="shared" ref="E69:E70" si="19">D69/$E$49</f>
        <v>0.30303030303030304</v>
      </c>
      <c r="F69" s="908">
        <f>'Dean''s Office'!F74+ATID!F78+HM!F73+'Food Nutrition Diet Health'!F87+FSHS!F109+Kinesiology!F73</f>
        <v>35</v>
      </c>
      <c r="G69" s="916">
        <f t="shared" si="5"/>
        <v>0.33980582524271846</v>
      </c>
      <c r="H69" s="908">
        <f>'Dean''s Office'!H74+ATID!H78+HM!H73+'Food Nutrition Diet Health'!H87+FSHS!H109+Kinesiology!H73</f>
        <v>35</v>
      </c>
      <c r="I69" s="916">
        <f t="shared" si="6"/>
        <v>0.330188679245283</v>
      </c>
      <c r="J69" s="908">
        <f>'Dean''s Office'!J74+ATID!J78+HM!J73+'Food Nutrition Diet Health'!J87+FSHS!J109+Kinesiology!J73</f>
        <v>39</v>
      </c>
      <c r="K69" s="916">
        <f t="shared" si="7"/>
        <v>0.34210526315789475</v>
      </c>
      <c r="L69" s="908">
        <f>'Dean''s Office'!L74+ATID!L78+HM!L73+'Food Nutrition Diet Health'!L87+FSHS!L109+Kinesiology!L73</f>
        <v>37</v>
      </c>
      <c r="M69" s="916">
        <f t="shared" si="8"/>
        <v>0.30833333333333335</v>
      </c>
      <c r="N69" s="908">
        <f>'Dean''s Office'!N74+ATID!N78+HM!N73+'Food Nutrition Diet Health'!N87+FSHS!N109+Kinesiology!N73</f>
        <v>37</v>
      </c>
      <c r="O69" s="916">
        <f t="shared" si="9"/>
        <v>0.30081300813008133</v>
      </c>
      <c r="P69" s="908">
        <f>'Dean''s Office'!P74+ATID!P78+HM!P73+'Food Nutrition Diet Health'!P87+FSHS!P109+Kinesiology!P73</f>
        <v>38</v>
      </c>
      <c r="Q69" s="916">
        <f t="shared" si="10"/>
        <v>0.31147540983606559</v>
      </c>
      <c r="R69" s="908">
        <f>'Dean''s Office'!R74+ATID!R78+HM!R73+'Food Nutrition Diet Health'!R87+FSHS!R109+Kinesiology!R73</f>
        <v>41</v>
      </c>
      <c r="S69" s="916">
        <f t="shared" si="11"/>
        <v>0.31782945736434109</v>
      </c>
      <c r="T69" s="908">
        <f>'Dean''s Office'!T74+ATID!T78+HM!T73+'Food Nutrition Diet Health'!T87+FSHS!T109+Kinesiology!T73</f>
        <v>0</v>
      </c>
      <c r="U69" s="917">
        <f t="shared" si="18"/>
        <v>0</v>
      </c>
      <c r="V69" s="46"/>
      <c r="W69" s="46"/>
    </row>
    <row r="70" spans="1:23" x14ac:dyDescent="0.2">
      <c r="A70" s="192" t="s">
        <v>58</v>
      </c>
      <c r="B70" s="908">
        <f>'Dean''s Office'!B75+ATID!B79+HM!B74+'Food Nutrition Diet Health'!B88+FSHS!B110+Kinesiology!B74</f>
        <v>0</v>
      </c>
      <c r="C70" s="916">
        <f t="shared" si="17"/>
        <v>0</v>
      </c>
      <c r="D70" s="908">
        <f>'Dean''s Office'!D75+ATID!D79+HM!D74+'Food Nutrition Diet Health'!D88+FSHS!D110+Kinesiology!D74</f>
        <v>2</v>
      </c>
      <c r="E70" s="916">
        <f t="shared" si="19"/>
        <v>2.0202020202020204E-2</v>
      </c>
      <c r="F70" s="908">
        <f>'Dean''s Office'!F75+ATID!F79+HM!F74+'Food Nutrition Diet Health'!F88+FSHS!F110+Kinesiology!F74</f>
        <v>1</v>
      </c>
      <c r="G70" s="916">
        <f t="shared" si="5"/>
        <v>9.7087378640776691E-3</v>
      </c>
      <c r="H70" s="908">
        <f>'Dean''s Office'!H75+ATID!H79+HM!H74+'Food Nutrition Diet Health'!H88+FSHS!H110+Kinesiology!H74</f>
        <v>3</v>
      </c>
      <c r="I70" s="916">
        <f t="shared" si="6"/>
        <v>2.8301886792452831E-2</v>
      </c>
      <c r="J70" s="908">
        <f>'Dean''s Office'!J75+ATID!J79+HM!J74+'Food Nutrition Diet Health'!J88+FSHS!J110+Kinesiology!J74</f>
        <v>5</v>
      </c>
      <c r="K70" s="916">
        <f t="shared" si="7"/>
        <v>4.3859649122807015E-2</v>
      </c>
      <c r="L70" s="908">
        <f>'Dean''s Office'!L75+ATID!L79+HM!L74+'Food Nutrition Diet Health'!L88+FSHS!L110+Kinesiology!L74</f>
        <v>4</v>
      </c>
      <c r="M70" s="916">
        <f t="shared" si="8"/>
        <v>3.3333333333333333E-2</v>
      </c>
      <c r="N70" s="908">
        <f>'Dean''s Office'!N75+ATID!N79+HM!N74+'Food Nutrition Diet Health'!N88+FSHS!N110+Kinesiology!N74</f>
        <v>3</v>
      </c>
      <c r="O70" s="916">
        <f t="shared" si="9"/>
        <v>2.4390243902439025E-2</v>
      </c>
      <c r="P70" s="908">
        <f>'Dean''s Office'!P75+ATID!P79+HM!P74+'Food Nutrition Diet Health'!P88+FSHS!P110+Kinesiology!P74</f>
        <v>3</v>
      </c>
      <c r="Q70" s="916">
        <f t="shared" si="10"/>
        <v>2.4590163934426229E-2</v>
      </c>
      <c r="R70" s="908">
        <f>'Dean''s Office'!R75+ATID!R79+HM!R74+'Food Nutrition Diet Health'!R88+FSHS!R110+Kinesiology!R74</f>
        <v>3</v>
      </c>
      <c r="S70" s="916">
        <f t="shared" si="11"/>
        <v>2.3255813953488372E-2</v>
      </c>
      <c r="T70" s="908">
        <f>'Dean''s Office'!T75+ATID!T79+HM!T74+'Food Nutrition Diet Health'!T88+FSHS!T110+Kinesiology!T74</f>
        <v>0</v>
      </c>
      <c r="U70" s="917">
        <f t="shared" si="18"/>
        <v>0</v>
      </c>
      <c r="V70" s="46"/>
      <c r="W70" s="46"/>
    </row>
    <row r="71" spans="1:23" ht="13.5" thickBot="1" x14ac:dyDescent="0.25">
      <c r="A71" s="207" t="s">
        <v>59</v>
      </c>
      <c r="B71" s="889">
        <f>'Dean''s Office'!B76+ATID!B80+HM!B75+'Food Nutrition Diet Health'!B89+FSHS!B111+Kinesiology!B75</f>
        <v>0</v>
      </c>
      <c r="C71" s="890">
        <f>B71/$E$49</f>
        <v>0</v>
      </c>
      <c r="D71" s="889">
        <f>'Dean''s Office'!D76+ATID!D80+HM!D75+'Food Nutrition Diet Health'!D89+FSHS!D111+Kinesiology!D75</f>
        <v>0</v>
      </c>
      <c r="E71" s="890">
        <f>D71/$E$49</f>
        <v>0</v>
      </c>
      <c r="F71" s="889">
        <f>'Dean''s Office'!F76+ATID!F80+HM!F75+'Food Nutrition Diet Health'!F89+FSHS!F111+Kinesiology!F75</f>
        <v>0</v>
      </c>
      <c r="G71" s="890">
        <f t="shared" si="5"/>
        <v>0</v>
      </c>
      <c r="H71" s="889">
        <f>'Dean''s Office'!H76+ATID!H80+HM!H75+'Food Nutrition Diet Health'!H89+FSHS!H111+Kinesiology!H75</f>
        <v>0</v>
      </c>
      <c r="I71" s="890">
        <f t="shared" si="6"/>
        <v>0</v>
      </c>
      <c r="J71" s="889">
        <f>'Dean''s Office'!J76+ATID!J80+HM!J75+'Food Nutrition Diet Health'!J89+FSHS!J111+Kinesiology!J75</f>
        <v>0</v>
      </c>
      <c r="K71" s="890">
        <f t="shared" si="7"/>
        <v>0</v>
      </c>
      <c r="L71" s="889">
        <f>'Dean''s Office'!L76+ATID!L80+HM!L75+'Food Nutrition Diet Health'!L89+FSHS!L111+Kinesiology!L75</f>
        <v>0</v>
      </c>
      <c r="M71" s="890">
        <f t="shared" si="8"/>
        <v>0</v>
      </c>
      <c r="N71" s="889">
        <f>'Dean''s Office'!N76+ATID!N80+HM!N75+'Food Nutrition Diet Health'!N89+FSHS!N111+Kinesiology!N75</f>
        <v>0</v>
      </c>
      <c r="O71" s="890">
        <f t="shared" si="9"/>
        <v>0</v>
      </c>
      <c r="P71" s="889">
        <f>'Dean''s Office'!P76+ATID!P80+HM!P75+'Food Nutrition Diet Health'!P89+FSHS!P111+Kinesiology!P75</f>
        <v>0</v>
      </c>
      <c r="Q71" s="890">
        <f t="shared" si="10"/>
        <v>0</v>
      </c>
      <c r="R71" s="889">
        <f>'Dean''s Office'!R76+ATID!R80+HM!R75+'Food Nutrition Diet Health'!R89+FSHS!R111+Kinesiology!R75</f>
        <v>0</v>
      </c>
      <c r="S71" s="890">
        <f t="shared" si="11"/>
        <v>0</v>
      </c>
      <c r="T71" s="889">
        <f>'Dean''s Office'!T76+ATID!T80+HM!T75+'Food Nutrition Diet Health'!T89+FSHS!T111+Kinesiology!T75</f>
        <v>0</v>
      </c>
      <c r="U71" s="922">
        <f t="shared" si="18"/>
        <v>0</v>
      </c>
      <c r="V71" s="46"/>
      <c r="W71" s="46"/>
    </row>
    <row r="72" spans="1:23" ht="13.5" thickTop="1" x14ac:dyDescent="0.2">
      <c r="V72" s="46"/>
      <c r="W72" s="46"/>
    </row>
  </sheetData>
  <mergeCells count="20">
    <mergeCell ref="T37:U37"/>
    <mergeCell ref="T9:U9"/>
    <mergeCell ref="N37:O37"/>
    <mergeCell ref="P37:Q37"/>
    <mergeCell ref="R37:S37"/>
    <mergeCell ref="P9:Q9"/>
    <mergeCell ref="R9:S9"/>
    <mergeCell ref="N9:O9"/>
    <mergeCell ref="H9:I9"/>
    <mergeCell ref="J9:K9"/>
    <mergeCell ref="L9:M9"/>
    <mergeCell ref="B9:C9"/>
    <mergeCell ref="B37:C37"/>
    <mergeCell ref="D37:E37"/>
    <mergeCell ref="F37:G37"/>
    <mergeCell ref="H37:I37"/>
    <mergeCell ref="J37:K37"/>
    <mergeCell ref="L37:M37"/>
    <mergeCell ref="D9:E9"/>
    <mergeCell ref="F9:G9"/>
  </mergeCells>
  <pageMargins left="0.7" right="0.7" top="0.75" bottom="0.75" header="0.3" footer="0.3"/>
  <pageSetup scale="86" fitToHeight="2" orientation="landscape" r:id="rId1"/>
  <rowBreaks count="1" manualBreakCount="1">
    <brk id="35" max="20" man="1"/>
  </rowBreaks>
  <ignoredErrors>
    <ignoredError sqref="D52:D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Dean's Office</vt:lpstr>
      <vt:lpstr>ATID</vt:lpstr>
      <vt:lpstr>HM</vt:lpstr>
      <vt:lpstr>Food Nutrition Diet Health</vt:lpstr>
      <vt:lpstr>FSHS</vt:lpstr>
      <vt:lpstr>Kinesiology</vt:lpstr>
      <vt:lpstr>Human Ecology Summary</vt:lpstr>
      <vt:lpstr>ATID!Print_Area</vt:lpstr>
      <vt:lpstr>'Dean''s Office'!Print_Area</vt:lpstr>
      <vt:lpstr>'Food Nutrition Diet Health'!Print_Area</vt:lpstr>
      <vt:lpstr>FSHS!Print_Area</vt:lpstr>
      <vt:lpstr>HM!Print_Area</vt:lpstr>
      <vt:lpstr>'Human Ecology Summary'!Print_Area</vt:lpstr>
      <vt:lpstr>Kinesiology!Print_Area</vt:lpstr>
      <vt:lpstr>ATID!Print_Titles</vt:lpstr>
      <vt:lpstr>'Dean''s Office'!Print_Titles</vt:lpstr>
      <vt:lpstr>'Food Nutrition Diet Health'!Print_Titles</vt:lpstr>
      <vt:lpstr>FSHS!Print_Titles</vt:lpstr>
      <vt:lpstr>HM!Print_Titles</vt:lpstr>
      <vt:lpstr>Kinesiology!Print_Titles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Feldkamp</dc:creator>
  <cp:lastModifiedBy>Nancy Baker</cp:lastModifiedBy>
  <cp:lastPrinted>2016-11-09T19:53:16Z</cp:lastPrinted>
  <dcterms:created xsi:type="dcterms:W3CDTF">2015-09-11T14:15:26Z</dcterms:created>
  <dcterms:modified xsi:type="dcterms:W3CDTF">2016-11-09T19:53:26Z</dcterms:modified>
</cp:coreProperties>
</file>